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tabRatio="805" firstSheet="8" activeTab="15"/>
  </bookViews>
  <sheets>
    <sheet name="Sheet1" sheetId="1" r:id="rId1"/>
    <sheet name="Planfin2561" sheetId="2" r:id="rId2"/>
    <sheet name="Revenue" sheetId="3" r:id="rId3"/>
    <sheet name="Expense" sheetId="4" r:id="rId4"/>
    <sheet name="HGR2559" sheetId="5" r:id="rId5"/>
    <sheet name="การวิเคราะห์แผน 8 แบบ" sheetId="6" r:id="rId6"/>
    <sheet name="Mapping60" sheetId="7" r:id="rId7"/>
    <sheet name="1.WS-Re-Exp" sheetId="8" r:id="rId8"/>
    <sheet name="งบทดลอง รพ." sheetId="9" r:id="rId9"/>
    <sheet name="2.WS-ยา วชภฯ" sheetId="10" r:id="rId10"/>
    <sheet name="3.WS-วัสดุอื่น" sheetId="11" r:id="rId11"/>
    <sheet name="4.WS-แผน จน." sheetId="12" r:id="rId12"/>
    <sheet name="5.WS-แผน ลน." sheetId="13" r:id="rId13"/>
    <sheet name="6.WS-แผนลงทุน" sheetId="14" r:id="rId14"/>
    <sheet name="6.1 รายละเอียด ครุฯงบค่าเสื่อม " sheetId="15" r:id="rId15"/>
    <sheet name="7.WS-แผน รพ.สต." sheetId="16" r:id="rId16"/>
    <sheet name="7.1 รายละเอียด แผน รพ.สต." sheetId="17" r:id="rId17"/>
    <sheet name="PlanFin Analysis" sheetId="18" r:id="rId18"/>
    <sheet name="WS2-9" sheetId="19" r:id="rId19"/>
    <sheet name="คุมแผนจัดซื้อ" sheetId="20" r:id="rId20"/>
    <sheet name="Sheet2" sheetId="21" r:id="rId21"/>
  </sheets>
  <definedNames>
    <definedName name="_xlnm._FilterDatabase" localSheetId="7" hidden="1">'1.WS-Re-Exp'!$A$2:$G$599</definedName>
    <definedName name="_xlnm._FilterDatabase" localSheetId="6" hidden="1">'Mapping60'!$A$1:$K$598</definedName>
    <definedName name="_xlfn.IFERROR" hidden="1">#NAME?</definedName>
    <definedName name="DATA">#REF!</definedName>
    <definedName name="_xlnm.Print_Area" localSheetId="2">'Revenue'!$C$1:$G$19</definedName>
    <definedName name="_xlnm.Print_Titles" localSheetId="7">'1.WS-Re-Exp'!$1:$2</definedName>
    <definedName name="_xlnm.Print_Titles" localSheetId="14">'6.1 รายละเอียด ครุฯงบค่าเสื่อม '!$4:$5</definedName>
    <definedName name="_xlnm.Print_Titles" localSheetId="16">'7.1 รายละเอียด แผน รพ.สต.'!$A:$C</definedName>
    <definedName name="_xlnm.Print_Titles" localSheetId="1">'Planfin2561'!$1:$1</definedName>
  </definedNames>
  <calcPr fullCalcOnLoad="1"/>
</workbook>
</file>

<file path=xl/comments10.xml><?xml version="1.0" encoding="utf-8"?>
<comments xmlns="http://schemas.openxmlformats.org/spreadsheetml/2006/main">
  <authors>
    <author>Amonrat</author>
  </authors>
  <commentList>
    <comment ref="B13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365/5</t>
        </r>
      </text>
    </comment>
    <comment ref="D13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365/6</t>
        </r>
      </text>
    </comment>
  </commentList>
</comments>
</file>

<file path=xl/comments12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365/6</t>
        </r>
      </text>
    </comment>
  </commentList>
</comments>
</file>

<file path=xl/comments1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rFont val="Tahoma"/>
            <family val="2"/>
          </rPr>
          <t>Amonrat:</t>
        </r>
        <r>
          <rPr>
            <sz val="9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16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rFont val="Tahoma"/>
            <family val="2"/>
          </rPr>
          <t>Amornratana:</t>
        </r>
        <r>
          <rPr>
            <sz val="9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Amornratana</author>
  </authors>
  <commentList>
    <comment ref="D4" authorId="0">
      <text>
        <r>
          <rPr>
            <sz val="9"/>
            <rFont val="Tahoma"/>
            <family val="2"/>
          </rPr>
          <t xml:space="preserve">ข้อมูลมาจาก  worksheet
</t>
        </r>
      </text>
    </comment>
    <comment ref="C4" authorId="1">
      <text>
        <r>
          <rPr>
            <b/>
            <sz val="9"/>
            <rFont val="Tahoma"/>
            <family val="2"/>
          </rPr>
          <t>Amornratana:</t>
        </r>
        <r>
          <rPr>
            <sz val="9"/>
            <rFont val="Tahoma"/>
            <family val="2"/>
          </rPr>
          <t xml:space="preserve">
9 up 12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Tahoma"/>
            <family val="2"/>
          </rPr>
          <t>ข้อมูลนี้จะได้จาก worksheet</t>
        </r>
      </text>
    </comment>
    <comment ref="E2" authorId="0">
      <text>
        <r>
          <rPr>
            <b/>
            <sz val="9"/>
            <rFont val="Tahoma"/>
            <family val="2"/>
          </rPr>
          <t>ใส่ข้อมูลตัวเลขด้วย</t>
        </r>
      </text>
    </comment>
    <comment ref="G36" authorId="0">
      <text>
        <r>
          <rPr>
            <sz val="9"/>
            <rFont val="Tahoma"/>
            <family val="2"/>
          </rPr>
          <t xml:space="preserve">คำนวนให้
</t>
        </r>
      </text>
    </comment>
  </commentList>
</comments>
</file>

<file path=xl/comments4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rFont val="Tahoma"/>
            <family val="2"/>
          </rPr>
          <t>Amornratana: link มูลค่าจากกลุ่ม ใช้ข้อมูล</t>
        </r>
        <r>
          <rPr>
            <sz val="9"/>
            <rFont val="Tahoma"/>
            <family val="2"/>
          </rPr>
          <t xml:space="preserve">
ปี 58</t>
        </r>
      </text>
    </comment>
  </commentList>
</comments>
</file>

<file path=xl/sharedStrings.xml><?xml version="1.0" encoding="utf-8"?>
<sst xmlns="http://schemas.openxmlformats.org/spreadsheetml/2006/main" count="10391" uniqueCount="2092">
  <si>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</si>
  <si>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</si>
  <si>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</si>
  <si>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</si>
  <si>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</si>
  <si>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</si>
  <si>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</si>
  <si>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</si>
  <si>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</si>
  <si>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</si>
  <si>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</si>
  <si>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</si>
  <si>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</si>
  <si>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</si>
  <si>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</si>
  <si>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</si>
  <si>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</si>
  <si>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</si>
  <si>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</si>
  <si>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</si>
  <si>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</si>
  <si>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</si>
  <si>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</si>
  <si>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</si>
  <si>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</si>
  <si>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</si>
  <si>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</si>
  <si>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</si>
  <si>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</si>
  <si>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</si>
  <si>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</si>
  <si>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</si>
  <si>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</si>
  <si>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</si>
  <si>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</si>
  <si>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</si>
  <si>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</si>
  <si>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</si>
  <si>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</si>
  <si>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</si>
  <si>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</si>
  <si>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</si>
  <si>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</si>
  <si>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</si>
  <si>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</si>
  <si>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</si>
  <si>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</si>
  <si>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</si>
  <si>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</si>
  <si>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</si>
  <si>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</si>
  <si>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</si>
  <si>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</si>
  <si>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</si>
  <si>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</si>
  <si>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</si>
  <si>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</si>
  <si>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</si>
  <si>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</si>
  <si>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</si>
  <si>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</si>
  <si>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</si>
  <si>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</si>
  <si>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</si>
  <si>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</si>
  <si>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</si>
  <si>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</si>
  <si>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</si>
  <si>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</si>
  <si>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</si>
  <si>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</si>
  <si>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</si>
  <si>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</si>
  <si>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</si>
  <si>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</si>
  <si>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</si>
  <si>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</si>
  <si>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</si>
  <si>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</si>
  <si>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</si>
  <si>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</si>
  <si>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</si>
  <si>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</si>
  <si>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</si>
  <si>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</si>
  <si>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</si>
  <si>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</si>
  <si>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</si>
  <si>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</si>
  <si>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</si>
  <si>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</si>
  <si>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</si>
  <si>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</si>
  <si>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</si>
  <si>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</si>
  <si>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</si>
  <si>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</si>
  <si>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</si>
  <si>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</si>
  <si>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</si>
  <si>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</si>
  <si>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</si>
  <si>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</si>
  <si>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</si>
  <si>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</si>
  <si>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</si>
  <si>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</si>
  <si>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</si>
  <si>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</si>
  <si>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</si>
  <si>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</si>
  <si>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</si>
  <si>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</si>
  <si>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</si>
  <si>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</si>
  <si>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</si>
  <si>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</si>
  <si>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</si>
  <si>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</si>
  <si>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</si>
  <si>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</si>
  <si>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</si>
  <si>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</si>
  <si>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</si>
  <si>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</si>
  <si>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</si>
  <si>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</si>
  <si>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</si>
  <si>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</si>
  <si>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</si>
  <si>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</si>
  <si>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</si>
  <si>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</si>
  <si>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</si>
  <si>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</si>
  <si>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</si>
  <si>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</si>
  <si>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</si>
  <si>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</si>
  <si>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</si>
  <si>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</si>
  <si>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</si>
  <si>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</si>
  <si>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</si>
  <si>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</si>
  <si>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</si>
  <si>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</si>
  <si>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</si>
  <si>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</si>
  <si>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</si>
  <si>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</si>
  <si>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</si>
  <si>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</si>
  <si>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</si>
  <si>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</si>
  <si>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</si>
  <si>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</si>
  <si>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</si>
  <si>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</si>
  <si>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</si>
  <si>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</si>
  <si>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</si>
  <si>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</si>
  <si>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</si>
  <si>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</si>
  <si>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</si>
  <si>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</si>
  <si>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</si>
  <si>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</si>
  <si>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</si>
  <si>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</si>
  <si>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</si>
  <si>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</si>
  <si>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</si>
  <si>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</si>
  <si>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</si>
  <si>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</si>
  <si>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</si>
  <si>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</si>
  <si>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</si>
  <si>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</si>
  <si>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</si>
  <si>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</si>
  <si>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</si>
  <si>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</si>
  <si>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</si>
  <si>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</si>
  <si>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</si>
  <si>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</si>
  <si>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</si>
  <si>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</si>
  <si>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</si>
  <si>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</si>
  <si>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</si>
  <si>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</si>
  <si>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</si>
  <si>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</si>
  <si>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</si>
  <si>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</si>
  <si>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</si>
  <si>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</si>
  <si>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</si>
  <si>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</si>
  <si>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</si>
  <si>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</si>
  <si>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</si>
  <si>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</si>
  <si>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</si>
  <si>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</si>
  <si>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</si>
  <si>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</si>
  <si>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</si>
  <si>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</si>
  <si>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</si>
  <si>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</si>
  <si>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</si>
  <si>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</si>
  <si>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</si>
  <si>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</si>
  <si>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</si>
  <si>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</si>
  <si>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</si>
  <si>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</si>
  <si>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</si>
  <si>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</si>
  <si>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</si>
  <si>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</si>
  <si>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</si>
  <si>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</si>
  <si>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</si>
  <si>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</si>
  <si>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</si>
  <si>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</si>
  <si>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</si>
  <si>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</si>
  <si>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</si>
  <si>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</si>
  <si>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</si>
  <si>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</si>
  <si>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</si>
  <si>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</si>
  <si>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</si>
  <si>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</si>
  <si>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</si>
  <si>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</si>
  <si>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</si>
  <si>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</si>
  <si>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</si>
  <si>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</si>
  <si>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</si>
  <si>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</si>
  <si>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</si>
  <si>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</si>
  <si>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</si>
  <si>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</si>
  <si>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</si>
  <si>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</si>
  <si>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</si>
  <si>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</si>
  <si>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</si>
  <si>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</si>
  <si>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</si>
  <si>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</si>
  <si>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</si>
  <si>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</si>
  <si>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</si>
  <si>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</si>
  <si>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</si>
  <si>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</si>
  <si>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</si>
  <si>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</si>
  <si>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</si>
  <si>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</si>
  <si>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</si>
  <si>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</si>
  <si>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</si>
  <si>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</si>
  <si>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</si>
  <si>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</si>
  <si>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</si>
  <si>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</si>
  <si>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</si>
  <si>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</si>
  <si>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</si>
  <si>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</si>
  <si>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</si>
  <si>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</si>
  <si>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</si>
  <si>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</si>
  <si>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</si>
  <si>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</si>
  <si>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</si>
  <si>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</si>
  <si>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</si>
  <si>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</si>
  <si>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</si>
  <si>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</si>
  <si>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</si>
  <si>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</si>
  <si>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</si>
  <si>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</si>
  <si>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</si>
  <si>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</si>
  <si>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</si>
  <si>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</si>
  <si>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</si>
  <si>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</si>
  <si>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</si>
  <si>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</si>
  <si>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</si>
  <si>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</si>
  <si>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</si>
  <si>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</si>
  <si>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</si>
  <si>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</si>
  <si>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</si>
  <si>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</si>
  <si>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</si>
  <si>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</si>
  <si>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</si>
  <si>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</si>
  <si>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</si>
  <si>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</si>
  <si>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</si>
  <si>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</si>
  <si>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</si>
  <si>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</si>
  <si>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</si>
  <si>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</si>
  <si>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</si>
  <si>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</si>
  <si>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</si>
  <si>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</si>
  <si>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</si>
  <si>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</si>
  <si>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</si>
  <si>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</si>
  <si>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</si>
  <si>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</si>
  <si>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</si>
  <si>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</si>
  <si>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</si>
  <si>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</si>
  <si>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</si>
  <si>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</si>
  <si>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</si>
  <si>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</si>
  <si>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</si>
  <si>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</si>
  <si>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</si>
  <si>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</si>
  <si>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</si>
  <si>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</si>
  <si>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</si>
  <si>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</si>
  <si>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</si>
  <si>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</si>
  <si>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</si>
  <si>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</si>
  <si>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</si>
  <si>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</si>
  <si>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</si>
  <si>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</si>
  <si>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</si>
  <si>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</si>
  <si>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</si>
  <si>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</si>
  <si>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</si>
  <si>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</si>
  <si>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</si>
  <si>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</si>
  <si>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</si>
  <si>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</si>
  <si>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</si>
  <si>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</si>
  <si>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</si>
  <si>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</si>
  <si>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</si>
  <si>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</si>
  <si>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</si>
  <si>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</si>
  <si>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</si>
  <si>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</si>
  <si>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</si>
  <si>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</si>
  <si>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</si>
  <si>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</si>
  <si>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</si>
  <si>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</si>
  <si>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</si>
  <si>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</si>
  <si>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</si>
  <si>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</si>
  <si>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</si>
  <si>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</si>
  <si>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</si>
  <si>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</si>
  <si>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</si>
  <si>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</si>
  <si>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</si>
  <si>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</si>
  <si>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</si>
  <si>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</si>
  <si>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</si>
  <si>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</si>
  <si>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</si>
  <si>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</si>
  <si>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</si>
  <si>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</si>
  <si>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</si>
  <si>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</si>
  <si>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</si>
  <si>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</si>
  <si>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</si>
  <si>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</si>
  <si>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</si>
  <si>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</si>
  <si>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</si>
  <si>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</si>
  <si>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</si>
  <si>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</si>
  <si>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</si>
  <si>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</si>
  <si>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</si>
  <si>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</si>
  <si>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</si>
  <si>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</si>
  <si>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</si>
  <si>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</si>
  <si>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</si>
  <si>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</si>
  <si>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</si>
  <si>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</si>
  <si>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</si>
  <si>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</si>
  <si>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</si>
  <si>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</si>
  <si>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</si>
  <si>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</si>
  <si>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</si>
  <si>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</si>
  <si>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</si>
  <si>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</si>
  <si>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</si>
  <si>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</si>
  <si>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</si>
  <si>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</si>
  <si>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</si>
  <si>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</si>
  <si>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</si>
  <si>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</si>
  <si>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</si>
  <si>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</si>
  <si>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</si>
  <si>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</si>
  <si>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</si>
  <si>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</si>
  <si>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</si>
  <si>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</si>
  <si>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</si>
  <si>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</si>
  <si>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</si>
  <si>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</si>
  <si>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</si>
  <si>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</si>
  <si>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</si>
  <si>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</si>
  <si>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</si>
  <si>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</si>
  <si>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</si>
  <si>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</si>
  <si>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</si>
  <si>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</si>
  <si>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</si>
  <si>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</si>
  <si>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</si>
  <si>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</si>
  <si>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</si>
  <si>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</si>
  <si>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</si>
  <si>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</si>
  <si>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</si>
  <si>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</si>
  <si>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</si>
  <si>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</si>
  <si>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</si>
  <si>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</si>
  <si>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</si>
  <si>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</si>
  <si>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</si>
  <si>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</si>
  <si>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</si>
  <si>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</si>
  <si>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</si>
  <si>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</si>
  <si>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</si>
  <si>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</si>
  <si>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</si>
  <si>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</si>
  <si>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</si>
  <si>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</si>
  <si>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</si>
  <si>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</si>
  <si>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</si>
  <si>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</si>
  <si>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</si>
  <si>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</si>
  <si>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</si>
  <si>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</si>
  <si>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</si>
  <si>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</si>
  <si>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</si>
  <si>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</si>
  <si>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</si>
  <si>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</si>
  <si>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</si>
  <si>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</si>
  <si>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</si>
  <si>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</si>
  <si>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</si>
  <si>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</si>
  <si>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</si>
  <si>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</si>
  <si>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</si>
  <si>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</si>
  <si>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</si>
  <si>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</si>
  <si>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</si>
  <si>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</si>
  <si>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</si>
  <si>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</si>
  <si>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</si>
  <si>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</si>
  <si>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</si>
  <si>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</si>
  <si>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</si>
  <si>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</si>
  <si>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</si>
  <si>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</si>
  <si>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</si>
  <si>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</si>
  <si>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</si>
  <si>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</si>
  <si>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</si>
  <si>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</si>
  <si>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</si>
  <si>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</si>
  <si>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</si>
  <si>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</si>
  <si>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</si>
  <si>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</si>
  <si>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</si>
  <si>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</si>
  <si>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</si>
  <si>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</si>
  <si>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</si>
  <si>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</si>
  <si>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</si>
  <si>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</si>
  <si>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</si>
  <si>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</si>
  <si>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</si>
  <si>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</si>
  <si>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</si>
  <si>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</si>
  <si>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</si>
  <si>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</si>
  <si>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</si>
  <si>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</si>
  <si>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</si>
  <si>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</si>
  <si>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</si>
  <si>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</si>
  <si>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</si>
  <si>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</si>
  <si>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</si>
  <si>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</si>
  <si>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</si>
  <si>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</si>
  <si>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</si>
  <si>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</si>
  <si>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</si>
  <si>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</si>
  <si>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</si>
  <si>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</si>
  <si>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</si>
  <si>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</si>
  <si>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</si>
  <si>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</si>
  <si>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</si>
  <si>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</si>
  <si>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</si>
  <si>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</si>
  <si>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</si>
  <si>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</si>
  <si>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</si>
  <si>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</si>
  <si>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</si>
  <si>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</si>
  <si>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</si>
  <si>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</si>
  <si>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</si>
  <si>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</si>
  <si>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</si>
  <si>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</si>
  <si>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</si>
  <si>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</si>
  <si>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</si>
  <si>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</si>
  <si>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</si>
  <si>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</si>
  <si>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</si>
  <si>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</si>
  <si>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</si>
  <si>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</si>
  <si>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</si>
  <si>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</si>
  <si>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</si>
  <si>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</si>
  <si>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</si>
  <si>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</si>
  <si>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</si>
  <si>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</si>
  <si>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</si>
  <si>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</si>
  <si>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</si>
  <si>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</si>
  <si>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</si>
  <si>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</si>
  <si>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</si>
  <si>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</si>
  <si>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</si>
  <si>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</si>
  <si>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</si>
  <si>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</si>
  <si>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</si>
  <si>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</si>
  <si>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</si>
  <si>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</si>
  <si>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</si>
  <si>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</si>
  <si>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</si>
  <si>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</si>
  <si>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</si>
  <si>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</si>
  <si>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</si>
  <si>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</si>
  <si>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</si>
  <si>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</si>
  <si>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</si>
  <si>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</si>
  <si>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</si>
  <si>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</si>
  <si>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</si>
  <si>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</si>
  <si>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</si>
  <si>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</si>
  <si>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</si>
  <si>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</si>
  <si>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</si>
  <si>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</si>
  <si>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</si>
  <si>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</si>
  <si>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</si>
  <si>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</si>
  <si>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</si>
  <si>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</si>
  <si>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</si>
  <si>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</si>
  <si>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</si>
  <si>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</si>
  <si>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</si>
  <si>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</si>
  <si>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</si>
  <si>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</si>
  <si>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</si>
  <si>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</si>
  <si>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</si>
  <si>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</si>
  <si>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</si>
  <si>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</si>
  <si>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</si>
  <si>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</si>
  <si>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</si>
  <si>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</si>
  <si>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</si>
  <si>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</si>
  <si>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</si>
  <si>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</si>
  <si>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</si>
  <si>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</si>
  <si>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</si>
  <si>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</si>
  <si>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</si>
  <si>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</si>
  <si>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</si>
  <si>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</si>
  <si>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</si>
  <si>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</si>
  <si>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</si>
  <si>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</si>
  <si>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</si>
  <si>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</si>
  <si>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</si>
  <si>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</si>
  <si>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</si>
  <si>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</si>
  <si>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</si>
  <si>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</si>
  <si>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</si>
  <si>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</si>
  <si>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</si>
  <si>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</si>
  <si>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</si>
  <si>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</si>
  <si>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</si>
  <si>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</si>
  <si>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</si>
  <si>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</si>
  <si>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</si>
  <si>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</si>
  <si>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</si>
  <si>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</si>
  <si>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</si>
  <si>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</si>
  <si>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</si>
  <si>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</si>
  <si>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</si>
  <si>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</si>
  <si>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</si>
  <si>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</si>
  <si>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</si>
  <si>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</si>
  <si>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</si>
  <si>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</si>
  <si>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</si>
  <si>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</si>
  <si>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</si>
  <si>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</si>
  <si>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</si>
  <si>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</si>
  <si>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</si>
  <si>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</si>
  <si>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</si>
  <si>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</si>
  <si>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</si>
  <si>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</si>
  <si>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</si>
  <si>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</si>
  <si>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</si>
  <si>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</si>
  <si>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</si>
  <si>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</si>
  <si>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</si>
  <si>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</si>
  <si>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</si>
  <si>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</si>
  <si>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</si>
  <si>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</si>
  <si>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</si>
  <si>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</si>
  <si>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</si>
  <si>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</si>
  <si>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</si>
  <si>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</si>
  <si>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</si>
  <si>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</si>
  <si>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</si>
  <si>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</si>
  <si>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</si>
  <si>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</si>
  <si>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</si>
  <si>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</si>
  <si>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</si>
  <si>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</si>
  <si>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</si>
  <si>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</si>
  <si>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</si>
  <si>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</si>
  <si>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</si>
  <si>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</si>
  <si>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</si>
  <si>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</si>
  <si>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</si>
  <si>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</si>
  <si>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</si>
  <si>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</si>
  <si>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</si>
  <si>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</si>
  <si>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</si>
  <si>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</si>
  <si>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</si>
  <si>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indexed="10"/>
        <rFont val="TH SarabunPSK"/>
        <family val="2"/>
      </rPr>
      <t>หัก</t>
    </r>
    <r>
      <rPr>
        <b/>
        <sz val="16"/>
        <color indexed="8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</si>
  <si>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</si>
  <si>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</si>
  <si>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</si>
  <si>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</si>
  <si>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</si>
  <si>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</si>
  <si>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</si>
  <si>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</si>
  <si>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</si>
  <si>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</si>
  <si>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</si>
  <si>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</si>
  <si>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</si>
  <si>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</si>
  <si>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</si>
  <si>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</si>
  <si>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</si>
  <si>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</si>
  <si>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</si>
  <si>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</si>
  <si>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</si>
  <si>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</si>
  <si>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</si>
  <si>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</si>
  <si>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</si>
  <si>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</si>
  <si>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</si>
  <si>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</si>
  <si>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</si>
  <si>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</si>
  <si>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</si>
  <si>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</si>
  <si>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</si>
  <si>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</si>
  <si>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</si>
  <si>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</si>
  <si>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</si>
  <si>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</si>
  <si>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</si>
  <si>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</si>
  <si>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</si>
  <si>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</si>
  <si>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</si>
  <si>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</si>
  <si>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</si>
  <si>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</si>
  <si>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</si>
  <si>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</si>
  <si>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</si>
  <si>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</si>
  <si>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</si>
  <si>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</si>
  <si>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</si>
  <si>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</si>
  <si>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</si>
  <si>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</si>
  <si>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</si>
  <si>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</si>
  <si>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</si>
  <si>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</si>
  <si>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</si>
  <si>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</si>
  <si>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</si>
  <si>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</si>
  <si>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</si>
  <si>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</si>
  <si>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</si>
  <si>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</si>
  <si>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</si>
  <si>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</si>
  <si>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</si>
  <si>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</si>
  <si>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</si>
  <si>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</si>
  <si>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</si>
  <si>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</si>
  <si>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</si>
  <si>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</si>
  <si>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</si>
  <si>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</si>
  <si>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</si>
  <si>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</si>
  <si>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</si>
  <si>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</si>
  <si>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</si>
  <si>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</si>
  <si>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</si>
  <si>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</si>
  <si>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</si>
  <si>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</si>
  <si>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</si>
  <si>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</si>
  <si>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</si>
  <si>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</si>
  <si>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</si>
  <si>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</si>
  <si>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</si>
  <si>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</si>
  <si>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</si>
  <si>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</si>
  <si>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</si>
  <si>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</si>
  <si>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</si>
  <si>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</si>
  <si>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</si>
  <si>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</si>
  <si>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</si>
  <si>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</si>
  <si>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</si>
  <si>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</si>
  <si>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</si>
  <si>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</si>
  <si>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</si>
  <si>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</si>
  <si>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</si>
  <si>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</si>
  <si>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</si>
  <si>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</si>
  <si>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</si>
  <si>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</si>
  <si>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</si>
  <si>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</si>
  <si>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</si>
  <si>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</si>
  <si>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</si>
  <si>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</si>
  <si>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</si>
  <si>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</si>
  <si>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</si>
  <si>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</si>
  <si>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</si>
  <si>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</si>
  <si>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</si>
  <si>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</si>
  <si>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</si>
  <si>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</si>
  <si>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</si>
  <si>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</si>
  <si>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</si>
  <si>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</si>
  <si>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</si>
  <si>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</si>
  <si>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</si>
  <si>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</si>
  <si>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</si>
  <si>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</si>
  <si>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</si>
  <si>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</si>
  <si>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</si>
  <si>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</si>
  <si>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</si>
  <si>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</si>
  <si>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</si>
  <si>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</si>
  <si>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</si>
  <si>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</si>
  <si>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</si>
  <si>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</si>
  <si>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</si>
  <si>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</si>
  <si>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</si>
  <si>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</si>
  <si>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</si>
  <si>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</si>
  <si>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</si>
  <si>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</si>
  <si>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</si>
  <si>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</si>
  <si>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</si>
  <si>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</si>
  <si>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</si>
  <si>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</si>
  <si>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</si>
  <si>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</si>
  <si>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</si>
  <si>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</si>
  <si>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</si>
  <si>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</si>
  <si>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</si>
  <si>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</si>
  <si>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</si>
  <si>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</si>
  <si>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</si>
  <si>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</si>
  <si>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</si>
  <si>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</si>
  <si>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</si>
  <si>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</si>
  <si>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</si>
  <si>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</si>
  <si>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</si>
  <si>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</si>
  <si>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</si>
  <si>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</si>
  <si>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</si>
  <si>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</si>
  <si>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</si>
  <si>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</si>
  <si>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</si>
  <si>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</si>
  <si>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</si>
  <si>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</si>
  <si>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</si>
  <si>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</si>
  <si>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</si>
  <si>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</si>
  <si>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</si>
  <si>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</si>
  <si>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</si>
  <si>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</si>
  <si>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</si>
  <si>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</si>
  <si>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</si>
  <si>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</si>
  <si>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</si>
  <si>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</si>
  <si>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</si>
  <si>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</si>
  <si>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</si>
  <si>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</si>
  <si>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</si>
  <si>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</si>
  <si>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</si>
  <si>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</si>
  <si>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</si>
  <si>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</si>
  <si>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</si>
  <si>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</si>
  <si>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</si>
  <si>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</si>
  <si>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</si>
  <si>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</si>
  <si>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</si>
  <si>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</si>
  <si>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</si>
  <si>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</si>
  <si>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</si>
  <si>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</si>
  <si>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</si>
  <si>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</si>
  <si>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</si>
  <si>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</si>
  <si>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</si>
  <si>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</si>
  <si>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</si>
  <si>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</si>
  <si>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</si>
  <si>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</si>
  <si>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</si>
  <si>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</si>
  <si>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</si>
  <si>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</si>
  <si>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</si>
  <si>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</si>
  <si>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</si>
  <si>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</si>
  <si>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</si>
  <si>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</si>
  <si>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</si>
  <si>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</si>
  <si>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</si>
  <si>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</si>
  <si>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</si>
  <si>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</si>
  <si>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</si>
  <si>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</si>
  <si>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</si>
  <si>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</si>
  <si>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</si>
  <si>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</si>
  <si>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</si>
  <si>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</si>
  <si>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</si>
  <si>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</si>
  <si>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</si>
  <si>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</si>
  <si>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</si>
  <si>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</si>
  <si>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</si>
  <si>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</si>
  <si>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</si>
  <si>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</si>
  <si>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</si>
  <si>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</si>
  <si>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</si>
  <si>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</si>
  <si>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</si>
  <si>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</si>
  <si>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</si>
  <si>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</si>
  <si>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</si>
  <si>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</si>
  <si>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</si>
  <si>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</si>
  <si>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</si>
  <si>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</si>
  <si>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</si>
  <si>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</si>
  <si>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</si>
  <si>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</si>
  <si>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</si>
  <si>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</si>
  <si>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</si>
  <si>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</si>
  <si>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</si>
  <si>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</si>
  <si>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</si>
  <si>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</si>
  <si>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</si>
  <si>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</si>
  <si>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</si>
  <si>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</si>
  <si>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</si>
  <si>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</si>
  <si>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</si>
  <si>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</si>
  <si>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</si>
  <si>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</si>
  <si>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</si>
  <si>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</si>
  <si>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</si>
  <si>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</si>
  <si>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</si>
  <si>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</si>
  <si>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</si>
  <si>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</si>
  <si>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</si>
  <si>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</si>
  <si>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</si>
  <si>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</si>
  <si>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</si>
  <si>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</si>
  <si>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</si>
  <si>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</si>
  <si>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</si>
  <si>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</si>
  <si>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</si>
  <si>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</si>
  <si>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</si>
  <si>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</si>
  <si>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</si>
  <si>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</si>
  <si>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</si>
  <si>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</si>
  <si>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</si>
  <si>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</si>
  <si>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</si>
  <si>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</si>
  <si>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</si>
  <si>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</si>
  <si>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</si>
  <si>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</si>
  <si>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</si>
  <si>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</si>
  <si>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</si>
  <si>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</si>
  <si>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</si>
  <si>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</si>
  <si>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</si>
  <si>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</si>
  <si>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</si>
  <si>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</si>
  <si>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</si>
  <si>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</si>
  <si>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</si>
  <si>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</si>
  <si>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</si>
  <si>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</si>
  <si>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</si>
  <si>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</si>
  <si>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</si>
  <si>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</si>
  <si>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</si>
  <si>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</si>
  <si>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</si>
  <si>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</si>
  <si>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</si>
  <si>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</si>
  <si>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</si>
  <si>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</si>
  <si>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</si>
  <si>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</si>
  <si>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</si>
  <si>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</si>
  <si>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</si>
  <si>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</si>
  <si>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</si>
  <si>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</si>
  <si>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</si>
  <si>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</si>
  <si>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</si>
  <si>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</si>
  <si>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</si>
  <si>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</si>
  <si>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</si>
  <si>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</si>
  <si>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</si>
  <si>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</si>
  <si>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</si>
  <si>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</si>
  <si>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</si>
  <si>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</si>
  <si>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</si>
  <si>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</si>
  <si>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</si>
  <si>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</si>
  <si>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</si>
  <si>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</si>
  <si>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</si>
  <si>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</si>
  <si>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</si>
  <si>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</si>
  <si>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</si>
  <si>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</si>
  <si>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</si>
  <si>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</si>
  <si>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</si>
  <si>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</si>
  <si>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</si>
  <si>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</si>
  <si>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</si>
  <si>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</si>
  <si>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</si>
  <si>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</si>
  <si>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</si>
  <si>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</si>
  <si>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</si>
  <si>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</si>
  <si>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</si>
  <si>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</si>
  <si>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</si>
  <si>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</si>
  <si>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</si>
  <si>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</si>
  <si>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</si>
  <si>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</si>
  <si>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</si>
  <si>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</si>
  <si>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</si>
  <si>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</si>
  <si>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</si>
  <si>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</si>
  <si>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</si>
  <si>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</si>
  <si>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</si>
  <si>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</si>
  <si>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</si>
  <si>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</si>
  <si>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</si>
  <si>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</si>
  <si>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</si>
  <si>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</si>
  <si>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</si>
  <si>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</si>
  <si>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</si>
  <si>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</si>
  <si>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</si>
  <si>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</si>
  <si>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</si>
  <si>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</si>
  <si>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</si>
  <si>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</si>
  <si>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</si>
  <si>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</si>
  <si>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</si>
  <si>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</si>
  <si>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</si>
  <si>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</si>
  <si>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</si>
  <si>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</si>
  <si>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</si>
  <si>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</si>
  <si>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</si>
  <si>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</si>
  <si>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</si>
  <si>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</si>
  <si>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</si>
  <si>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</si>
  <si>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</si>
  <si>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</si>
  <si>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</si>
  <si>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</si>
  <si>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</si>
  <si>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</si>
  <si>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</si>
  <si>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</si>
  <si>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</si>
  <si>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</si>
  <si>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</si>
  <si>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</si>
  <si>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</si>
  <si>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</si>
  <si>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</si>
  <si>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</si>
  <si>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</si>
  <si>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</si>
  <si>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</si>
  <si>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</si>
  <si>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</si>
  <si>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</si>
  <si>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</si>
  <si>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</si>
  <si>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</si>
  <si>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</si>
  <si>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</si>
  <si>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</si>
  <si>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</si>
  <si>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</si>
  <si>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</si>
  <si>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</si>
  <si>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</si>
  <si>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</si>
  <si>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</si>
  <si>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</si>
  <si>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</si>
  <si>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</si>
  <si>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</si>
  <si>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</si>
  <si>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</si>
  <si>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</si>
  <si>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</si>
  <si>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</si>
  <si>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</si>
  <si>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</si>
  <si>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</si>
  <si>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</si>
  <si>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</si>
  <si>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</si>
  <si>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</si>
  <si>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</si>
  <si>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</si>
  <si>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</si>
  <si>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</si>
  <si>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</si>
  <si>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</si>
  <si>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</si>
  <si>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</si>
  <si>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</si>
  <si>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</si>
  <si>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</si>
  <si>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</si>
  <si>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</si>
  <si>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</si>
  <si>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</si>
  <si>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</si>
  <si>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</si>
  <si>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</si>
  <si>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</si>
  <si>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</si>
  <si>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</si>
  <si>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</si>
  <si>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</si>
  <si>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</si>
  <si>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</si>
  <si>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</si>
  <si>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</si>
  <si>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</si>
  <si>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</si>
  <si>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</si>
  <si>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</si>
  <si>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</si>
  <si>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</si>
  <si>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</si>
  <si>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</si>
  <si>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</si>
  <si>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</si>
  <si>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</si>
  <si>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</si>
  <si>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</si>
  <si>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</si>
  <si>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</si>
  <si>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</si>
  <si>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</si>
  <si>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</si>
  <si>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</si>
  <si>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</si>
  <si>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</si>
  <si>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</si>
  <si>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</si>
  <si>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</si>
  <si>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</si>
  <si>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</si>
  <si>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</si>
  <si>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</si>
  <si>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</si>
  <si>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</si>
  <si>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</si>
  <si>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</si>
  <si>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</si>
  <si>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</si>
  <si>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</si>
  <si>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</si>
  <si>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</si>
  <si>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</si>
  <si>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</si>
  <si>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</si>
  <si>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</si>
  <si>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</si>
  <si>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</si>
  <si>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</si>
  <si>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</si>
  <si>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</si>
  <si>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</si>
  <si>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</si>
  <si>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</si>
  <si>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</si>
  <si>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</si>
  <si>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</si>
  <si>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</si>
  <si>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</si>
  <si>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</si>
  <si>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</si>
  <si>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</si>
  <si>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</si>
  <si>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</si>
  <si>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</si>
  <si>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</si>
  <si>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</si>
  <si>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</si>
  <si>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</si>
  <si>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</si>
  <si>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</si>
  <si>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</si>
  <si>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</si>
  <si>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</si>
  <si>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</si>
  <si>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</si>
  <si>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</si>
  <si>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</si>
  <si>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</si>
  <si>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</si>
  <si>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</si>
  <si>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</si>
  <si>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</si>
  <si>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</si>
  <si>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</si>
  <si>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</si>
  <si>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</si>
  <si>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</si>
  <si>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</si>
  <si>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</si>
  <si>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</si>
  <si>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</si>
  <si>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</si>
  <si>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</si>
  <si>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</si>
  <si>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</si>
  <si>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</si>
  <si>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</si>
  <si>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</si>
  <si>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</si>
  <si>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</si>
  <si>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</si>
  <si>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</si>
  <si>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</si>
  <si>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</si>
  <si>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</si>
  <si>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</si>
  <si>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</si>
  <si>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</si>
  <si>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</si>
  <si>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</si>
  <si>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</si>
  <si>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</si>
  <si>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</si>
  <si>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</si>
  <si>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</si>
  <si>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</si>
  <si>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</si>
  <si>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</si>
  <si>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</si>
  <si>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</si>
  <si>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</si>
  <si>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</si>
  <si>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</si>
  <si>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</si>
  <si>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</si>
  <si>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</si>
  <si>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</si>
  <si>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</si>
  <si>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</si>
  <si>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</si>
  <si>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</si>
  <si>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</si>
  <si>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</si>
  <si>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</si>
  <si>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</si>
  <si>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</si>
  <si>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</si>
  <si>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</si>
  <si>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</si>
  <si>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</si>
  <si>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</si>
  <si>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</si>
  <si>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</si>
  <si>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</si>
  <si>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</si>
  <si>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</si>
  <si>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</si>
  <si>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</si>
  <si>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</si>
  <si>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</si>
  <si>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</si>
  <si>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</si>
  <si>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</si>
  <si>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</si>
  <si>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</si>
  <si>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</si>
  <si>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</si>
  <si>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</si>
  <si>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</si>
  <si>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</si>
  <si>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</si>
  <si>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</si>
  <si>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</si>
  <si>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</si>
  <si>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</si>
  <si>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</si>
  <si>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</si>
  <si>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</si>
  <si>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</si>
  <si>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</si>
  <si>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</si>
  <si>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</si>
  <si>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</si>
  <si>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</si>
  <si>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</si>
  <si>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</si>
  <si>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</si>
  <si>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</si>
  <si>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</si>
  <si>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</si>
  <si>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</si>
  <si>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</si>
  <si>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</si>
  <si>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</si>
  <si>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</si>
  <si>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</si>
  <si>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</si>
  <si>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</si>
  <si>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</si>
  <si>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</si>
  <si>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</si>
  <si>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</si>
  <si>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</si>
  <si>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</si>
  <si>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</si>
  <si>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</si>
  <si>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</si>
  <si>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</si>
  <si>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</si>
  <si>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</si>
  <si>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</si>
  <si>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</si>
  <si>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</si>
  <si>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</si>
  <si>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</si>
  <si>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</si>
  <si>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</si>
  <si>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แผนทางการเงินสำหรับหน่วยบริการ สำนักงานปลัดกระทรวงสาธารณสุขประจำปี 2561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</si>
  <si>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</si>
  <si>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</si>
  <si>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</si>
  <si>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</si>
  <si>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</si>
  <si>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</si>
  <si>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</si>
  <si>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</si>
  <si>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</si>
  <si>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</si>
  <si>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</si>
  <si>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</si>
  <si>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</si>
  <si>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</si>
  <si>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</si>
  <si>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</si>
  <si>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</si>
  <si>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</si>
  <si>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</si>
  <si>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</si>
  <si>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</si>
  <si>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</si>
  <si>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</si>
  <si>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</si>
  <si>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</si>
  <si>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</si>
  <si>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</si>
  <si>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</si>
  <si>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</si>
  <si>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</si>
  <si>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</si>
  <si>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</si>
  <si>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</si>
  <si>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</si>
  <si>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</si>
  <si>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</si>
  <si>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</si>
  <si>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</si>
  <si>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</si>
  <si>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</si>
  <si>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</si>
  <si>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</si>
  <si>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</si>
  <si>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</si>
  <si>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</si>
  <si>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</si>
  <si>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</si>
  <si>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</si>
  <si>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</si>
  <si>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</si>
  <si>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</si>
  <si>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</si>
  <si>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</si>
  <si>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</si>
  <si>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</si>
  <si>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</si>
  <si>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</si>
  <si>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</si>
  <si>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</si>
  <si>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</si>
  <si>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</si>
  <si>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</si>
  <si>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</si>
  <si>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</si>
  <si>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</si>
  <si>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</si>
  <si>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</si>
  <si>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</si>
  <si>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</si>
  <si>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</si>
  <si>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</si>
  <si>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</si>
  <si>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</si>
  <si>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</si>
  <si>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indexed="9"/>
        <rFont val="TH SarabunPSK"/>
        <family val="2"/>
      </rPr>
      <t>20%  Normal</t>
    </r>
  </si>
  <si>
    <r>
      <t>&gt;</t>
    </r>
    <r>
      <rPr>
        <b/>
        <sz val="14"/>
        <color indexed="9"/>
        <rFont val="TH SarabunPSK"/>
        <family val="2"/>
      </rPr>
      <t xml:space="preserve"> 1 = Normal</t>
    </r>
  </si>
  <si>
    <r>
      <t xml:space="preserve"> </t>
    </r>
    <r>
      <rPr>
        <sz val="14"/>
        <color indexed="10"/>
        <rFont val="TH SarabunPSK"/>
        <family val="2"/>
      </rPr>
      <t>Risk</t>
    </r>
  </si>
  <si>
    <r>
      <t xml:space="preserve"> </t>
    </r>
    <r>
      <rPr>
        <sz val="14"/>
        <color indexed="8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</si>
  <si>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</si>
  <si>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</si>
  <si>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</si>
  <si>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</si>
  <si>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</si>
  <si>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</si>
  <si>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</si>
  <si>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</si>
  <si>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</si>
  <si>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</si>
  <si>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</si>
  <si>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</si>
  <si>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</si>
  <si>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</si>
  <si>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</si>
  <si>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</si>
  <si>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</si>
  <si>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</si>
  <si>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</si>
  <si>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</si>
  <si>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</si>
  <si>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</si>
  <si>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</si>
  <si>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</si>
  <si>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</si>
  <si>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</si>
  <si>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indexed="9"/>
        <rFont val="TH SarabunPSK"/>
        <family val="2"/>
      </rPr>
      <t>20%  Normal</t>
    </r>
  </si>
  <si>
    <r>
      <t>&gt;</t>
    </r>
    <r>
      <rPr>
        <b/>
        <sz val="18"/>
        <color indexed="9"/>
        <rFont val="TH SarabunPSK"/>
        <family val="2"/>
      </rPr>
      <t xml:space="preserve"> 1 = Normal</t>
    </r>
  </si>
  <si>
    <r>
      <t xml:space="preserve"> </t>
    </r>
    <r>
      <rPr>
        <sz val="18"/>
        <color indexed="10"/>
        <rFont val="TH SarabunPSK"/>
        <family val="2"/>
      </rPr>
      <t>Risk</t>
    </r>
  </si>
  <si>
    <r>
      <t xml:space="preserve"> </t>
    </r>
    <r>
      <rPr>
        <sz val="18"/>
        <color indexed="8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</si>
  <si>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</si>
  <si>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</si>
  <si>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</si>
  <si>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</si>
  <si>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OR</t>
  </si>
  <si>
    <t>LAB</t>
  </si>
  <si>
    <t>ทันตกรรม</t>
  </si>
  <si>
    <t>เภสัชกรรม</t>
  </si>
  <si>
    <t>วัสดุเภสัชกรรม</t>
  </si>
  <si>
    <t>วัสดุการแพทย์ทั่วไป</t>
  </si>
  <si>
    <t>วัสดุการแพทย์(ออร์โธปิดิกส์)</t>
  </si>
  <si>
    <t>วัสดุการแพทย์(วัสดุขาเทียม)</t>
  </si>
  <si>
    <t>วัสดุวิทยาศาสตร์</t>
  </si>
  <si>
    <t>วัสดุทันตกรรม</t>
  </si>
  <si>
    <t>วัสดุการเกษตร</t>
  </si>
  <si>
    <t>วัสดุสำราจ</t>
  </si>
  <si>
    <t>วัสดุยานพาหนะ</t>
  </si>
  <si>
    <t>วัสดุเชื่อเพลิง</t>
  </si>
  <si>
    <t>แผนการจัดซื้อวัสดุ ปีงบประมาณ 2561</t>
  </si>
  <si>
    <t>5104010107.108.1</t>
  </si>
  <si>
    <t>ค่าซ่อมแซมครุภัณฑ์งานบ้านงานครัว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</si>
  <si>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</si>
  <si>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</si>
  <si>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</si>
  <si>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</si>
  <si>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</si>
  <si>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</si>
  <si>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</si>
  <si>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</si>
  <si>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</si>
  <si>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</si>
  <si>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</si>
  <si>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</si>
  <si>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</si>
  <si>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เวชภัณฑ์</t>
  </si>
  <si>
    <t>หันทราย</t>
  </si>
  <si>
    <t>M</t>
  </si>
  <si>
    <t>ทับพริก</t>
  </si>
  <si>
    <t>S</t>
  </si>
  <si>
    <t>ท่าข้าม</t>
  </si>
  <si>
    <t>คลองน้ำใส</t>
  </si>
  <si>
    <t>ป่าไร่</t>
  </si>
  <si>
    <t>ผ่านศึก</t>
  </si>
  <si>
    <t>นิคมฯ</t>
  </si>
  <si>
    <t>เมืองไผ่</t>
  </si>
  <si>
    <t>หนองปรือ</t>
  </si>
  <si>
    <t>คลองทับจันทร์</t>
  </si>
  <si>
    <t>หนองสังข์</t>
  </si>
  <si>
    <t>บ้านใหม่หนองไทร</t>
  </si>
  <si>
    <t>L</t>
  </si>
  <si>
    <t>ฟากห้วย</t>
  </si>
  <si>
    <t>บ้านโรงเรียน</t>
  </si>
  <si>
    <t>ภูน้ำเกลี้ยง</t>
  </si>
  <si>
    <t>คลองหว้า</t>
  </si>
  <si>
    <t>วัสดุการแพทย์</t>
  </si>
  <si>
    <t>รายการจัดหาด้วยเงินงบประมาณ</t>
  </si>
  <si>
    <t>(ที่ดินและสิ่งปลูกสร้าง)</t>
  </si>
  <si>
    <t>ราคา</t>
  </si>
  <si>
    <t>จำนวน</t>
  </si>
  <si>
    <t>รวมสิ่งปลูกสร้าง</t>
  </si>
  <si>
    <t>(ครุภัณฑ์)</t>
  </si>
  <si>
    <t>1.ตึก 10 ชั้น (ปีที่ 3)</t>
  </si>
  <si>
    <t>จ่ายหนี้ปี 60 ให้หมด แล้วจ่าย ของปี 61  แล้วเดือน ม.ค.61 เริ่มจ่าย เดือนต.ค.60  เป็นต้นไป</t>
  </si>
  <si>
    <t>ค่าซ่อมแซมครุภัณฑ์โฆษณา</t>
  </si>
  <si>
    <t>จ่ายของปี 60 ให้หมด แล้วจ่ายของปี 61 ให้ได้อย่างน้อยร้อยละ 70</t>
  </si>
  <si>
    <t>รพ.สต., จ.นค่าซ่อมแซม, จ.น. ค่าจ้างเหมา,ค่าสาธารณูปโภคค้างจ่าย</t>
  </si>
  <si>
    <t>รพ.สต., จ่ายให้หมดในปี (17 ล้านบาท)  ค่าสาธารณูปโภคค้างจ่ายให้จ่ายทุกเดือน  (800,000*12=9.6  ล้านบาท</t>
  </si>
  <si>
    <t>OT เงินไม่ทำเวช จ่ายตามจริง ในเดือนถัดไป ส่วนฉ.11 ให้จ่าย อย่างน้อย 6 เดือนแล้วค้าง ไว้ 6 เดือน</t>
  </si>
  <si>
    <r>
      <t xml:space="preserve"> ลูกหนี้-สุทธิ</t>
    </r>
    <r>
      <rPr>
        <u val="single"/>
        <sz val="14"/>
        <color indexed="8"/>
        <rFont val="TH SarabunPSK"/>
        <family val="2"/>
      </rPr>
      <t>ค้างชำระ</t>
    </r>
    <r>
      <rPr>
        <sz val="14"/>
        <color indexed="8"/>
        <rFont val="TH SarabunPSK"/>
        <family val="2"/>
      </rPr>
      <t xml:space="preserve"> ณ 30 ก.ย.2560</t>
    </r>
  </si>
  <si>
    <t>งบค่าเสื่อม  UC</t>
  </si>
  <si>
    <r>
      <rPr>
        <b/>
        <sz val="14"/>
        <color indexed="8"/>
        <rFont val="TH SarabunPSK"/>
        <family val="2"/>
      </rPr>
      <t xml:space="preserve">รายการอื่น </t>
    </r>
    <r>
      <rPr>
        <sz val="14"/>
        <color indexed="8"/>
        <rFont val="TH SarabunPSK"/>
        <family val="2"/>
      </rPr>
      <t xml:space="preserve">
</t>
    </r>
  </si>
  <si>
    <r>
      <rPr>
        <b/>
        <sz val="14"/>
        <color indexed="8"/>
        <rFont val="TH SarabunPSK"/>
        <family val="2"/>
      </rPr>
      <t>ยา เวชภัณฑ์ วัสดุอื่นฯ</t>
    </r>
    <r>
      <rPr>
        <sz val="14"/>
        <color indexed="8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</si>
  <si>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t xml:space="preserve">    หมายถึงที่ได้รับจากสนับสนุนจาก สปสช. เท่านั้น</t>
  </si>
  <si>
    <r>
      <rPr>
        <b/>
        <sz val="12"/>
        <color indexed="8"/>
        <rFont val="TH SarabunPSK"/>
        <family val="2"/>
      </rPr>
      <t>งบค่าเสื่อม UC</t>
    </r>
    <r>
      <rPr>
        <sz val="12"/>
        <color indexed="8"/>
        <rFont val="TH SarabunPSK"/>
        <family val="2"/>
      </rPr>
      <t xml:space="preserve">  </t>
    </r>
  </si>
  <si>
    <t>ประมาณการปี 2561</t>
  </si>
  <si>
    <t>(ข้อมูล กปภ.)</t>
  </si>
  <si>
    <t>(ข้อมูลหน่วยบริการ)</t>
  </si>
  <si>
    <t>ร้อยละ</t>
  </si>
  <si>
    <t>การเพิ่มรายได้</t>
  </si>
  <si>
    <t>ลดค่าใช้จ่าย (%)</t>
  </si>
  <si>
    <t>รายได้</t>
  </si>
  <si>
    <t>รายได้จาก EMS</t>
  </si>
  <si>
    <t>ส่วนต่างรายได้หักค่าใช้จ่าย(NI)</t>
  </si>
  <si>
    <t>-</t>
  </si>
  <si>
    <t>แผนสมดุล</t>
  </si>
  <si>
    <t>งบลงทุน (เงินบำรุง) เปรียบเทียบกับ EBITDA &gt;20%</t>
  </si>
  <si>
    <t>ไม่เกิน</t>
  </si>
  <si>
    <t>ทุนสำรองสุทธิ (Networking Capital) ณ 30 มิ.ย. 60</t>
  </si>
  <si>
    <t>เงินบำรุงคงเหลือ ณ 30 มิ.ย. 60</t>
  </si>
  <si>
    <t>หนี้สินและภาระผูกพัน ณ 30 มิ.ย. 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</si>
  <si>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</si>
  <si>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</si>
  <si>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</si>
  <si>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</si>
  <si>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</si>
  <si>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รวมภาระหนี้สิน ปี 2561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</si>
  <si>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</si>
  <si>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</si>
  <si>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</si>
  <si>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</si>
  <si>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</si>
  <si>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</si>
  <si>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</si>
  <si>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</si>
  <si>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</si>
  <si>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</si>
  <si>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</si>
  <si>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</si>
  <si>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</si>
  <si>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</si>
  <si>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วัน</t>
  </si>
  <si>
    <t>โรงพยาบาลอรัญประเทศ</t>
  </si>
  <si>
    <t>รับคืนเงินสำรองจ่ายค่ายา</t>
  </si>
  <si>
    <t>(A) มูลค่าจัดซื้อปี 2558</t>
  </si>
  <si>
    <t>(B) มูลค่าจัดซื้อปี 2559</t>
  </si>
  <si>
    <t>(C) มูลค่าจัดซื้อปี 2560</t>
  </si>
  <si>
    <t>(D)มูลค่าการใช้ใน รพ. ปี 60</t>
  </si>
  <si>
    <t>(E)มูลค่าการสนับสนุน รพ.สต.ปี 60</t>
  </si>
  <si>
    <t>(F) มูลค่าการโอนยาให้หน่วยงานอื่น ปี 60</t>
  </si>
  <si>
    <t>(G) = D+E+F รวมมูลค่าการใช้ยาทั้งปี 60</t>
  </si>
  <si>
    <t>(H) สินค้าคงคลัง (ยา เวชภัณฑ์ฯ วัสดุวิทย์ฯ) ณ 30 ก.ย. 2560</t>
  </si>
  <si>
    <t>(I)แผนจัดซื้อปี 2561 นำไปกรอกใน planfin</t>
  </si>
  <si>
    <t>* หมายเหตุ นโยบายการ Stock ยา ไม่ควรเกิน 2  เดือน</t>
  </si>
  <si>
    <t xml:space="preserve"> ตย. การคำนวณหา Inventory Turnover</t>
  </si>
  <si>
    <t>การแพทย์</t>
  </si>
  <si>
    <t>วิทย์&amp;แพทย์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</si>
  <si>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</si>
  <si>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</si>
  <si>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</si>
  <si>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</si>
  <si>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</si>
  <si>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(E) วัสดุคงคลัง ณ 30 ก.ย. 2560</t>
  </si>
  <si>
    <t>(F)แผนจัดซื้อปี 2561 นำไปกรอกใน planfin61</t>
  </si>
  <si>
    <t>น้ำมันรถ รองรับการรีเฟอร์</t>
  </si>
  <si>
    <t>ซื้อวัสดุเพื่อรองรับการซ่อมแซม</t>
  </si>
  <si>
    <t xml:space="preserve">ซื้อผ้าปูเตียง  ปลอกหมอน ผ้าต่วน </t>
  </si>
  <si>
    <t>ซื้อเครื่องมือช่างไม้และช่างปูน เดิมไม่มีเครื่องมือ</t>
  </si>
  <si>
    <t>(A)หนี้ค้างชำระ ณ 30 ก.ย.2559</t>
  </si>
  <si>
    <t>(B)หนี้ค้างชำระ ณ 30 ก.ย.2560</t>
  </si>
  <si>
    <t>(C)ประมาณการหนี้สินปี 2561</t>
  </si>
  <si>
    <t>(D) = 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</si>
  <si>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</si>
  <si>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</si>
  <si>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</si>
  <si>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t xml:space="preserve"> เดือนละ 3.75 ล้าน </t>
  </si>
  <si>
    <t xml:space="preserve"> เดือนละ 1.7 ล้าน </t>
  </si>
  <si>
    <t xml:space="preserve"> เดือนละ 1 ล้าน </t>
  </si>
  <si>
    <t xml:space="preserve">จ่ายเดือนละ1.2 ล้าน </t>
  </si>
  <si>
    <t xml:space="preserve">จ.นค่าซ่อมแซม, จ.น. ค่าจ้างเหมา, ให้จ่ายรวมกันทั้งหมดไม่เกินเดือนละ 3 ล้าน </t>
  </si>
  <si>
    <t>แผนการจ่ายชำระหนี้</t>
  </si>
  <si>
    <t>ลดเงินอุดหนุนสถานะและสิทธิเหลือ 2 ล้านบาท</t>
  </si>
  <si>
    <t>ค่าตอบแทนบ่ายดึก พยาบาล 18 คน,จ้าง พกส. และลูกจ้างชั่วคราวเพิ่ม</t>
  </si>
  <si>
    <t>ค่าใช้จ่ายในการฝึกอบรม 3 ล้านบาท</t>
  </si>
  <si>
    <t>ค่าสาธารณูปโภคแฟลตใหม่ในส่วนที่รพ.สนับสนุน</t>
  </si>
  <si>
    <t xml:space="preserve">บริหาร </t>
  </si>
  <si>
    <t>(F) = C+E    รวมเงินลงทุนนำไปกรอกใน Planfin61</t>
  </si>
  <si>
    <t>(A) วงเงินที่สามารถใช้ลงทุนได้แต่ละประเภท(บาท)</t>
  </si>
  <si>
    <t>(B)ครุภัณฑ์ (จำนวนรายการ)</t>
  </si>
  <si>
    <t>(C) มูลค่ารวม</t>
  </si>
  <si>
    <t>(D)ที่ดินอาคาร สิ่งปลูกสร้าง (จำนวนรายการ)</t>
  </si>
  <si>
    <t>(E) มูลค่ารวม</t>
  </si>
  <si>
    <t>1.ตู้ผสมยาเคมีบำบัด</t>
  </si>
  <si>
    <t>แรงงานต่างด้าวขึ้นทะเบียนมากขึ้น คาดการณ์ปีหน้ามาขึ้นทะเบียนเป็น 3,400 คน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</si>
  <si>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</si>
  <si>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</si>
  <si>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</si>
  <si>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</si>
  <si>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</si>
  <si>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</si>
  <si>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</si>
  <si>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 xml:space="preserve">หัก เงิน ฉ.8 ที่โอนให้ รพ.โคกสูงและ cup โคกสูง 2.7 ล้านบาท </t>
  </si>
  <si>
    <t>เบิกวัสดุเครื่องต่างกายปีที่แล้วไม่มีการเบิก, วัสดุงานบ้านงานครัวผู้ปูเตียง  ปลอกหมอน  วัสดุเชิ้อเพลิงรองรับการรีเฟอร์</t>
  </si>
  <si>
    <t>ลูกหนี้-สุทธิค้างชำระ ณ 30 ก.ย.2559</t>
  </si>
  <si>
    <t>ค่าเสื่อมราคา แฟลตพยาบาล 100 ยูนิต</t>
  </si>
  <si>
    <t>รายได้งบดำเนินงาน  งบกลาง   ค่าธรรมเนียม UC</t>
  </si>
  <si>
    <t>ลำดับ</t>
  </si>
  <si>
    <t>แบตเตอรี่สำหรับเครื่องช่วยหายใจ Neumovent  Graphnet</t>
  </si>
  <si>
    <t>แบตเตอรี่สำหรับเครื่องช่วยหายใจ ESPRIT(1001470 Rechargeable  Battery EnerSys Energy สำหรับเครื่อง Ventilator ยี่ห้อ Esprit รุ่น VS3000</t>
  </si>
  <si>
    <t>Air fiter เครื่องช่วยหายใจ Neumovent  Graphnet</t>
  </si>
  <si>
    <t>Exhalation  Valveเครื่องช่วยหายใจGraphnet</t>
  </si>
  <si>
    <t>Exhalation  valve ,reusableเครื่องช่วยหายใจ IVENT</t>
  </si>
  <si>
    <t>O2 Cell เครื่องช่วยหายใจRHAPHAEL</t>
  </si>
  <si>
    <t>Radiant Warmmer</t>
  </si>
  <si>
    <t>เครื่องปันตกตะกอนปัสสาวะ24หัว</t>
  </si>
  <si>
    <t>เครื่องปั่น HCT (เครื่องปั่นแยกเม็ดเลือด)</t>
  </si>
  <si>
    <t>โต๊ะคร่อมเตียง (Over bed)</t>
  </si>
  <si>
    <t>ถังขยะแสตนเลสล้อเลื่อน มีฝา ปิด-เปิดด้วยเท้า ขนาดเล็ก</t>
  </si>
  <si>
    <t>ถังขยะแสตนเลสล้อเลื่อน มีฝา ปิด-เปิดด้วยเท้า ขนาดใหญ่</t>
  </si>
  <si>
    <t xml:space="preserve">รถเข็นทำแผล แสตนเลส </t>
  </si>
  <si>
    <t>รถเข็นวางเครื่องมือแพทย์ ขนาดเล็ก 4 ล้อ</t>
  </si>
  <si>
    <t>Battery defibrillator</t>
  </si>
  <si>
    <t>battery Laryngoscope 3.5 V litium</t>
  </si>
  <si>
    <t>Battery EKG MAC 1200</t>
  </si>
  <si>
    <t>battery Laryngoscope 3.5 V NiMH</t>
  </si>
  <si>
    <t>เครื่องพ่นยา</t>
  </si>
  <si>
    <t>ถังขยะแสตนเลสมีฝาปิด ชนิดเท้าเหยียบ ขนาดเล็ก</t>
  </si>
  <si>
    <t>ที่นอนลม</t>
  </si>
  <si>
    <t>Battery  defibrillator  PIC 40</t>
  </si>
  <si>
    <t xml:space="preserve">Battery  Laryngoscope 3.5 v. NiMH  </t>
  </si>
  <si>
    <t xml:space="preserve">Battery 4.8 V. for BP. “Omron” HEM 907 </t>
  </si>
  <si>
    <t>เครื่องวัดออกซิเจนในเลือด</t>
  </si>
  <si>
    <t>ถังต้มน้ำไฟฟ้าปริมาตร 14.5 ลิตร</t>
  </si>
  <si>
    <t>โต๊ะคร่อมเตียง</t>
  </si>
  <si>
    <t>ถังขยะสแตนเลสแบบใช้เท้าเหยียบมีฝาปิดขนาดเล็กสำหรับผู้ป่วย</t>
  </si>
  <si>
    <t xml:space="preserve">Pc.519.510 Double Air Hose,Length 3 m,fon System  </t>
  </si>
  <si>
    <t>ซ่อมบำรุง</t>
  </si>
  <si>
    <t>ชุด Suction pipeline</t>
  </si>
  <si>
    <t>เครื่องฆ่าเชื้อจุลินทรีย์ ระบบไอน้ำ</t>
  </si>
  <si>
    <t>เครื่องอบพลาสมา</t>
  </si>
  <si>
    <t>เครื่องซักผ้า</t>
  </si>
  <si>
    <t>เครื่องอบผ้าแห้ง</t>
  </si>
  <si>
    <t>อะไหล่ตู้อบสายยางทางการแพทย์</t>
  </si>
  <si>
    <t>ตู้เย็น</t>
  </si>
  <si>
    <t>โต๊ะพับผ้าสแตนเลส</t>
  </si>
  <si>
    <t>เครื่องเป่าลม ชนิด oil free</t>
  </si>
  <si>
    <t>เครื่องซักผ้าอัตโนมัติ</t>
  </si>
  <si>
    <t>โต๊ะสแตนเลส</t>
  </si>
  <si>
    <t>รถเข็นสแตนเลส 2ชั้น มีขอบกันหล่น</t>
  </si>
  <si>
    <t xml:space="preserve">ไมโครโฟน พร้อมลำโพงตั้งโต๊ะ </t>
  </si>
  <si>
    <t>ตู้แช่แข็งเล็ก</t>
  </si>
  <si>
    <t>ตู้พักเนื้อสัตว์</t>
  </si>
  <si>
    <t>ตู้แช่ผัก</t>
  </si>
  <si>
    <t>ตู้เย็นแช่ยาขนาดความจุ968 ลิตร เปิดได้สองบาน</t>
  </si>
  <si>
    <t>เครื่องกรอฟันและกระดูก</t>
  </si>
  <si>
    <t>เครื่องดูดน้ำลาย high power</t>
  </si>
  <si>
    <t>เครื่องขูดหินปูน ชนิด P5</t>
  </si>
  <si>
    <t>เครื่องสั่นปอดขนาดกลาง</t>
  </si>
  <si>
    <t>เตารีด ขาเทียม PVA</t>
  </si>
  <si>
    <t>เครื่องคอมพิวเตอร์สำหรับประมวลผล (แบบที่๑)</t>
  </si>
  <si>
    <t xml:space="preserve">เครื่องพิมพ์ชนิด Dot Matrix Printer แบบแคร่สั้น </t>
  </si>
  <si>
    <t>กระดานรองหลัง spinal board+Head  immobilizer + เข็มขัด Safety belt 3 เส้น</t>
  </si>
  <si>
    <t>แผ่น Slide board แบบเต็มตัว</t>
  </si>
  <si>
    <t xml:space="preserve">โต๊ะวางเครื่องมือเมโย(mayo) </t>
  </si>
  <si>
    <t>รถเข็นทำหัตถการ ขนาดเล็ก 4 ล้อ</t>
  </si>
  <si>
    <t>รถทำแผล</t>
  </si>
  <si>
    <t>รถฉีดยา</t>
  </si>
  <si>
    <t>เครื่องติดตามการทำงานของหัวใจ</t>
  </si>
  <si>
    <t>รถเข็นยารับประทาน (20ลิ้นชัก)</t>
  </si>
  <si>
    <t>รถข็นของผู้ป่วย</t>
  </si>
  <si>
    <t xml:space="preserve">Hand pulse Oximeter แบบตั้งโต๊ะ </t>
  </si>
  <si>
    <t>เครื่องวัดความดันโลหิต (ผู้ใหญ่) Digital</t>
  </si>
  <si>
    <t>เครื่องวัดความดันโลหิต (เด็ก) manual</t>
  </si>
  <si>
    <t>เครื่องวัดความดันโลหิต (ผู้ใหญ่) manual</t>
  </si>
  <si>
    <t>โต๊ะตรวจผู้ป่วย</t>
  </si>
  <si>
    <t>เตียงตรวจผู้ป่วย พร้อมที่ขึ้น</t>
  </si>
  <si>
    <t>เครื่องชั่งน้ำหนัก  digital</t>
  </si>
  <si>
    <t xml:space="preserve">ตุ้ใส่เอกสาร </t>
  </si>
  <si>
    <t>ไมโครโฟน พร้อมลำโพงตั้งโต๊ะ</t>
  </si>
  <si>
    <t>โต๊ะทำงาน</t>
  </si>
  <si>
    <t>เก้าอี้</t>
  </si>
  <si>
    <t>เครื่องแสกนเอกสาร</t>
  </si>
  <si>
    <t>ชั้นเก็บเอกสาร</t>
  </si>
  <si>
    <t>สว่านโรตารี่</t>
  </si>
  <si>
    <t xml:space="preserve"> เครื่องคอมพิวเตอร์โน้ตบุ๊ก ส าหรับงานสำนักงาน </t>
  </si>
  <si>
    <t>เครื่องพิมพ์ชนิดเลเซอร์/ชนิด LED  ขาวดำ</t>
  </si>
  <si>
    <t>2.แฟลตแพทย์ 20 ยูนิต (ปีที่ 2) (ปีสุดท้าย)</t>
  </si>
  <si>
    <t>แบบคำขอรายการงบค่าบริการทางการแพทย์ที่เบิกจ่ายในลักษณะงบลงทุน ปีงบประมาณ 2561  ระดับหน่วยบริการ</t>
  </si>
  <si>
    <t>ชื่อหน่วยบริการ...เครือข่ายโรงพยาบาลอรัญประเทศ................................................   จังหวัด..สระแก้ว...</t>
  </si>
  <si>
    <t>จังหวัด</t>
  </si>
  <si>
    <t>รหัสสถานพยาบาลคู่สัญญา</t>
  </si>
  <si>
    <t>สถานพยาบาลคู่สัญญา</t>
  </si>
  <si>
    <t>รหัสสถานพยาบาลคู่สัญญาลูกข่าย</t>
  </si>
  <si>
    <t>สถานพยาบาลคู่สัญญาลูกข่าย</t>
  </si>
  <si>
    <t>หมวดการลงทุน</t>
  </si>
  <si>
    <t>สถานะดำเนินการ</t>
  </si>
  <si>
    <t>หน่วย</t>
  </si>
  <si>
    <t>ราคาต่อหน่วย (บาท)</t>
  </si>
  <si>
    <t>รวมเงิน
(บาท)</t>
  </si>
  <si>
    <t>งบประมาณ (บาท)</t>
  </si>
  <si>
    <t xml:space="preserve">เหตุผล คำชี้แจง
อธิบายพอสังเขป </t>
  </si>
  <si>
    <t>UC</t>
  </si>
  <si>
    <t>สมทบ</t>
  </si>
  <si>
    <t>รายการสิ่งก่อสร้างชดเชยสิ่งที่มีอยู่แล้วตาม 23 (1) 
ให้ระบุเลขที่แบบแปลนและวันที่สร้าง</t>
  </si>
  <si>
    <t>รายการครุภัณฑ์ที่ชดเชยและซ่อมบำรุงสิ่งที่มีอยุ่แล้วตาม 23 (2) 
ให้ระบุรหัสครุภัณฑ์</t>
  </si>
  <si>
    <t>รายการครุภัณฑ์/สิ่งก่อสร้างที่มีความจำเป็น ตาม 23 (3) เสนอ รมต. 
ให้ระบุเหตุผลความจำเป็น</t>
  </si>
  <si>
    <t>สระแก้ว</t>
  </si>
  <si>
    <t>รพ.อรัญประเทศ</t>
  </si>
  <si>
    <t>ครุภัณฑ์การแพทย์</t>
  </si>
  <si>
    <t>ทดแทนของเดิมที่ชำรุด เลขครุภัณฑ์6515-003-1102/1</t>
  </si>
  <si>
    <t>ทดแทนของเดิมที่ชำรุด เลขครุภัณฑ์6515-003-2101/6</t>
  </si>
  <si>
    <t>ทดแทนของเดิมที่ชำรุด เลขครุภัณฑ์6515-003/1101/1</t>
  </si>
  <si>
    <t>ทดแทนของเดิมที่ชำรุด เลขครุภัณฑ์6515-003-2101/6-9</t>
  </si>
  <si>
    <t>ทดแทนของเดิมที่ชำรุด เลขครุภัณฑ์6515-003-2107/7</t>
  </si>
  <si>
    <t>ทดแทน</t>
  </si>
  <si>
    <t>ทดแทนของเดิมที่ชำรุด เลขครุภัณฑ์6515-031-0202/1</t>
  </si>
  <si>
    <t>ทดแทนของเดิมที่ชำรุด เลขครุภัณฑ์6515-014-1012/2</t>
  </si>
  <si>
    <t>ทดแทนของเดิมที่ชำรุด เลขครุภัณฑ์6530-001-9151/1</t>
  </si>
  <si>
    <t>ทดแทนของเดิมที่ชำรุด เลขครุภัณฑ์6530-041-0001/1</t>
  </si>
  <si>
    <t>6530-034-0004/1</t>
  </si>
  <si>
    <t>ทดแทนของเดิมที่ชำรุด เลขครุภัณฑ์6530-034-0002/1</t>
  </si>
  <si>
    <t>ทดแทนของเดิมที่ชำรุด เลขครุภัณฑ์6530-042-0001/1</t>
  </si>
  <si>
    <t>ทดแทนของเดิมที่ชำรุด เลขครุภัณฑ์6530-042-0001/13</t>
  </si>
  <si>
    <t>ทดแทนของเดิมที่ชำรุด เลขครุภัณฑ์3920-005-0003/4</t>
  </si>
  <si>
    <t>ทดแทนของเดิมที่ชำรุด เลขครุภัณฑ์3920-005-0003/5</t>
  </si>
  <si>
    <t>ทดแทนของเดิมที่ชำรุด เลขครุภัณฑ์3920-005-1201/3</t>
  </si>
  <si>
    <t xml:space="preserve"> เลขครุภัณฑ์ซ่อมบำรุง6515-027-3002/4</t>
  </si>
  <si>
    <t>เลขครุภัณฑ์ซ่อมบำรุง6515-035-1202/1</t>
  </si>
  <si>
    <t xml:space="preserve"> เลขครุภัณฑ์ ซ่อมบำรุง6515-027-1002/5</t>
  </si>
  <si>
    <t xml:space="preserve"> เลขครุภัณฑ์ซ่อมบำรุง6515-035-1202/1</t>
  </si>
  <si>
    <t xml:space="preserve"> เลขครุภัณฑ์ซ่อมบำรุง4330-002-0001/2</t>
  </si>
  <si>
    <t>ทดแทนของเดิมที่ชำรุด เลขครุภัณฑ์6530-042-0001/2</t>
  </si>
  <si>
    <t>ทดแทนของเดิมที่ชำรุด เลขครุภัณฑ์3920-005-003/3</t>
  </si>
  <si>
    <t>ทดแทนของเดิมที่ชำรุด เลขครุภัณฑ์3920-005-112/4</t>
  </si>
  <si>
    <t>ทดแทนของเดิมที่ชำรุด เลขครุภัณฑ์3920-005-003/5</t>
  </si>
  <si>
    <t xml:space="preserve"> เลขครุภัณฑ์ซ่อมบำรุง6515-069-3202/12</t>
  </si>
  <si>
    <t>ทดแทนของเดิมที่ชำรุด เลขครุภัณฑ์6515-027-2002/1</t>
  </si>
  <si>
    <t>ทดแทนของเดิมที่ชำรุด เลขครุภัณฑ์6515-026-1002/1</t>
  </si>
  <si>
    <t>ทดแทนของเดิมที่ชำรุด เลขครุภัณฑ์3920-005-1103/1</t>
  </si>
  <si>
    <t>ทดแทนของเดิมที่ชำรุด เลขครุภัณฑ์3920-005-1201/1</t>
  </si>
  <si>
    <t>ทดแทนของเดิมที่ชำรุด เลขครุภัณฑ์4520-001-0001/7</t>
  </si>
  <si>
    <t>ทดแทนของเดิมที่ชำรุด เลขครุภัณฑ์6530-034-0004/2</t>
  </si>
  <si>
    <t>ทดแทนของเดิมที่ชำรุด เลขครุภัณฑ์6530-042-0001/3-12</t>
  </si>
  <si>
    <t>เครื่องติดตามวัดสัญญาณชีพอัตโนมัติแบบเคลื่อนย้าย</t>
  </si>
  <si>
    <t>ทดแทนของเดิมที่ชำรุด เลขครุภัณฑ์6515-027-0023/1</t>
  </si>
  <si>
    <t>ทดแทนของเดิมที่ชำรุด เลขครุภัณฑ์6515-001-3001/3</t>
  </si>
  <si>
    <t>ทดแทนของเดิมที่ชำรุด เลขครุภัณฑ์6515-037-0101/16-17</t>
  </si>
  <si>
    <t>ทดแทนของเดิมที่ชำรุด เลขครุภัณฑ์6515-003-2310/1</t>
  </si>
  <si>
    <t>ทดแทนของเดิมที่ชำรุด เลขครุภัณฑ์6525-002-0005/1</t>
  </si>
  <si>
    <t>ทดแทนของเดิมที่ชำรุด เลขครุภัณฑ์3510-012-0001/1</t>
  </si>
  <si>
    <t>ทดแทนของเดิมที่ชำรุด เลขครุภัณฑ์3510-011-0001/1</t>
  </si>
  <si>
    <t>ทดแทนของเดิมที่ชำรุด เลขครุภัณฑ์6530-023-0001/1</t>
  </si>
  <si>
    <t>ครุภัณฑ์งานบ้านงานครัว</t>
  </si>
  <si>
    <t>ทดแทนของเดิมที่ชำรุด เลขครุภัณฑ์4110-001-0010/1</t>
  </si>
  <si>
    <t>ทดแทนของเดิมที่ชำรุด เลขครุภัณฑ์6530-034-5250/7</t>
  </si>
  <si>
    <t>ทดแทนของเดิมที่ชำรุด เลขครุภัณฑ์4140-003-0001/1</t>
  </si>
  <si>
    <t>ทดแทนของเดิมที่ชำรุด เลขครุภัณฑ์3510-011-0001/2</t>
  </si>
  <si>
    <t>ทดแทนของเดิมที่ชำรุด เลขครุภัณฑ์6530-034-5250/6</t>
  </si>
  <si>
    <t>ทดแทนของเดิมที่ชำรุด เลขครุภัณฑ์3920-005-1334/1</t>
  </si>
  <si>
    <t>ทดแทนของเดิมที่ชำรุด เลขครุภัณฑ์3920-005-1103/2</t>
  </si>
  <si>
    <t>ทดแทนของเดิมที่ชำรุด เลขครุภัณฑ์3920-005-1201/2</t>
  </si>
  <si>
    <t>ทดแทนของเดิมที่ชำรุด เลขครุภัณฑ์4520-001-0001/2</t>
  </si>
  <si>
    <t>ทดแทนของเดิมที่ชำรุด เลขครุภัณฑ์6515-069-3202/10</t>
  </si>
  <si>
    <t>ทดแทนของเดิมที่ชำรุด เลขครุภัณฑ์6515-069-3101/2</t>
  </si>
  <si>
    <t>ทดแทนของเดิมที่ชำรุด เลขครุภัณฑ์6515-069-3101/3</t>
  </si>
  <si>
    <t>ทดแทนของเดิมที่ชำรุด เลขครุภัณฑ์7110-007-0001/5</t>
  </si>
  <si>
    <t>ทดแทนของเดิมที่ชำรุด เลขครุภัณฑ์6530-001-0001/100</t>
  </si>
  <si>
    <t>ทดแทนของเดิมที่ชำรุด เลขครุภัณฑ์6530-001-0003/3-4</t>
  </si>
  <si>
    <t>ครุภัณฑ์สำนักงาน</t>
  </si>
  <si>
    <t>ทดแทนของเดิมที่ชำรุด เลขครุภัณฑ์7110-002-0006/2</t>
  </si>
  <si>
    <t>ครุภัณฑ์โฆษณาและเผยแพร่</t>
  </si>
  <si>
    <t>ทดแทนของเดิมที่ชำรุด เลขครุภัณฑ์04-015-002/1-4</t>
  </si>
  <si>
    <t>ทดแทนของเดิมที่ชำรุด เลขครุภัณฑ์04-015-002/5</t>
  </si>
  <si>
    <t>ทดแทนของเดิมที่ชำรุด เลขครุภัณฑ์4110-007-0001/1</t>
  </si>
  <si>
    <t>ทดแทนของเดิมที่ชำรุด เลขครุภัณฑ์4110-007-0001/3</t>
  </si>
  <si>
    <t>ทดแทนของเดิมที่ชำรุด เลขครุภัณฑ์4110-007-0001/2</t>
  </si>
  <si>
    <t>ทดแทนของเดิมที่ชำรุด เลขครุภัณฑ์6515-039-5126/1</t>
  </si>
  <si>
    <t>ทดแทนของเดิมที่ชำรุด เลขครุภัณฑ์7110-007-0001/53,54</t>
  </si>
  <si>
    <t>ทดแทนของเดิมที่ชำรุด เลขครุภัณฑ์7110-006-0035/19,20,21</t>
  </si>
  <si>
    <t>ทดแทนของเดิมที่ชำรุด เลขครุภัณฑ์7440-016-0001/1</t>
  </si>
  <si>
    <t>ทดแทนของเดิมที่ชำรุด เลขครุภัณฑ์7110-002-0006/1</t>
  </si>
  <si>
    <t>ครุภัณฑ์โรงาน</t>
  </si>
  <si>
    <t>ทดแทนของเดิมที่ชำรุด เลขครุภัณฑ์6515-036-0031/1</t>
  </si>
  <si>
    <t>ทดแทนของเดิมที่ชำรุด เลขครุภัณฑ์6520-001-0001/1</t>
  </si>
  <si>
    <t>ทดแทนของเดิมที่ชำรุด เลขครุภัณฑ์6515-035-0206/1</t>
  </si>
  <si>
    <t>ทดแทนของเดิมที่ชำรุด เลขครุภัณฑ์6520-004-0001/3</t>
  </si>
  <si>
    <t>ทดแทนของเดิมที่ชำรุด เลขครุภัณฑ์6515-003-0011/1</t>
  </si>
  <si>
    <t>ทดแทนของเดิมที่ชำรุด เลขครุภัณฑ์3510-005-000/1</t>
  </si>
  <si>
    <t>NIBP</t>
  </si>
  <si>
    <t>ทดแทนของเดิมที่ชำรุด เลขครุภัณฑ์6515-027-0022/1-5</t>
  </si>
  <si>
    <t>เครื่องส่องหู</t>
  </si>
  <si>
    <t>ทดแทนของเดิมที่ชำรุด เลขครุภัณฑ์6515-088-0001/1</t>
  </si>
  <si>
    <t>ทดแทนของเดิมที่ชำรุด เลขครุภัณฑ์6515-030-0400/1-6</t>
  </si>
  <si>
    <t>ทดแทนของเดิมที่ชำรุด เลขครุภัณฑ์6515-014-0001/1-2</t>
  </si>
  <si>
    <t>เครื่องควบคุมการให้สารน้ำทางหลอดเลือดดำชนิด 1 สาย</t>
  </si>
  <si>
    <t>6515-025-0004/16-35</t>
  </si>
  <si>
    <t>เครื่องปรับอากาศแบบแยกส่วน ชนิดติดผนัง (มีระบบฟอกอากาศ)
ขนาดไม ต่ำกว า 18,000 บีทียู</t>
  </si>
  <si>
    <t>ทดแทนของเดิมที่ชำรุด เลขครุภัณฑ์4120-001-0017/3,15,16,๒0,21,24,25,27,29,๓0</t>
  </si>
  <si>
    <t>โทรทัศน  แอล อี ดี (LED TV) ระดับความละเอียดจอภาพ ขนาด 32 นิ้ว</t>
  </si>
  <si>
    <t>ทดแทนของเดิมที่ชำรุด เลขครุภัณฑ์7730-003-0007/21,22,23,24,2530,31,32,33,34,35</t>
  </si>
  <si>
    <t>ครุภัณฑ์คอมพิวเตอร์</t>
  </si>
  <si>
    <t>เครื่อง</t>
  </si>
  <si>
    <t>ทดแทนของเดิมที่ชำรุด เลขครุภัณฑ์7440-001-0007/21-25</t>
  </si>
  <si>
    <t>ทดแทนของเดิมที่ชำรุด เลขครุภัณฑ์7440-001-0004/6-10</t>
  </si>
  <si>
    <t>ทดแทนของเดิมที่ชำรุด เลขครุภัณฑ์7440-010-0001/10-14</t>
  </si>
  <si>
    <t>ทดแทนของเดิมที่ชำรุด เลขครุภัณฑ์7440-010-001/26-30</t>
  </si>
  <si>
    <t>หม้อต้มน้ำร้อน</t>
  </si>
  <si>
    <t>ทดแทนของเดิมที่ชำรุด เลขครุภัณฑ์4110-004-0001/1</t>
  </si>
  <si>
    <t>โต๊ะทำงาน 120x65 cms.</t>
  </si>
  <si>
    <t>ทดแทนของเดิมที่ชำรุด เลขครุภัณฑ์7110-007-0001/6,7</t>
  </si>
  <si>
    <t>เก้าอี้บุบวมมีพนักพิงชนิดมีล้อเลื่อนมีที่วางแขน</t>
  </si>
  <si>
    <t>ทดแทนของเดิมที่ชำรุด เลขครุภัณฑ์7110-006-0035/3-4</t>
  </si>
  <si>
    <t>ชั้นใส่เอกสาร 15 ชั้น</t>
  </si>
  <si>
    <t>ทดแทนของเดิมที่ชำรุด เลขครุภัณฑ์7110-002-0007/1</t>
  </si>
  <si>
    <t>ไฟฉุกเฉิน</t>
  </si>
  <si>
    <t>ทดแทนของเดิมที่ชำรุด เลขครุภัณฑ์6110-005-0002/1-3</t>
  </si>
  <si>
    <t>ทดแทนของเดิมที่ชำรุด เลขครุภัณฑ์4110-001-0010/1-10</t>
  </si>
  <si>
    <t>เตียงผู้ป่วยชนิดสามไกราวปีกนกพร้อมเบาะเสาน้ำเกลือ ตู้ข้างเตียงและถาดคร่อมเตียง</t>
  </si>
  <si>
    <t>ทดแทนของเดิมที่ชำรุด เลขครุภัณฑ์6530-001-0003/83,84,85,86,101,102,103,104</t>
  </si>
  <si>
    <t>รถฉีดยา ขนาด 40x50x80 cms.สแตนเลส</t>
  </si>
  <si>
    <t>ทดแทนของเดิมที่ชำรุด เลขครุภัณฑ์3920-005-112/3</t>
  </si>
  <si>
    <t>ทดแทนของเดิมที่ชำรุด เลขครุภัณฑ์3920-005-003/4</t>
  </si>
  <si>
    <t>รถเข็นทำหัตถการ ขนาดเล็ก 4 ล้อ 2 ชั้น มีลิ้นชัก</t>
  </si>
  <si>
    <t>ทดแทนของเดิมที่ชำรุด เลขครุภัณฑ์3920-005-1334/2</t>
  </si>
  <si>
    <t xml:space="preserve">รถEmergency </t>
  </si>
  <si>
    <t>ทดแทนของเดิมที่ชำรุด เลขครุภัณฑ์7310-006-0001/1</t>
  </si>
  <si>
    <t>Pulse Oxymeter  Mobile ผู้ใหญ่</t>
  </si>
  <si>
    <t>ทดแทนของเดิมที่ชำรุด เลขครุภัณฑ์6515-026-1002/2</t>
  </si>
  <si>
    <t>ชุดดูดของเหลวชนิดใช้กับระบบไปป์ไลน์</t>
  </si>
  <si>
    <t>ทดแทนของเดิมที่ชำรุด เลขครุภัณฑ์6515-003-3421/1</t>
  </si>
  <si>
    <t>เครื่องปรับอากาศขนาด  32000  BTU</t>
  </si>
  <si>
    <t xml:space="preserve">ทดแทนของเดิมที่ชำรุด เลขที่ครุภัณฑ์4120-001-0017/11,14
</t>
  </si>
  <si>
    <t>เครื่องปรับอากาศขนาด  24000  BTU</t>
  </si>
  <si>
    <t xml:space="preserve">ทดแทนของเดิมที่ชำรุด เลขที่ครุภัณฑ์4120-001-0017/14,15,20
</t>
  </si>
  <si>
    <t>เงินสมทบ</t>
  </si>
  <si>
    <t>รวมเครือข่ายโรงพยาบาล......</t>
  </si>
  <si>
    <t>รพ.สมทบ 35349.51 บาท</t>
  </si>
  <si>
    <t>ตามหนังสือแจ้งจัดสรรงบลงทุน งบประมาณรายจ่ายประจำปีงบประมาณ 2561</t>
  </si>
  <si>
    <t>ที่ สธ 0207.03.5/25019 ลว.11 กันยายน 2560</t>
  </si>
  <si>
    <t>เวชภัณฑ์มิใช่ยา</t>
  </si>
  <si>
    <t>2.เครื่องตรวจคลื่นไฟฟ้าหัวใจพร้อมระบบประมวลผล</t>
  </si>
  <si>
    <t>3.เครื่องอบความร้อนคลื่นสั้น</t>
  </si>
  <si>
    <t>4.เครื่องฟังเสียงหัวใจทารกในครรภ์</t>
  </si>
  <si>
    <t>5.เครื่องกระตุ้นปลายประสาทด้วยไฟฟ้า</t>
  </si>
  <si>
    <t>6.เครื่องดึงคอและหลังอัตโนมัติพร้อมเตียงปรับระดับได้</t>
  </si>
  <si>
    <t>7.หม้อต้มแผ่นความร้อน</t>
  </si>
  <si>
    <t>8.เครื่องวัดความดันโลหิตแบบสอดแขนชนิดอัตโนมัติ</t>
  </si>
  <si>
    <t>9.เครื่องวัดความดันลูกตาแบบไม่สัมผัสกระจกตา</t>
  </si>
  <si>
    <t>10.เครื่องฝึกยืนพร้อมเตียงไฟฟ้า</t>
  </si>
  <si>
    <t>11.หม้อแช่พาราฟิน</t>
  </si>
  <si>
    <t>12.เครื่องกระตุกไฟฟ้าหัวใจชนิดอัตโนมัติ</t>
  </si>
  <si>
    <t>13.รถบรรทุกดีเซล ปริมาตรกระบอกสูบไม่เกิน 24,000 ซ๊ซ๊</t>
  </si>
  <si>
    <t>14.กล้องถ่ายภาพจอประสาทตาดิจิตอล</t>
  </si>
  <si>
    <t>หน่วยจัดซื้อ</t>
  </si>
  <si>
    <t>จัดสรรเขต91,625,186.36 บาท บวกประมาณการ IP เดือนละ 3 ล้านบาท หลังหักเงินเดือน(3*12=36,000,000) รวมเป็นเงิน 127,625,186.36 บาท หัก รพ.สต. 17,128,798.69 บาท คงเหลือ 110,496,387.67 บาท</t>
  </si>
  <si>
    <t>โครงการ</t>
  </si>
  <si>
    <t>นอกเหนือ Fixed cost</t>
  </si>
  <si>
    <t>เงินเดือน+ค่าตอบแทน+ปกส.</t>
  </si>
  <si>
    <t xml:space="preserve">fixed </t>
  </si>
  <si>
    <t>วัสดุ</t>
  </si>
  <si>
    <t>รวมทั้งสิ้น</t>
  </si>
  <si>
    <t>ปรับแก้ไขประมาณการ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</si>
</sst>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#,##0.00_ ;[Red]\-#,##0.00\ "/>
    <numFmt numFmtId="198" formatCode="#,##0_ ;[Red]\-#,##0\ "/>
    <numFmt numFmtId="199" formatCode="_(* #,##0.00_);_(* \(#,##0.00\);_(* &quot;-&quot;??_);_(@_)"/>
    <numFmt numFmtId="200" formatCode="0.000"/>
    <numFmt numFmtId="201" formatCode="_-* #,##0_-;\-* #,##0_-;_-* &quot;-&quot;??_-;_-@_-"/>
    <numFmt numFmtId="202" formatCode="#,##0.00_ ;\-#,##0.00\ "/>
    <numFmt numFmtId="203" formatCode="_-* #,##0.0000_-;\-* #,##0.0000_-;_-* &quot;-&quot;??_-;_-@_-"/>
    <numFmt numFmtId="204" formatCode="#,##0.00000000000_ ;\-#,##0.00000000000\ "/>
  </numFmts>
  <fonts count="13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16"/>
      <color indexed="8"/>
      <name val="TH SarabunPSK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Leelawadee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b/>
      <sz val="18"/>
      <color indexed="9"/>
      <name val="TH SarabunPSK"/>
      <family val="2"/>
    </font>
    <font>
      <sz val="18"/>
      <color indexed="8"/>
      <name val="TH SarabunPSK"/>
      <family val="2"/>
    </font>
    <font>
      <sz val="18"/>
      <color indexed="10"/>
      <name val="TH SarabunPSK"/>
      <family val="2"/>
    </font>
    <font>
      <sz val="10"/>
      <name val="Arial"/>
      <family val="2"/>
    </font>
    <font>
      <sz val="16"/>
      <color indexed="10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4"/>
      <name val="TH SarabunIT๙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1"/>
      <color indexed="8"/>
      <name val="TH SarabunPSK"/>
      <family val="2"/>
    </font>
    <font>
      <b/>
      <i/>
      <u val="single"/>
      <sz val="10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2"/>
    </font>
    <font>
      <u val="single"/>
      <sz val="16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sz val="16"/>
      <color indexed="30"/>
      <name val="TH SarabunPSK"/>
      <family val="2"/>
    </font>
    <font>
      <b/>
      <sz val="11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9"/>
      <color indexed="30"/>
      <name val="Tahoma"/>
      <family val="2"/>
    </font>
    <font>
      <sz val="9"/>
      <color indexed="30"/>
      <name val="Tahoma"/>
      <family val="2"/>
    </font>
    <font>
      <b/>
      <u val="single"/>
      <sz val="14"/>
      <color indexed="9"/>
      <name val="TH SarabunPSK"/>
      <family val="2"/>
    </font>
    <font>
      <sz val="9"/>
      <color indexed="8"/>
      <name val="TH SarabunPSK"/>
      <family val="2"/>
    </font>
    <font>
      <b/>
      <u val="single"/>
      <sz val="18"/>
      <color indexed="9"/>
      <name val="TH SarabunPSK"/>
      <family val="2"/>
    </font>
    <font>
      <sz val="20"/>
      <color indexed="8"/>
      <name val="TH SarabunPSK"/>
      <family val="2"/>
    </font>
    <font>
      <sz val="12"/>
      <color indexed="8"/>
      <name val="Tahoma"/>
      <family val="2"/>
    </font>
    <font>
      <b/>
      <sz val="11"/>
      <color indexed="10"/>
      <name val="Tahoma"/>
      <family val="2"/>
    </font>
    <font>
      <sz val="15"/>
      <color indexed="63"/>
      <name val="THSarabunNew"/>
      <family val="0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b/>
      <i/>
      <sz val="16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i/>
      <u val="single"/>
      <sz val="10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Calibri"/>
      <family val="2"/>
    </font>
    <font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sz val="16"/>
      <color rgb="FF0070C0"/>
      <name val="TH SarabunPSK"/>
      <family val="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 val="single"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 val="single"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5"/>
      <color rgb="FF222222"/>
      <name val="THSarabunNew"/>
      <family val="0"/>
    </font>
    <font>
      <b/>
      <sz val="16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0D0D0D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b/>
      <i/>
      <sz val="16"/>
      <color theme="1"/>
      <name val="TH SarabunPSK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82" fillId="23" borderId="1" applyNumberFormat="0" applyAlignment="0" applyProtection="0"/>
    <xf numFmtId="0" fontId="83" fillId="24" borderId="0" applyNumberFormat="0" applyBorder="0" applyAlignment="0" applyProtection="0"/>
    <xf numFmtId="0" fontId="84" fillId="0" borderId="4" applyNumberFormat="0" applyFill="0" applyAlignment="0" applyProtection="0"/>
    <xf numFmtId="0" fontId="85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86" fillId="20" borderId="5" applyNumberFormat="0" applyAlignment="0" applyProtection="0"/>
    <xf numFmtId="0" fontId="0" fillId="32" borderId="6" applyNumberFormat="0" applyFont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 wrapText="1"/>
    </xf>
    <xf numFmtId="0" fontId="92" fillId="0" borderId="10" xfId="0" applyFont="1" applyBorder="1" applyAlignment="1">
      <alignment horizontal="center" vertical="center" wrapText="1"/>
    </xf>
    <xf numFmtId="197" fontId="90" fillId="0" borderId="11" xfId="0" applyNumberFormat="1" applyFont="1" applyBorder="1" applyAlignment="1">
      <alignment/>
    </xf>
    <xf numFmtId="43" fontId="90" fillId="0" borderId="0" xfId="33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12" xfId="0" applyFont="1" applyBorder="1" applyAlignment="1">
      <alignment/>
    </xf>
    <xf numFmtId="0" fontId="92" fillId="0" borderId="0" xfId="0" applyFont="1" applyAlignment="1">
      <alignment/>
    </xf>
    <xf numFmtId="197" fontId="92" fillId="0" borderId="0" xfId="0" applyNumberFormat="1" applyFont="1" applyAlignment="1">
      <alignment/>
    </xf>
    <xf numFmtId="0" fontId="92" fillId="0" borderId="12" xfId="0" applyFont="1" applyBorder="1" applyAlignment="1">
      <alignment/>
    </xf>
    <xf numFmtId="0" fontId="92" fillId="0" borderId="0" xfId="0" applyFont="1" applyBorder="1" applyAlignment="1">
      <alignment/>
    </xf>
    <xf numFmtId="197" fontId="92" fillId="0" borderId="12" xfId="0" applyNumberFormat="1" applyFont="1" applyBorder="1" applyAlignment="1">
      <alignment/>
    </xf>
    <xf numFmtId="198" fontId="93" fillId="33" borderId="10" xfId="0" applyNumberFormat="1" applyFont="1" applyFill="1" applyBorder="1" applyAlignment="1">
      <alignment horizontal="center"/>
    </xf>
    <xf numFmtId="0" fontId="90" fillId="0" borderId="0" xfId="0" applyFont="1" applyAlignment="1">
      <alignment vertical="center"/>
    </xf>
    <xf numFmtId="0" fontId="91" fillId="0" borderId="12" xfId="0" applyFont="1" applyBorder="1" applyAlignment="1">
      <alignment/>
    </xf>
    <xf numFmtId="0" fontId="91" fillId="0" borderId="0" xfId="0" applyFont="1" applyBorder="1" applyAlignment="1">
      <alignment/>
    </xf>
    <xf numFmtId="0" fontId="90" fillId="0" borderId="0" xfId="0" applyFont="1" applyAlignment="1">
      <alignment horizontal="left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43" fontId="92" fillId="0" borderId="10" xfId="33" applyFont="1" applyFill="1" applyBorder="1" applyAlignment="1">
      <alignment horizontal="center" vertical="center" wrapText="1"/>
    </xf>
    <xf numFmtId="43" fontId="96" fillId="0" borderId="10" xfId="33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Alignment="1">
      <alignment/>
    </xf>
    <xf numFmtId="43" fontId="96" fillId="0" borderId="0" xfId="33" applyFont="1" applyFill="1" applyAlignment="1">
      <alignment/>
    </xf>
    <xf numFmtId="43" fontId="96" fillId="0" borderId="0" xfId="33" applyFont="1" applyFill="1" applyBorder="1" applyAlignment="1">
      <alignment/>
    </xf>
    <xf numFmtId="0" fontId="96" fillId="0" borderId="10" xfId="0" applyFont="1" applyBorder="1" applyAlignment="1">
      <alignment/>
    </xf>
    <xf numFmtId="43" fontId="95" fillId="0" borderId="0" xfId="33" applyFont="1" applyFill="1" applyAlignment="1">
      <alignment/>
    </xf>
    <xf numFmtId="0" fontId="92" fillId="0" borderId="0" xfId="0" applyFont="1" applyFill="1" applyAlignment="1">
      <alignment/>
    </xf>
    <xf numFmtId="0" fontId="4" fillId="0" borderId="10" xfId="42" applyFont="1" applyFill="1" applyBorder="1" applyAlignment="1">
      <alignment horizontal="center"/>
      <protection/>
    </xf>
    <xf numFmtId="197" fontId="90" fillId="8" borderId="13" xfId="0" applyNumberFormat="1" applyFont="1" applyFill="1" applyBorder="1" applyAlignment="1">
      <alignment/>
    </xf>
    <xf numFmtId="197" fontId="90" fillId="8" borderId="12" xfId="33" applyNumberFormat="1" applyFont="1" applyFill="1" applyBorder="1" applyAlignment="1">
      <alignment/>
    </xf>
    <xf numFmtId="0" fontId="97" fillId="0" borderId="10" xfId="0" applyFont="1" applyBorder="1" applyAlignment="1">
      <alignment horizontal="center" vertical="center" wrapText="1"/>
    </xf>
    <xf numFmtId="197" fontId="92" fillId="0" borderId="12" xfId="33" applyNumberFormat="1" applyFont="1" applyBorder="1" applyAlignment="1">
      <alignment/>
    </xf>
    <xf numFmtId="0" fontId="98" fillId="33" borderId="14" xfId="0" applyFont="1" applyFill="1" applyBorder="1" applyAlignment="1">
      <alignment horizontal="center"/>
    </xf>
    <xf numFmtId="0" fontId="9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7" fontId="96" fillId="0" borderId="0" xfId="0" applyNumberFormat="1" applyFont="1" applyAlignment="1">
      <alignment/>
    </xf>
    <xf numFmtId="197" fontId="96" fillId="0" borderId="0" xfId="0" applyNumberFormat="1" applyFont="1" applyAlignment="1">
      <alignment wrapText="1"/>
    </xf>
    <xf numFmtId="197" fontId="90" fillId="0" borderId="0" xfId="0" applyNumberFormat="1" applyFont="1" applyAlignment="1">
      <alignment/>
    </xf>
    <xf numFmtId="0" fontId="99" fillId="0" borderId="15" xfId="0" applyFont="1" applyFill="1" applyBorder="1" applyAlignment="1">
      <alignment wrapText="1"/>
    </xf>
    <xf numFmtId="0" fontId="92" fillId="18" borderId="16" xfId="0" applyFont="1" applyFill="1" applyBorder="1" applyAlignment="1">
      <alignment wrapText="1"/>
    </xf>
    <xf numFmtId="0" fontId="92" fillId="18" borderId="0" xfId="0" applyFont="1" applyFill="1" applyBorder="1" applyAlignment="1">
      <alignment horizontal="left" wrapText="1"/>
    </xf>
    <xf numFmtId="0" fontId="92" fillId="18" borderId="16" xfId="0" applyFont="1" applyFill="1" applyBorder="1" applyAlignment="1">
      <alignment/>
    </xf>
    <xf numFmtId="0" fontId="92" fillId="18" borderId="0" xfId="0" applyFont="1" applyFill="1" applyBorder="1" applyAlignment="1">
      <alignment/>
    </xf>
    <xf numFmtId="0" fontId="90" fillId="18" borderId="16" xfId="0" applyFont="1" applyFill="1" applyBorder="1" applyAlignment="1">
      <alignment/>
    </xf>
    <xf numFmtId="0" fontId="90" fillId="18" borderId="0" xfId="0" applyFont="1" applyFill="1" applyBorder="1" applyAlignment="1">
      <alignment/>
    </xf>
    <xf numFmtId="0" fontId="92" fillId="0" borderId="17" xfId="0" applyFont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left"/>
    </xf>
    <xf numFmtId="0" fontId="90" fillId="0" borderId="0" xfId="0" applyFont="1" applyBorder="1" applyAlignment="1">
      <alignment/>
    </xf>
    <xf numFmtId="197" fontId="90" fillId="0" borderId="18" xfId="0" applyNumberFormat="1" applyFont="1" applyBorder="1" applyAlignment="1">
      <alignment/>
    </xf>
    <xf numFmtId="197" fontId="90" fillId="0" borderId="19" xfId="0" applyNumberFormat="1" applyFont="1" applyBorder="1" applyAlignment="1">
      <alignment/>
    </xf>
    <xf numFmtId="197" fontId="92" fillId="0" borderId="19" xfId="0" applyNumberFormat="1" applyFont="1" applyBorder="1" applyAlignment="1">
      <alignment/>
    </xf>
    <xf numFmtId="0" fontId="98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2" fillId="0" borderId="16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90" fillId="0" borderId="19" xfId="0" applyFont="1" applyBorder="1" applyAlignment="1">
      <alignment/>
    </xf>
    <xf numFmtId="0" fontId="9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7" fontId="91" fillId="0" borderId="19" xfId="0" applyNumberFormat="1" applyFont="1" applyBorder="1" applyAlignment="1">
      <alignment/>
    </xf>
    <xf numFmtId="0" fontId="90" fillId="0" borderId="16" xfId="0" applyFont="1" applyFill="1" applyBorder="1" applyAlignment="1">
      <alignment/>
    </xf>
    <xf numFmtId="197" fontId="92" fillId="0" borderId="21" xfId="0" applyNumberFormat="1" applyFont="1" applyBorder="1" applyAlignment="1">
      <alignment/>
    </xf>
    <xf numFmtId="0" fontId="90" fillId="0" borderId="22" xfId="0" applyFont="1" applyFill="1" applyBorder="1" applyAlignment="1">
      <alignment/>
    </xf>
    <xf numFmtId="0" fontId="90" fillId="0" borderId="23" xfId="0" applyFont="1" applyBorder="1" applyAlignment="1">
      <alignment/>
    </xf>
    <xf numFmtId="0" fontId="90" fillId="0" borderId="24" xfId="0" applyFont="1" applyBorder="1" applyAlignment="1">
      <alignment/>
    </xf>
    <xf numFmtId="197" fontId="90" fillId="0" borderId="0" xfId="0" applyNumberFormat="1" applyFont="1" applyBorder="1" applyAlignment="1">
      <alignment/>
    </xf>
    <xf numFmtId="0" fontId="90" fillId="34" borderId="25" xfId="0" applyFont="1" applyFill="1" applyBorder="1" applyAlignment="1">
      <alignment horizontal="centerContinuous"/>
    </xf>
    <xf numFmtId="10" fontId="90" fillId="0" borderId="19" xfId="44" applyNumberFormat="1" applyFont="1" applyBorder="1" applyAlignment="1">
      <alignment/>
    </xf>
    <xf numFmtId="197" fontId="91" fillId="0" borderId="21" xfId="0" applyNumberFormat="1" applyFont="1" applyFill="1" applyBorder="1" applyAlignment="1">
      <alignment/>
    </xf>
    <xf numFmtId="197" fontId="91" fillId="0" borderId="19" xfId="0" applyNumberFormat="1" applyFont="1" applyFill="1" applyBorder="1" applyAlignment="1">
      <alignment/>
    </xf>
    <xf numFmtId="197" fontId="90" fillId="0" borderId="19" xfId="0" applyNumberFormat="1" applyFont="1" applyFill="1" applyBorder="1" applyAlignment="1">
      <alignment/>
    </xf>
    <xf numFmtId="197" fontId="92" fillId="0" borderId="19" xfId="0" applyNumberFormat="1" applyFont="1" applyFill="1" applyBorder="1" applyAlignment="1">
      <alignment/>
    </xf>
    <xf numFmtId="0" fontId="90" fillId="0" borderId="19" xfId="0" applyFont="1" applyFill="1" applyBorder="1" applyAlignment="1">
      <alignment/>
    </xf>
    <xf numFmtId="197" fontId="92" fillId="0" borderId="18" xfId="0" applyNumberFormat="1" applyFont="1" applyFill="1" applyBorder="1" applyAlignment="1">
      <alignment/>
    </xf>
    <xf numFmtId="0" fontId="92" fillId="0" borderId="18" xfId="0" applyFont="1" applyBorder="1" applyAlignment="1">
      <alignment/>
    </xf>
    <xf numFmtId="0" fontId="92" fillId="0" borderId="26" xfId="0" applyFont="1" applyBorder="1" applyAlignment="1">
      <alignment/>
    </xf>
    <xf numFmtId="0" fontId="0" fillId="0" borderId="10" xfId="0" applyBorder="1" applyAlignment="1">
      <alignment/>
    </xf>
    <xf numFmtId="0" fontId="96" fillId="0" borderId="10" xfId="0" applyFont="1" applyBorder="1" applyAlignment="1">
      <alignment horizontal="center" vertical="center"/>
    </xf>
    <xf numFmtId="0" fontId="94" fillId="0" borderId="0" xfId="0" applyFont="1" applyAlignment="1">
      <alignment/>
    </xf>
    <xf numFmtId="43" fontId="95" fillId="0" borderId="10" xfId="33" applyFont="1" applyFill="1" applyBorder="1" applyAlignment="1">
      <alignment/>
    </xf>
    <xf numFmtId="0" fontId="100" fillId="0" borderId="27" xfId="0" applyFont="1" applyBorder="1" applyAlignment="1">
      <alignment/>
    </xf>
    <xf numFmtId="0" fontId="0" fillId="0" borderId="0" xfId="0" applyAlignment="1">
      <alignment horizontal="center"/>
    </xf>
    <xf numFmtId="0" fontId="96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102" fillId="0" borderId="0" xfId="0" applyFont="1" applyAlignment="1">
      <alignment/>
    </xf>
    <xf numFmtId="0" fontId="90" fillId="35" borderId="0" xfId="0" applyFont="1" applyFill="1" applyBorder="1" applyAlignment="1">
      <alignment/>
    </xf>
    <xf numFmtId="0" fontId="90" fillId="35" borderId="12" xfId="0" applyFont="1" applyFill="1" applyBorder="1" applyAlignment="1">
      <alignment/>
    </xf>
    <xf numFmtId="0" fontId="90" fillId="35" borderId="0" xfId="0" applyFont="1" applyFill="1" applyBorder="1" applyAlignment="1">
      <alignment/>
    </xf>
    <xf numFmtId="197" fontId="90" fillId="35" borderId="19" xfId="0" applyNumberFormat="1" applyFont="1" applyFill="1" applyBorder="1" applyAlignment="1">
      <alignment/>
    </xf>
    <xf numFmtId="0" fontId="92" fillId="35" borderId="0" xfId="0" applyFont="1" applyFill="1" applyBorder="1" applyAlignment="1">
      <alignment/>
    </xf>
    <xf numFmtId="197" fontId="92" fillId="35" borderId="19" xfId="0" applyNumberFormat="1" applyFont="1" applyFill="1" applyBorder="1" applyAlignment="1">
      <alignment/>
    </xf>
    <xf numFmtId="0" fontId="103" fillId="0" borderId="10" xfId="0" applyFont="1" applyBorder="1" applyAlignment="1">
      <alignment/>
    </xf>
    <xf numFmtId="0" fontId="90" fillId="34" borderId="20" xfId="0" applyFont="1" applyFill="1" applyBorder="1" applyAlignment="1">
      <alignment horizontal="center" vertical="center"/>
    </xf>
    <xf numFmtId="0" fontId="92" fillId="13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/>
    </xf>
    <xf numFmtId="0" fontId="92" fillId="13" borderId="1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0" fillId="34" borderId="28" xfId="0" applyFont="1" applyFill="1" applyBorder="1" applyAlignment="1">
      <alignment horizontal="centerContinuous"/>
    </xf>
    <xf numFmtId="0" fontId="92" fillId="13" borderId="29" xfId="0" applyFont="1" applyFill="1" applyBorder="1" applyAlignment="1">
      <alignment vertical="center"/>
    </xf>
    <xf numFmtId="0" fontId="92" fillId="34" borderId="17" xfId="0" applyFont="1" applyFill="1" applyBorder="1" applyAlignment="1">
      <alignment horizontal="center" vertical="center"/>
    </xf>
    <xf numFmtId="0" fontId="90" fillId="11" borderId="29" xfId="0" applyFont="1" applyFill="1" applyBorder="1" applyAlignment="1">
      <alignment horizontal="center"/>
    </xf>
    <xf numFmtId="197" fontId="90" fillId="7" borderId="17" xfId="33" applyNumberFormat="1" applyFont="1" applyFill="1" applyBorder="1" applyAlignment="1">
      <alignment/>
    </xf>
    <xf numFmtId="197" fontId="90" fillId="7" borderId="17" xfId="0" applyNumberFormat="1" applyFont="1" applyFill="1" applyBorder="1" applyAlignment="1">
      <alignment/>
    </xf>
    <xf numFmtId="0" fontId="90" fillId="0" borderId="29" xfId="0" applyFont="1" applyBorder="1" applyAlignment="1">
      <alignment horizontal="center"/>
    </xf>
    <xf numFmtId="197" fontId="91" fillId="7" borderId="17" xfId="0" applyNumberFormat="1" applyFont="1" applyFill="1" applyBorder="1" applyAlignment="1">
      <alignment/>
    </xf>
    <xf numFmtId="0" fontId="92" fillId="13" borderId="29" xfId="0" applyFont="1" applyFill="1" applyBorder="1" applyAlignment="1">
      <alignment horizontal="center"/>
    </xf>
    <xf numFmtId="0" fontId="91" fillId="11" borderId="29" xfId="0" applyFont="1" applyFill="1" applyBorder="1" applyAlignment="1">
      <alignment horizontal="center"/>
    </xf>
    <xf numFmtId="197" fontId="96" fillId="7" borderId="17" xfId="0" applyNumberFormat="1" applyFont="1" applyFill="1" applyBorder="1" applyAlignment="1">
      <alignment/>
    </xf>
    <xf numFmtId="0" fontId="92" fillId="0" borderId="29" xfId="0" applyFont="1" applyBorder="1" applyAlignment="1">
      <alignment horizontal="center"/>
    </xf>
    <xf numFmtId="197" fontId="92" fillId="7" borderId="17" xfId="0" applyNumberFormat="1" applyFont="1" applyFill="1" applyBorder="1" applyAlignment="1">
      <alignment/>
    </xf>
    <xf numFmtId="197" fontId="92" fillId="0" borderId="17" xfId="0" applyNumberFormat="1" applyFont="1" applyBorder="1" applyAlignment="1">
      <alignment/>
    </xf>
    <xf numFmtId="0" fontId="90" fillId="0" borderId="30" xfId="0" applyFont="1" applyBorder="1" applyAlignment="1">
      <alignment horizontal="left"/>
    </xf>
    <xf numFmtId="0" fontId="90" fillId="0" borderId="31" xfId="0" applyFont="1" applyBorder="1" applyAlignment="1">
      <alignment/>
    </xf>
    <xf numFmtId="0" fontId="90" fillId="0" borderId="32" xfId="0" applyFont="1" applyBorder="1" applyAlignment="1">
      <alignment/>
    </xf>
    <xf numFmtId="0" fontId="96" fillId="0" borderId="10" xfId="0" applyFont="1" applyBorder="1" applyAlignment="1">
      <alignment horizontal="center" vertical="center" wrapText="1"/>
    </xf>
    <xf numFmtId="43" fontId="9" fillId="0" borderId="10" xfId="33" applyFont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96" fillId="0" borderId="0" xfId="0" applyFont="1" applyFill="1" applyAlignment="1">
      <alignment/>
    </xf>
    <xf numFmtId="197" fontId="92" fillId="0" borderId="0" xfId="0" applyNumberFormat="1" applyFont="1" applyFill="1" applyBorder="1" applyAlignment="1">
      <alignment/>
    </xf>
    <xf numFmtId="0" fontId="94" fillId="0" borderId="0" xfId="0" applyFont="1" applyFill="1" applyAlignment="1">
      <alignment horizontal="center"/>
    </xf>
    <xf numFmtId="0" fontId="94" fillId="30" borderId="0" xfId="0" applyFont="1" applyFill="1" applyAlignment="1">
      <alignment horizontal="center"/>
    </xf>
    <xf numFmtId="0" fontId="94" fillId="30" borderId="0" xfId="0" applyFont="1" applyFill="1" applyAlignment="1">
      <alignment/>
    </xf>
    <xf numFmtId="0" fontId="94" fillId="36" borderId="0" xfId="0" applyFont="1" applyFill="1" applyBorder="1" applyAlignment="1">
      <alignment/>
    </xf>
    <xf numFmtId="0" fontId="94" fillId="37" borderId="0" xfId="0" applyFont="1" applyFill="1" applyBorder="1" applyAlignment="1">
      <alignment/>
    </xf>
    <xf numFmtId="0" fontId="107" fillId="0" borderId="0" xfId="0" applyFont="1" applyAlignment="1">
      <alignment horizontal="right"/>
    </xf>
    <xf numFmtId="197" fontId="96" fillId="12" borderId="10" xfId="0" applyNumberFormat="1" applyFont="1" applyFill="1" applyBorder="1" applyAlignment="1">
      <alignment/>
    </xf>
    <xf numFmtId="0" fontId="16" fillId="0" borderId="33" xfId="58" applyFont="1" applyFill="1" applyBorder="1" applyAlignment="1">
      <alignment/>
      <protection/>
    </xf>
    <xf numFmtId="0" fontId="16" fillId="0" borderId="33" xfId="58" applyFont="1" applyFill="1" applyBorder="1" applyAlignment="1">
      <alignment horizontal="right"/>
      <protection/>
    </xf>
    <xf numFmtId="0" fontId="16" fillId="38" borderId="34" xfId="58" applyFont="1" applyFill="1" applyBorder="1" applyAlignment="1">
      <alignment horizontal="center"/>
      <protection/>
    </xf>
    <xf numFmtId="0" fontId="11" fillId="19" borderId="10" xfId="61" applyFont="1" applyFill="1" applyBorder="1" applyAlignment="1">
      <alignment/>
      <protection/>
    </xf>
    <xf numFmtId="0" fontId="96" fillId="19" borderId="10" xfId="0" applyFont="1" applyFill="1" applyBorder="1" applyAlignment="1">
      <alignment/>
    </xf>
    <xf numFmtId="0" fontId="0" fillId="19" borderId="0" xfId="0" applyFill="1" applyAlignment="1">
      <alignment/>
    </xf>
    <xf numFmtId="0" fontId="11" fillId="39" borderId="10" xfId="61" applyFont="1" applyFill="1" applyBorder="1" applyAlignment="1">
      <alignment/>
      <protection/>
    </xf>
    <xf numFmtId="0" fontId="96" fillId="39" borderId="10" xfId="0" applyFont="1" applyFill="1" applyBorder="1" applyAlignment="1">
      <alignment/>
    </xf>
    <xf numFmtId="0" fontId="0" fillId="39" borderId="0" xfId="0" applyFill="1" applyAlignment="1">
      <alignment/>
    </xf>
    <xf numFmtId="197" fontId="0" fillId="0" borderId="0" xfId="0" applyNumberFormat="1" applyAlignment="1">
      <alignment/>
    </xf>
    <xf numFmtId="0" fontId="4" fillId="34" borderId="10" xfId="42" applyFont="1" applyFill="1" applyBorder="1" applyAlignment="1">
      <alignment horizontal="center"/>
      <protection/>
    </xf>
    <xf numFmtId="0" fontId="108" fillId="0" borderId="0" xfId="0" applyFont="1" applyAlignment="1">
      <alignment/>
    </xf>
    <xf numFmtId="0" fontId="16" fillId="34" borderId="33" xfId="58" applyFont="1" applyFill="1" applyBorder="1" applyAlignment="1">
      <alignment/>
      <protection/>
    </xf>
    <xf numFmtId="0" fontId="16" fillId="34" borderId="33" xfId="58" applyFont="1" applyFill="1" applyBorder="1" applyAlignment="1">
      <alignment horizontal="right"/>
      <protection/>
    </xf>
    <xf numFmtId="0" fontId="94" fillId="34" borderId="0" xfId="0" applyFont="1" applyFill="1" applyAlignment="1">
      <alignment/>
    </xf>
    <xf numFmtId="0" fontId="95" fillId="0" borderId="0" xfId="0" applyFont="1" applyFill="1" applyAlignment="1">
      <alignment/>
    </xf>
    <xf numFmtId="0" fontId="92" fillId="0" borderId="10" xfId="0" applyFont="1" applyFill="1" applyBorder="1" applyAlignment="1">
      <alignment horizontal="center" vertical="center"/>
    </xf>
    <xf numFmtId="0" fontId="109" fillId="0" borderId="0" xfId="0" applyFont="1" applyFill="1" applyAlignment="1">
      <alignment/>
    </xf>
    <xf numFmtId="197" fontId="92" fillId="0" borderId="0" xfId="33" applyNumberFormat="1" applyFont="1" applyFill="1" applyBorder="1" applyAlignment="1">
      <alignment/>
    </xf>
    <xf numFmtId="0" fontId="110" fillId="0" borderId="0" xfId="0" applyFont="1" applyFill="1" applyAlignment="1">
      <alignment/>
    </xf>
    <xf numFmtId="197" fontId="96" fillId="0" borderId="0" xfId="33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92" fillId="0" borderId="0" xfId="0" applyFont="1" applyFill="1" applyAlignment="1">
      <alignment vertical="center"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2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10" xfId="0" applyFont="1" applyFill="1" applyBorder="1" applyAlignment="1">
      <alignment horizontal="center"/>
    </xf>
    <xf numFmtId="197" fontId="96" fillId="40" borderId="10" xfId="33" applyNumberFormat="1" applyFont="1" applyFill="1" applyBorder="1" applyAlignment="1">
      <alignment/>
    </xf>
    <xf numFmtId="0" fontId="103" fillId="40" borderId="10" xfId="0" applyFont="1" applyFill="1" applyBorder="1" applyAlignment="1">
      <alignment horizontal="center"/>
    </xf>
    <xf numFmtId="0" fontId="103" fillId="40" borderId="10" xfId="0" applyFont="1" applyFill="1" applyBorder="1" applyAlignment="1">
      <alignment horizontal="left"/>
    </xf>
    <xf numFmtId="197" fontId="103" fillId="40" borderId="10" xfId="33" applyNumberFormat="1" applyFont="1" applyFill="1" applyBorder="1" applyAlignment="1">
      <alignment/>
    </xf>
    <xf numFmtId="0" fontId="92" fillId="40" borderId="10" xfId="0" applyFont="1" applyFill="1" applyBorder="1" applyAlignment="1">
      <alignment horizontal="center"/>
    </xf>
    <xf numFmtId="197" fontId="92" fillId="40" borderId="10" xfId="33" applyNumberFormat="1" applyFont="1" applyFill="1" applyBorder="1" applyAlignment="1">
      <alignment/>
    </xf>
    <xf numFmtId="197" fontId="92" fillId="40" borderId="35" xfId="0" applyNumberFormat="1" applyFont="1" applyFill="1" applyBorder="1" applyAlignment="1">
      <alignment/>
    </xf>
    <xf numFmtId="197" fontId="92" fillId="40" borderId="35" xfId="33" applyNumberFormat="1" applyFont="1" applyFill="1" applyBorder="1" applyAlignment="1">
      <alignment/>
    </xf>
    <xf numFmtId="0" fontId="103" fillId="0" borderId="36" xfId="0" applyFont="1" applyFill="1" applyBorder="1" applyAlignment="1">
      <alignment horizontal="center"/>
    </xf>
    <xf numFmtId="0" fontId="92" fillId="0" borderId="37" xfId="0" applyFont="1" applyFill="1" applyBorder="1" applyAlignment="1">
      <alignment/>
    </xf>
    <xf numFmtId="0" fontId="94" fillId="0" borderId="11" xfId="0" applyFont="1" applyFill="1" applyBorder="1" applyAlignment="1">
      <alignment horizontal="center"/>
    </xf>
    <xf numFmtId="197" fontId="111" fillId="0" borderId="13" xfId="0" applyNumberFormat="1" applyFont="1" applyFill="1" applyBorder="1" applyAlignment="1">
      <alignment/>
    </xf>
    <xf numFmtId="197" fontId="92" fillId="16" borderId="14" xfId="0" applyNumberFormat="1" applyFont="1" applyFill="1" applyBorder="1" applyAlignment="1">
      <alignment/>
    </xf>
    <xf numFmtId="197" fontId="92" fillId="16" borderId="10" xfId="0" applyNumberFormat="1" applyFont="1" applyFill="1" applyBorder="1" applyAlignment="1">
      <alignment/>
    </xf>
    <xf numFmtId="197" fontId="92" fillId="16" borderId="37" xfId="0" applyNumberFormat="1" applyFont="1" applyFill="1" applyBorder="1" applyAlignment="1">
      <alignment/>
    </xf>
    <xf numFmtId="0" fontId="96" fillId="16" borderId="37" xfId="0" applyFont="1" applyFill="1" applyBorder="1" applyAlignment="1">
      <alignment/>
    </xf>
    <xf numFmtId="197" fontId="96" fillId="16" borderId="10" xfId="33" applyNumberFormat="1" applyFont="1" applyFill="1" applyBorder="1" applyAlignment="1">
      <alignment/>
    </xf>
    <xf numFmtId="0" fontId="96" fillId="16" borderId="14" xfId="0" applyFont="1" applyFill="1" applyBorder="1" applyAlignment="1">
      <alignment/>
    </xf>
    <xf numFmtId="0" fontId="96" fillId="16" borderId="14" xfId="0" applyFont="1" applyFill="1" applyBorder="1" applyAlignment="1">
      <alignment horizontal="center"/>
    </xf>
    <xf numFmtId="0" fontId="96" fillId="16" borderId="10" xfId="0" applyFont="1" applyFill="1" applyBorder="1" applyAlignment="1">
      <alignment horizontal="center"/>
    </xf>
    <xf numFmtId="43" fontId="96" fillId="40" borderId="10" xfId="33" applyFont="1" applyFill="1" applyBorder="1" applyAlignment="1">
      <alignment/>
    </xf>
    <xf numFmtId="0" fontId="92" fillId="40" borderId="0" xfId="0" applyFont="1" applyFill="1" applyAlignment="1">
      <alignment vertical="center"/>
    </xf>
    <xf numFmtId="0" fontId="95" fillId="40" borderId="0" xfId="0" applyFont="1" applyFill="1" applyAlignment="1">
      <alignment/>
    </xf>
    <xf numFmtId="43" fontId="92" fillId="0" borderId="35" xfId="33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43" fontId="96" fillId="41" borderId="10" xfId="33" applyFont="1" applyFill="1" applyBorder="1" applyAlignment="1">
      <alignment/>
    </xf>
    <xf numFmtId="43" fontId="92" fillId="40" borderId="35" xfId="33" applyFont="1" applyFill="1" applyBorder="1" applyAlignment="1">
      <alignment horizontal="center" vertical="center" wrapText="1"/>
    </xf>
    <xf numFmtId="43" fontId="96" fillId="0" borderId="10" xfId="0" applyNumberFormat="1" applyFont="1" applyBorder="1" applyAlignment="1">
      <alignment/>
    </xf>
    <xf numFmtId="43" fontId="92" fillId="40" borderId="10" xfId="33" applyFont="1" applyFill="1" applyBorder="1" applyAlignment="1">
      <alignment horizontal="center"/>
    </xf>
    <xf numFmtId="0" fontId="0" fillId="0" borderId="0" xfId="0" applyFill="1" applyAlignment="1">
      <alignment/>
    </xf>
    <xf numFmtId="43" fontId="96" fillId="0" borderId="10" xfId="33" applyFont="1" applyBorder="1" applyAlignment="1">
      <alignment/>
    </xf>
    <xf numFmtId="43" fontId="92" fillId="41" borderId="35" xfId="33" applyFont="1" applyFill="1" applyBorder="1" applyAlignment="1">
      <alignment horizontal="center" vertical="center"/>
    </xf>
    <xf numFmtId="0" fontId="96" fillId="41" borderId="35" xfId="0" applyFont="1" applyFill="1" applyBorder="1" applyAlignment="1">
      <alignment horizontal="center" vertical="center"/>
    </xf>
    <xf numFmtId="0" fontId="96" fillId="0" borderId="0" xfId="0" applyFont="1" applyAlignment="1">
      <alignment vertical="center" wrapText="1"/>
    </xf>
    <xf numFmtId="0" fontId="96" fillId="0" borderId="0" xfId="0" applyFont="1" applyFill="1" applyAlignment="1">
      <alignment horizontal="center" vertical="center" wrapText="1"/>
    </xf>
    <xf numFmtId="0" fontId="96" fillId="42" borderId="10" xfId="0" applyFont="1" applyFill="1" applyBorder="1" applyAlignment="1">
      <alignment horizontal="center" vertical="center" wrapText="1"/>
    </xf>
    <xf numFmtId="197" fontId="96" fillId="0" borderId="10" xfId="0" applyNumberFormat="1" applyFont="1" applyBorder="1" applyAlignment="1">
      <alignment/>
    </xf>
    <xf numFmtId="197" fontId="96" fillId="42" borderId="10" xfId="0" applyNumberFormat="1" applyFont="1" applyFill="1" applyBorder="1" applyAlignment="1">
      <alignment/>
    </xf>
    <xf numFmtId="197" fontId="92" fillId="9" borderId="10" xfId="0" applyNumberFormat="1" applyFont="1" applyFill="1" applyBorder="1" applyAlignment="1">
      <alignment horizontal="center"/>
    </xf>
    <xf numFmtId="43" fontId="96" fillId="42" borderId="10" xfId="0" applyNumberFormat="1" applyFont="1" applyFill="1" applyBorder="1" applyAlignment="1">
      <alignment/>
    </xf>
    <xf numFmtId="0" fontId="96" fillId="0" borderId="10" xfId="0" applyNumberFormat="1" applyFont="1" applyBorder="1" applyAlignment="1">
      <alignment/>
    </xf>
    <xf numFmtId="0" fontId="96" fillId="3" borderId="10" xfId="0" applyFont="1" applyFill="1" applyBorder="1" applyAlignment="1">
      <alignment horizontal="center" vertical="center" wrapText="1"/>
    </xf>
    <xf numFmtId="197" fontId="96" fillId="3" borderId="10" xfId="0" applyNumberFormat="1" applyFont="1" applyFill="1" applyBorder="1" applyAlignment="1">
      <alignment/>
    </xf>
    <xf numFmtId="0" fontId="90" fillId="0" borderId="38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112" fillId="40" borderId="0" xfId="0" applyFont="1" applyFill="1" applyAlignment="1">
      <alignment horizontal="center" vertical="top" wrapText="1"/>
    </xf>
    <xf numFmtId="0" fontId="113" fillId="0" borderId="0" xfId="0" applyFont="1" applyAlignment="1">
      <alignment horizontal="center" vertical="top" wrapText="1"/>
    </xf>
    <xf numFmtId="0" fontId="112" fillId="0" borderId="0" xfId="0" applyFont="1" applyFill="1" applyAlignment="1">
      <alignment horizontal="center" vertical="top" wrapText="1"/>
    </xf>
    <xf numFmtId="0" fontId="113" fillId="0" borderId="0" xfId="0" applyFont="1" applyFill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 readingOrder="1"/>
    </xf>
    <xf numFmtId="0" fontId="6" fillId="43" borderId="39" xfId="0" applyFont="1" applyFill="1" applyBorder="1" applyAlignment="1">
      <alignment horizontal="center" vertical="center" wrapText="1" readingOrder="1"/>
    </xf>
    <xf numFmtId="0" fontId="9" fillId="42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10" fillId="35" borderId="0" xfId="0" applyFont="1" applyFill="1" applyBorder="1" applyAlignment="1">
      <alignment horizontal="center"/>
    </xf>
    <xf numFmtId="0" fontId="114" fillId="43" borderId="39" xfId="0" applyFont="1" applyFill="1" applyBorder="1" applyAlignment="1">
      <alignment horizontal="center" vertical="center" wrapText="1" readingOrder="1"/>
    </xf>
    <xf numFmtId="0" fontId="114" fillId="43" borderId="40" xfId="0" applyFont="1" applyFill="1" applyBorder="1" applyAlignment="1">
      <alignment horizontal="center" vertical="center" wrapText="1" readingOrder="1"/>
    </xf>
    <xf numFmtId="0" fontId="114" fillId="43" borderId="40" xfId="0" applyFont="1" applyFill="1" applyBorder="1" applyAlignment="1">
      <alignment horizontal="left" vertical="center" wrapText="1" readingOrder="1"/>
    </xf>
    <xf numFmtId="0" fontId="90" fillId="43" borderId="40" xfId="0" applyFont="1" applyFill="1" applyBorder="1" applyAlignment="1">
      <alignment horizontal="center" vertical="top" wrapText="1"/>
    </xf>
    <xf numFmtId="0" fontId="115" fillId="43" borderId="40" xfId="0" applyFont="1" applyFill="1" applyBorder="1" applyAlignment="1">
      <alignment horizontal="left" vertical="center" wrapText="1" readingOrder="1"/>
    </xf>
    <xf numFmtId="0" fontId="90" fillId="43" borderId="41" xfId="0" applyFont="1" applyFill="1" applyBorder="1" applyAlignment="1">
      <alignment horizontal="center" vertical="top" wrapText="1"/>
    </xf>
    <xf numFmtId="0" fontId="114" fillId="43" borderId="41" xfId="0" applyFont="1" applyFill="1" applyBorder="1" applyAlignment="1">
      <alignment horizontal="left" vertical="center" wrapText="1" readingOrder="1"/>
    </xf>
    <xf numFmtId="0" fontId="116" fillId="44" borderId="42" xfId="0" applyFont="1" applyFill="1" applyBorder="1" applyAlignment="1">
      <alignment horizontal="center" vertical="center" wrapText="1" readingOrder="1"/>
    </xf>
    <xf numFmtId="0" fontId="116" fillId="45" borderId="43" xfId="0" applyFont="1" applyFill="1" applyBorder="1" applyAlignment="1">
      <alignment horizontal="center" vertical="center" wrapText="1" readingOrder="1"/>
    </xf>
    <xf numFmtId="0" fontId="110" fillId="45" borderId="43" xfId="0" applyFont="1" applyFill="1" applyBorder="1" applyAlignment="1">
      <alignment horizontal="center" vertical="center" wrapText="1" readingOrder="1"/>
    </xf>
    <xf numFmtId="0" fontId="116" fillId="44" borderId="43" xfId="0" applyFont="1" applyFill="1" applyBorder="1" applyAlignment="1">
      <alignment horizontal="center" vertical="center" wrapText="1" readingOrder="1"/>
    </xf>
    <xf numFmtId="0" fontId="110" fillId="44" borderId="43" xfId="0" applyFont="1" applyFill="1" applyBorder="1" applyAlignment="1">
      <alignment horizontal="center" vertical="center" wrapText="1" readingOrder="1"/>
    </xf>
    <xf numFmtId="0" fontId="116" fillId="44" borderId="39" xfId="0" applyFont="1" applyFill="1" applyBorder="1" applyAlignment="1">
      <alignment horizontal="center" vertical="center" wrapText="1" readingOrder="1"/>
    </xf>
    <xf numFmtId="0" fontId="116" fillId="45" borderId="39" xfId="0" applyFont="1" applyFill="1" applyBorder="1" applyAlignment="1">
      <alignment horizontal="center" vertical="center" wrapText="1" readingOrder="1"/>
    </xf>
    <xf numFmtId="0" fontId="110" fillId="45" borderId="39" xfId="0" applyFont="1" applyFill="1" applyBorder="1" applyAlignment="1">
      <alignment horizontal="center" vertical="center" wrapText="1" readingOrder="1"/>
    </xf>
    <xf numFmtId="0" fontId="110" fillId="44" borderId="39" xfId="0" applyFont="1" applyFill="1" applyBorder="1" applyAlignment="1">
      <alignment horizontal="center" vertical="center" wrapText="1" readingOrder="1"/>
    </xf>
    <xf numFmtId="0" fontId="116" fillId="44" borderId="42" xfId="0" applyFont="1" applyFill="1" applyBorder="1" applyAlignment="1">
      <alignment horizontal="left" vertical="center" readingOrder="1"/>
    </xf>
    <xf numFmtId="0" fontId="116" fillId="45" borderId="43" xfId="0" applyFont="1" applyFill="1" applyBorder="1" applyAlignment="1">
      <alignment horizontal="left" vertical="center" readingOrder="1"/>
    </xf>
    <xf numFmtId="0" fontId="116" fillId="44" borderId="39" xfId="0" applyFont="1" applyFill="1" applyBorder="1" applyAlignment="1">
      <alignment horizontal="left" vertical="center" readingOrder="1"/>
    </xf>
    <xf numFmtId="0" fontId="116" fillId="45" borderId="39" xfId="0" applyFont="1" applyFill="1" applyBorder="1" applyAlignment="1">
      <alignment horizontal="left" vertical="center" readingOrder="1"/>
    </xf>
    <xf numFmtId="0" fontId="116" fillId="44" borderId="43" xfId="0" applyFont="1" applyFill="1" applyBorder="1" applyAlignment="1">
      <alignment horizontal="left" vertical="center" readingOrder="1"/>
    </xf>
    <xf numFmtId="0" fontId="90" fillId="0" borderId="1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106" fillId="35" borderId="0" xfId="0" applyFont="1" applyFill="1" applyBorder="1" applyAlignment="1">
      <alignment horizontal="center"/>
    </xf>
    <xf numFmtId="0" fontId="103" fillId="0" borderId="0" xfId="0" applyFont="1" applyFill="1" applyAlignment="1">
      <alignment horizontal="center"/>
    </xf>
    <xf numFmtId="0" fontId="117" fillId="0" borderId="0" xfId="0" applyFont="1" applyAlignment="1">
      <alignment/>
    </xf>
    <xf numFmtId="0" fontId="117" fillId="8" borderId="36" xfId="0" applyFont="1" applyFill="1" applyBorder="1" applyAlignment="1">
      <alignment horizontal="centerContinuous"/>
    </xf>
    <xf numFmtId="0" fontId="117" fillId="8" borderId="0" xfId="0" applyFont="1" applyFill="1" applyBorder="1" applyAlignment="1">
      <alignment horizontal="centerContinuous"/>
    </xf>
    <xf numFmtId="0" fontId="92" fillId="8" borderId="37" xfId="0" applyFont="1" applyFill="1" applyBorder="1" applyAlignment="1">
      <alignment horizontal="centerContinuous"/>
    </xf>
    <xf numFmtId="197" fontId="96" fillId="11" borderId="10" xfId="33" applyNumberFormat="1" applyFont="1" applyFill="1" applyBorder="1" applyAlignment="1">
      <alignment/>
    </xf>
    <xf numFmtId="197" fontId="92" fillId="11" borderId="10" xfId="33" applyNumberFormat="1" applyFont="1" applyFill="1" applyBorder="1" applyAlignment="1">
      <alignment/>
    </xf>
    <xf numFmtId="43" fontId="0" fillId="0" borderId="0" xfId="33" applyFont="1" applyAlignment="1">
      <alignment/>
    </xf>
    <xf numFmtId="197" fontId="0" fillId="11" borderId="0" xfId="0" applyNumberFormat="1" applyFill="1" applyAlignment="1">
      <alignment horizontal="center"/>
    </xf>
    <xf numFmtId="43" fontId="0" fillId="11" borderId="0" xfId="33" applyFont="1" applyFill="1" applyAlignment="1">
      <alignment/>
    </xf>
    <xf numFmtId="0" fontId="0" fillId="11" borderId="0" xfId="0" applyFill="1" applyAlignment="1">
      <alignment/>
    </xf>
    <xf numFmtId="0" fontId="84" fillId="0" borderId="0" xfId="0" applyFont="1" applyFill="1" applyAlignment="1">
      <alignment horizontal="center"/>
    </xf>
    <xf numFmtId="43" fontId="84" fillId="0" borderId="0" xfId="33" applyFont="1" applyFill="1" applyAlignment="1">
      <alignment horizontal="center"/>
    </xf>
    <xf numFmtId="0" fontId="92" fillId="11" borderId="10" xfId="0" applyFont="1" applyFill="1" applyBorder="1" applyAlignment="1">
      <alignment horizontal="center" vertical="center"/>
    </xf>
    <xf numFmtId="0" fontId="92" fillId="11" borderId="10" xfId="0" applyFont="1" applyFill="1" applyBorder="1" applyAlignment="1">
      <alignment horizontal="center" vertical="center" wrapText="1"/>
    </xf>
    <xf numFmtId="0" fontId="109" fillId="9" borderId="0" xfId="0" applyFont="1" applyFill="1" applyAlignment="1">
      <alignment/>
    </xf>
    <xf numFmtId="0" fontId="95" fillId="46" borderId="0" xfId="0" applyFont="1" applyFill="1" applyAlignment="1">
      <alignment/>
    </xf>
    <xf numFmtId="0" fontId="96" fillId="36" borderId="0" xfId="0" applyFont="1" applyFill="1" applyAlignment="1">
      <alignment/>
    </xf>
    <xf numFmtId="0" fontId="118" fillId="43" borderId="39" xfId="0" applyFont="1" applyFill="1" applyBorder="1" applyAlignment="1">
      <alignment horizontal="center" vertical="center" wrapText="1" readingOrder="1"/>
    </xf>
    <xf numFmtId="0" fontId="118" fillId="43" borderId="40" xfId="0" applyFont="1" applyFill="1" applyBorder="1" applyAlignment="1">
      <alignment horizontal="center" vertical="center" wrapText="1" readingOrder="1"/>
    </xf>
    <xf numFmtId="0" fontId="118" fillId="43" borderId="40" xfId="0" applyFont="1" applyFill="1" applyBorder="1" applyAlignment="1">
      <alignment horizontal="left" vertical="center" wrapText="1" readingOrder="1"/>
    </xf>
    <xf numFmtId="0" fontId="94" fillId="43" borderId="40" xfId="0" applyFont="1" applyFill="1" applyBorder="1" applyAlignment="1">
      <alignment horizontal="center" vertical="top" wrapText="1"/>
    </xf>
    <xf numFmtId="0" fontId="119" fillId="43" borderId="40" xfId="0" applyFont="1" applyFill="1" applyBorder="1" applyAlignment="1">
      <alignment horizontal="left" vertical="center" wrapText="1" readingOrder="1"/>
    </xf>
    <xf numFmtId="0" fontId="94" fillId="43" borderId="41" xfId="0" applyFont="1" applyFill="1" applyBorder="1" applyAlignment="1">
      <alignment horizontal="center" vertical="top" wrapText="1"/>
    </xf>
    <xf numFmtId="0" fontId="118" fillId="43" borderId="41" xfId="0" applyFont="1" applyFill="1" applyBorder="1" applyAlignment="1">
      <alignment horizontal="left" vertical="center" wrapText="1" readingOrder="1"/>
    </xf>
    <xf numFmtId="0" fontId="120" fillId="44" borderId="42" xfId="0" applyFont="1" applyFill="1" applyBorder="1" applyAlignment="1">
      <alignment horizontal="center" vertical="center" wrapText="1" readingOrder="1"/>
    </xf>
    <xf numFmtId="0" fontId="120" fillId="44" borderId="42" xfId="0" applyFont="1" applyFill="1" applyBorder="1" applyAlignment="1">
      <alignment horizontal="left" vertical="center" readingOrder="1"/>
    </xf>
    <xf numFmtId="0" fontId="120" fillId="45" borderId="43" xfId="0" applyFont="1" applyFill="1" applyBorder="1" applyAlignment="1">
      <alignment horizontal="center" vertical="center" wrapText="1" readingOrder="1"/>
    </xf>
    <xf numFmtId="0" fontId="121" fillId="45" borderId="43" xfId="0" applyFont="1" applyFill="1" applyBorder="1" applyAlignment="1">
      <alignment horizontal="center" vertical="center" wrapText="1" readingOrder="1"/>
    </xf>
    <xf numFmtId="0" fontId="120" fillId="45" borderId="43" xfId="0" applyFont="1" applyFill="1" applyBorder="1" applyAlignment="1">
      <alignment horizontal="left" vertical="center" readingOrder="1"/>
    </xf>
    <xf numFmtId="0" fontId="120" fillId="44" borderId="39" xfId="0" applyFont="1" applyFill="1" applyBorder="1" applyAlignment="1">
      <alignment horizontal="center" vertical="center" wrapText="1" readingOrder="1"/>
    </xf>
    <xf numFmtId="0" fontId="120" fillId="44" borderId="39" xfId="0" applyFont="1" applyFill="1" applyBorder="1" applyAlignment="1">
      <alignment horizontal="left" vertical="center" readingOrder="1"/>
    </xf>
    <xf numFmtId="0" fontId="120" fillId="45" borderId="39" xfId="0" applyFont="1" applyFill="1" applyBorder="1" applyAlignment="1">
      <alignment horizontal="center" vertical="center" wrapText="1" readingOrder="1"/>
    </xf>
    <xf numFmtId="0" fontId="121" fillId="45" borderId="39" xfId="0" applyFont="1" applyFill="1" applyBorder="1" applyAlignment="1">
      <alignment horizontal="center" vertical="center" wrapText="1" readingOrder="1"/>
    </xf>
    <xf numFmtId="0" fontId="120" fillId="45" borderId="39" xfId="0" applyFont="1" applyFill="1" applyBorder="1" applyAlignment="1">
      <alignment horizontal="left" vertical="center" readingOrder="1"/>
    </xf>
    <xf numFmtId="0" fontId="120" fillId="44" borderId="43" xfId="0" applyFont="1" applyFill="1" applyBorder="1" applyAlignment="1">
      <alignment horizontal="center" vertical="center" wrapText="1" readingOrder="1"/>
    </xf>
    <xf numFmtId="0" fontId="121" fillId="44" borderId="43" xfId="0" applyFont="1" applyFill="1" applyBorder="1" applyAlignment="1">
      <alignment horizontal="center" vertical="center" wrapText="1" readingOrder="1"/>
    </xf>
    <xf numFmtId="0" fontId="120" fillId="44" borderId="43" xfId="0" applyFont="1" applyFill="1" applyBorder="1" applyAlignment="1">
      <alignment horizontal="left" vertical="center" readingOrder="1"/>
    </xf>
    <xf numFmtId="0" fontId="121" fillId="44" borderId="39" xfId="0" applyFont="1" applyFill="1" applyBorder="1" applyAlignment="1">
      <alignment horizontal="center" vertical="center" wrapText="1" readingOrder="1"/>
    </xf>
    <xf numFmtId="0" fontId="96" fillId="34" borderId="0" xfId="0" applyFont="1" applyFill="1" applyAlignment="1">
      <alignment/>
    </xf>
    <xf numFmtId="0" fontId="96" fillId="19" borderId="0" xfId="0" applyFont="1" applyFill="1" applyAlignment="1">
      <alignment/>
    </xf>
    <xf numFmtId="0" fontId="96" fillId="47" borderId="0" xfId="0" applyFont="1" applyFill="1" applyAlignment="1">
      <alignment/>
    </xf>
    <xf numFmtId="0" fontId="122" fillId="0" borderId="0" xfId="0" applyFont="1" applyAlignment="1">
      <alignment/>
    </xf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43" fontId="9" fillId="35" borderId="10" xfId="33" applyFont="1" applyFill="1" applyBorder="1" applyAlignment="1">
      <alignment/>
    </xf>
    <xf numFmtId="43" fontId="96" fillId="0" borderId="0" xfId="33" applyFont="1" applyAlignment="1">
      <alignment/>
    </xf>
    <xf numFmtId="0" fontId="92" fillId="0" borderId="10" xfId="0" applyFont="1" applyFill="1" applyBorder="1" applyAlignment="1">
      <alignment horizontal="center"/>
    </xf>
    <xf numFmtId="49" fontId="9" fillId="0" borderId="10" xfId="54" applyNumberFormat="1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199" fontId="96" fillId="0" borderId="0" xfId="0" applyNumberFormat="1" applyFont="1" applyFill="1" applyAlignment="1">
      <alignment/>
    </xf>
    <xf numFmtId="49" fontId="9" fillId="0" borderId="10" xfId="59" applyNumberFormat="1" applyFont="1" applyFill="1" applyBorder="1" applyAlignment="1">
      <alignment horizontal="left" vertical="center" wrapText="1"/>
      <protection/>
    </xf>
    <xf numFmtId="200" fontId="96" fillId="0" borderId="10" xfId="0" applyNumberFormat="1" applyFont="1" applyFill="1" applyBorder="1" applyAlignment="1">
      <alignment horizontal="left"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23" fillId="0" borderId="33" xfId="60" applyFont="1" applyFill="1" applyBorder="1" applyAlignment="1">
      <alignment horizontal="left" vertical="center" wrapText="1"/>
      <protection/>
    </xf>
    <xf numFmtId="200" fontId="9" fillId="0" borderId="10" xfId="55" applyNumberFormat="1" applyFont="1" applyFill="1" applyBorder="1" applyAlignment="1">
      <alignment horizontal="left" vertical="center"/>
      <protection/>
    </xf>
    <xf numFmtId="0" fontId="11" fillId="0" borderId="3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3" fillId="0" borderId="33" xfId="60" applyFont="1" applyFill="1" applyBorder="1" applyAlignment="1">
      <alignment vertical="center" wrapText="1"/>
      <protection/>
    </xf>
    <xf numFmtId="49" fontId="9" fillId="0" borderId="10" xfId="48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00" fontId="9" fillId="0" borderId="10" xfId="54" applyNumberFormat="1" applyFont="1" applyFill="1" applyBorder="1" applyAlignment="1">
      <alignment horizontal="left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left" vertical="center"/>
      <protection/>
    </xf>
    <xf numFmtId="0" fontId="23" fillId="0" borderId="10" xfId="60" applyFont="1" applyFill="1" applyBorder="1" applyAlignment="1">
      <alignment vertical="center" wrapText="1"/>
      <protection/>
    </xf>
    <xf numFmtId="0" fontId="92" fillId="0" borderId="0" xfId="0" applyFont="1" applyFill="1" applyAlignment="1">
      <alignment horizontal="left"/>
    </xf>
    <xf numFmtId="43" fontId="96" fillId="0" borderId="0" xfId="0" applyNumberFormat="1" applyFont="1" applyAlignment="1">
      <alignment/>
    </xf>
    <xf numFmtId="0" fontId="94" fillId="16" borderId="10" xfId="0" applyFont="1" applyFill="1" applyBorder="1" applyAlignment="1">
      <alignment horizontal="center"/>
    </xf>
    <xf numFmtId="43" fontId="96" fillId="0" borderId="0" xfId="0" applyNumberFormat="1" applyFont="1" applyFill="1" applyAlignment="1">
      <alignment/>
    </xf>
    <xf numFmtId="43" fontId="90" fillId="7" borderId="17" xfId="33" applyFont="1" applyFill="1" applyBorder="1" applyAlignment="1">
      <alignment/>
    </xf>
    <xf numFmtId="49" fontId="9" fillId="0" borderId="10" xfId="54" applyNumberFormat="1" applyFont="1" applyFill="1" applyBorder="1" applyAlignment="1" quotePrefix="1">
      <alignment horizontal="left" vertical="center"/>
      <protection/>
    </xf>
    <xf numFmtId="0" fontId="90" fillId="40" borderId="10" xfId="0" applyFont="1" applyFill="1" applyBorder="1" applyAlignment="1">
      <alignment horizontal="center" vertical="center" wrapText="1"/>
    </xf>
    <xf numFmtId="43" fontId="90" fillId="0" borderId="10" xfId="33" applyFont="1" applyBorder="1" applyAlignment="1">
      <alignment/>
    </xf>
    <xf numFmtId="43" fontId="90" fillId="0" borderId="10" xfId="33" applyFont="1" applyFill="1" applyBorder="1" applyAlignment="1">
      <alignment/>
    </xf>
    <xf numFmtId="43" fontId="90" fillId="0" borderId="10" xfId="0" applyNumberFormat="1" applyFont="1" applyBorder="1" applyAlignment="1">
      <alignment/>
    </xf>
    <xf numFmtId="0" fontId="91" fillId="41" borderId="10" xfId="0" applyFont="1" applyFill="1" applyBorder="1" applyAlignment="1">
      <alignment horizontal="center"/>
    </xf>
    <xf numFmtId="43" fontId="90" fillId="41" borderId="10" xfId="33" applyFont="1" applyFill="1" applyBorder="1" applyAlignment="1">
      <alignment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43" fontId="7" fillId="0" borderId="10" xfId="33" applyFont="1" applyFill="1" applyBorder="1" applyAlignment="1">
      <alignment horizontal="left" shrinkToFit="1"/>
    </xf>
    <xf numFmtId="43" fontId="90" fillId="0" borderId="38" xfId="33" applyFont="1" applyBorder="1" applyAlignment="1">
      <alignment horizontal="center"/>
    </xf>
    <xf numFmtId="43" fontId="90" fillId="0" borderId="10" xfId="0" applyNumberFormat="1" applyFont="1" applyBorder="1" applyAlignment="1">
      <alignment horizontal="center" vertical="center"/>
    </xf>
    <xf numFmtId="43" fontId="90" fillId="0" borderId="10" xfId="0" applyNumberFormat="1" applyFont="1" applyBorder="1" applyAlignment="1">
      <alignment horizontal="center" vertical="center" wrapText="1"/>
    </xf>
    <xf numFmtId="43" fontId="90" fillId="41" borderId="10" xfId="33" applyFont="1" applyFill="1" applyBorder="1" applyAlignment="1">
      <alignment horizontal="center" vertical="center"/>
    </xf>
    <xf numFmtId="43" fontId="102" fillId="0" borderId="0" xfId="0" applyNumberFormat="1" applyFont="1" applyAlignment="1">
      <alignment/>
    </xf>
    <xf numFmtId="43" fontId="90" fillId="0" borderId="10" xfId="33" applyFont="1" applyBorder="1" applyAlignment="1">
      <alignment horizontal="center"/>
    </xf>
    <xf numFmtId="43" fontId="90" fillId="0" borderId="44" xfId="33" applyFont="1" applyBorder="1" applyAlignment="1">
      <alignment/>
    </xf>
    <xf numFmtId="43" fontId="90" fillId="41" borderId="44" xfId="0" applyNumberFormat="1" applyFont="1" applyFill="1" applyBorder="1" applyAlignment="1">
      <alignment horizontal="center" vertical="center"/>
    </xf>
    <xf numFmtId="43" fontId="90" fillId="41" borderId="44" xfId="33" applyFont="1" applyFill="1" applyBorder="1" applyAlignment="1">
      <alignment horizontal="center" vertical="center"/>
    </xf>
    <xf numFmtId="0" fontId="92" fillId="0" borderId="14" xfId="0" applyFont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123" fillId="0" borderId="0" xfId="0" applyFont="1" applyAlignment="1">
      <alignment/>
    </xf>
    <xf numFmtId="0" fontId="97" fillId="0" borderId="0" xfId="0" applyFont="1" applyBorder="1" applyAlignment="1">
      <alignment/>
    </xf>
    <xf numFmtId="0" fontId="124" fillId="0" borderId="0" xfId="0" applyFont="1" applyBorder="1" applyAlignment="1">
      <alignment/>
    </xf>
    <xf numFmtId="0" fontId="124" fillId="0" borderId="0" xfId="0" applyFont="1" applyFill="1" applyBorder="1" applyAlignment="1">
      <alignment/>
    </xf>
    <xf numFmtId="43" fontId="123" fillId="0" borderId="0" xfId="33" applyFont="1" applyBorder="1" applyAlignment="1">
      <alignment/>
    </xf>
    <xf numFmtId="0" fontId="97" fillId="0" borderId="10" xfId="0" applyFont="1" applyFill="1" applyBorder="1" applyAlignment="1">
      <alignment horizontal="center" vertical="top" wrapText="1"/>
    </xf>
    <xf numFmtId="43" fontId="123" fillId="0" borderId="0" xfId="33" applyFont="1" applyFill="1" applyAlignment="1">
      <alignment vertical="top"/>
    </xf>
    <xf numFmtId="0" fontId="124" fillId="0" borderId="0" xfId="0" applyFont="1" applyFill="1" applyAlignment="1">
      <alignment vertical="top"/>
    </xf>
    <xf numFmtId="0" fontId="124" fillId="0" borderId="0" xfId="0" applyFont="1" applyFill="1" applyAlignment="1">
      <alignment/>
    </xf>
    <xf numFmtId="0" fontId="123" fillId="0" borderId="10" xfId="0" applyFont="1" applyBorder="1" applyAlignment="1">
      <alignment horizontal="center"/>
    </xf>
    <xf numFmtId="43" fontId="24" fillId="0" borderId="10" xfId="33" applyFont="1" applyFill="1" applyBorder="1" applyAlignment="1">
      <alignment horizontal="left" shrinkToFit="1"/>
    </xf>
    <xf numFmtId="0" fontId="123" fillId="0" borderId="38" xfId="0" applyFont="1" applyBorder="1" applyAlignment="1">
      <alignment horizontal="center"/>
    </xf>
    <xf numFmtId="43" fontId="123" fillId="0" borderId="38" xfId="33" applyFont="1" applyBorder="1" applyAlignment="1">
      <alignment horizontal="center"/>
    </xf>
    <xf numFmtId="201" fontId="123" fillId="0" borderId="38" xfId="33" applyNumberFormat="1" applyFont="1" applyBorder="1" applyAlignment="1">
      <alignment horizontal="center"/>
    </xf>
    <xf numFmtId="43" fontId="123" fillId="0" borderId="10" xfId="33" applyFont="1" applyBorder="1" applyAlignment="1">
      <alignment/>
    </xf>
    <xf numFmtId="43" fontId="123" fillId="0" borderId="10" xfId="33" applyFont="1" applyFill="1" applyBorder="1" applyAlignment="1">
      <alignment/>
    </xf>
    <xf numFmtId="43" fontId="123" fillId="0" borderId="10" xfId="33" applyFont="1" applyBorder="1" applyAlignment="1">
      <alignment horizontal="center"/>
    </xf>
    <xf numFmtId="43" fontId="123" fillId="0" borderId="0" xfId="33" applyFont="1" applyAlignment="1">
      <alignment/>
    </xf>
    <xf numFmtId="43" fontId="124" fillId="0" borderId="0" xfId="0" applyNumberFormat="1" applyFont="1" applyAlignment="1">
      <alignment/>
    </xf>
    <xf numFmtId="0" fontId="124" fillId="0" borderId="0" xfId="0" applyFont="1" applyAlignment="1">
      <alignment/>
    </xf>
    <xf numFmtId="0" fontId="123" fillId="48" borderId="10" xfId="0" applyFont="1" applyFill="1" applyBorder="1" applyAlignment="1">
      <alignment horizontal="center"/>
    </xf>
    <xf numFmtId="0" fontId="123" fillId="0" borderId="44" xfId="0" applyFont="1" applyBorder="1" applyAlignment="1">
      <alignment horizontal="center"/>
    </xf>
    <xf numFmtId="43" fontId="123" fillId="0" borderId="44" xfId="33" applyFont="1" applyBorder="1" applyAlignment="1">
      <alignment/>
    </xf>
    <xf numFmtId="43" fontId="123" fillId="0" borderId="44" xfId="33" applyFont="1" applyFill="1" applyBorder="1" applyAlignment="1">
      <alignment/>
    </xf>
    <xf numFmtId="43" fontId="97" fillId="0" borderId="44" xfId="0" applyNumberFormat="1" applyFont="1" applyBorder="1" applyAlignment="1">
      <alignment horizontal="center" vertical="center"/>
    </xf>
    <xf numFmtId="43" fontId="97" fillId="0" borderId="44" xfId="33" applyFont="1" applyBorder="1" applyAlignment="1">
      <alignment horizontal="center" vertical="center"/>
    </xf>
    <xf numFmtId="43" fontId="97" fillId="0" borderId="10" xfId="33" applyFont="1" applyBorder="1" applyAlignment="1">
      <alignment horizontal="center"/>
    </xf>
    <xf numFmtId="43" fontId="97" fillId="0" borderId="10" xfId="0" applyNumberFormat="1" applyFont="1" applyBorder="1" applyAlignment="1">
      <alignment/>
    </xf>
    <xf numFmtId="43" fontId="97" fillId="0" borderId="10" xfId="33" applyFont="1" applyBorder="1" applyAlignment="1">
      <alignment/>
    </xf>
    <xf numFmtId="0" fontId="123" fillId="0" borderId="0" xfId="0" applyFont="1" applyFill="1" applyAlignment="1">
      <alignment/>
    </xf>
    <xf numFmtId="43" fontId="123" fillId="0" borderId="0" xfId="0" applyNumberFormat="1" applyFont="1" applyAlignment="1">
      <alignment/>
    </xf>
    <xf numFmtId="43" fontId="124" fillId="0" borderId="0" xfId="33" applyFont="1" applyFill="1" applyAlignment="1">
      <alignment/>
    </xf>
    <xf numFmtId="43" fontId="124" fillId="0" borderId="0" xfId="33" applyFont="1" applyAlignment="1">
      <alignment/>
    </xf>
    <xf numFmtId="0" fontId="97" fillId="0" borderId="10" xfId="0" applyFont="1" applyFill="1" applyBorder="1" applyAlignment="1">
      <alignment horizontal="center" vertical="top"/>
    </xf>
    <xf numFmtId="43" fontId="97" fillId="0" borderId="10" xfId="33" applyFont="1" applyFill="1" applyBorder="1" applyAlignment="1">
      <alignment horizontal="center" vertical="top" wrapText="1"/>
    </xf>
    <xf numFmtId="0" fontId="97" fillId="0" borderId="36" xfId="0" applyFont="1" applyBorder="1" applyAlignment="1">
      <alignment/>
    </xf>
    <xf numFmtId="0" fontId="103" fillId="0" borderId="0" xfId="0" applyFont="1" applyFill="1" applyAlignment="1">
      <alignment horizontal="center"/>
    </xf>
    <xf numFmtId="0" fontId="0" fillId="49" borderId="0" xfId="0" applyFill="1" applyAlignment="1">
      <alignment/>
    </xf>
    <xf numFmtId="0" fontId="84" fillId="50" borderId="0" xfId="0" applyFont="1" applyFill="1" applyAlignment="1">
      <alignment horizontal="center" vertical="center" wrapText="1"/>
    </xf>
    <xf numFmtId="0" fontId="0" fillId="51" borderId="0" xfId="0" applyFill="1" applyAlignment="1">
      <alignment horizontal="left" vertical="top" wrapText="1"/>
    </xf>
    <xf numFmtId="0" fontId="84" fillId="51" borderId="0" xfId="0" applyFont="1" applyFill="1" applyAlignment="1">
      <alignment horizontal="left" vertical="top" wrapText="1"/>
    </xf>
    <xf numFmtId="0" fontId="84" fillId="52" borderId="0" xfId="0" applyFont="1" applyFill="1" applyAlignment="1">
      <alignment horizontal="right" vertical="top" wrapText="1"/>
    </xf>
    <xf numFmtId="4" fontId="0" fillId="52" borderId="0" xfId="0" applyNumberFormat="1" applyFill="1" applyAlignment="1">
      <alignment horizontal="right" vertical="top" wrapText="1"/>
    </xf>
    <xf numFmtId="0" fontId="0" fillId="52" borderId="0" xfId="0" applyFill="1" applyAlignment="1">
      <alignment horizontal="right" vertical="top" wrapText="1"/>
    </xf>
    <xf numFmtId="4" fontId="84" fillId="52" borderId="0" xfId="0" applyNumberFormat="1" applyFont="1" applyFill="1" applyAlignment="1">
      <alignment horizontal="right" vertical="top" wrapText="1"/>
    </xf>
    <xf numFmtId="4" fontId="125" fillId="52" borderId="0" xfId="0" applyNumberFormat="1" applyFont="1" applyFill="1" applyAlignment="1">
      <alignment horizontal="right" vertical="top" wrapText="1"/>
    </xf>
    <xf numFmtId="0" fontId="126" fillId="51" borderId="0" xfId="0" applyFont="1" applyFill="1" applyAlignment="1">
      <alignment horizontal="left" vertical="top" wrapText="1"/>
    </xf>
    <xf numFmtId="4" fontId="96" fillId="0" borderId="10" xfId="33" applyNumberFormat="1" applyFont="1" applyFill="1" applyBorder="1" applyAlignment="1">
      <alignment/>
    </xf>
    <xf numFmtId="4" fontId="103" fillId="40" borderId="10" xfId="33" applyNumberFormat="1" applyFont="1" applyFill="1" applyBorder="1" applyAlignment="1">
      <alignment/>
    </xf>
    <xf numFmtId="4" fontId="96" fillId="0" borderId="38" xfId="33" applyNumberFormat="1" applyFont="1" applyBorder="1" applyAlignment="1">
      <alignment/>
    </xf>
    <xf numFmtId="4" fontId="96" fillId="0" borderId="10" xfId="33" applyNumberFormat="1" applyFont="1" applyBorder="1" applyAlignment="1">
      <alignment/>
    </xf>
    <xf numFmtId="4" fontId="9" fillId="0" borderId="10" xfId="33" applyNumberFormat="1" applyFont="1" applyFill="1" applyBorder="1" applyAlignment="1">
      <alignment/>
    </xf>
    <xf numFmtId="4" fontId="92" fillId="40" borderId="10" xfId="33" applyNumberFormat="1" applyFont="1" applyFill="1" applyBorder="1" applyAlignment="1">
      <alignment/>
    </xf>
    <xf numFmtId="4" fontId="92" fillId="40" borderId="35" xfId="33" applyNumberFormat="1" applyFont="1" applyFill="1" applyBorder="1" applyAlignment="1">
      <alignment/>
    </xf>
    <xf numFmtId="0" fontId="100" fillId="0" borderId="45" xfId="0" applyFont="1" applyFill="1" applyBorder="1" applyAlignment="1">
      <alignment horizontal="right"/>
    </xf>
    <xf numFmtId="0" fontId="92" fillId="0" borderId="46" xfId="0" applyFont="1" applyFill="1" applyBorder="1" applyAlignment="1">
      <alignment/>
    </xf>
    <xf numFmtId="0" fontId="92" fillId="16" borderId="44" xfId="0" applyFont="1" applyFill="1" applyBorder="1" applyAlignment="1">
      <alignment/>
    </xf>
    <xf numFmtId="4" fontId="127" fillId="16" borderId="45" xfId="0" applyNumberFormat="1" applyFont="1" applyFill="1" applyBorder="1" applyAlignment="1">
      <alignment horizontal="center" vertical="top"/>
    </xf>
    <xf numFmtId="4" fontId="96" fillId="16" borderId="38" xfId="33" applyNumberFormat="1" applyFont="1" applyFill="1" applyBorder="1" applyAlignment="1">
      <alignment/>
    </xf>
    <xf numFmtId="4" fontId="96" fillId="16" borderId="10" xfId="33" applyNumberFormat="1" applyFont="1" applyFill="1" applyBorder="1" applyAlignment="1">
      <alignment/>
    </xf>
    <xf numFmtId="4" fontId="6" fillId="16" borderId="45" xfId="0" applyNumberFormat="1" applyFont="1" applyFill="1" applyBorder="1" applyAlignment="1">
      <alignment horizontal="right" vertical="top"/>
    </xf>
    <xf numFmtId="199" fontId="96" fillId="0" borderId="0" xfId="0" applyNumberFormat="1" applyFont="1" applyAlignment="1">
      <alignment/>
    </xf>
    <xf numFmtId="0" fontId="96" fillId="34" borderId="10" xfId="0" applyFont="1" applyFill="1" applyBorder="1" applyAlignment="1">
      <alignment horizontal="center" vertical="center" wrapText="1"/>
    </xf>
    <xf numFmtId="43" fontId="90" fillId="0" borderId="0" xfId="33" applyFont="1" applyAlignment="1">
      <alignment/>
    </xf>
    <xf numFmtId="43" fontId="90" fillId="0" borderId="0" xfId="0" applyNumberFormat="1" applyFont="1" applyAlignment="1">
      <alignment/>
    </xf>
    <xf numFmtId="2" fontId="90" fillId="0" borderId="0" xfId="0" applyNumberFormat="1" applyFont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/>
      <protection/>
    </xf>
    <xf numFmtId="43" fontId="96" fillId="40" borderId="0" xfId="0" applyNumberFormat="1" applyFont="1" applyFill="1" applyAlignment="1">
      <alignment/>
    </xf>
    <xf numFmtId="0" fontId="109" fillId="0" borderId="0" xfId="0" applyFont="1" applyAlignment="1">
      <alignment/>
    </xf>
    <xf numFmtId="43" fontId="90" fillId="0" borderId="0" xfId="0" applyNumberFormat="1" applyFont="1" applyFill="1" applyAlignment="1">
      <alignment/>
    </xf>
    <xf numFmtId="197" fontId="90" fillId="8" borderId="12" xfId="0" applyNumberFormat="1" applyFont="1" applyFill="1" applyBorder="1" applyAlignment="1">
      <alignment/>
    </xf>
    <xf numFmtId="0" fontId="128" fillId="0" borderId="0" xfId="56" applyFont="1" applyAlignment="1">
      <alignment vertical="center" wrapText="1"/>
      <protection/>
    </xf>
    <xf numFmtId="0" fontId="129" fillId="35" borderId="0" xfId="56" applyFont="1" applyFill="1" applyAlignment="1">
      <alignment horizontal="left" vertical="center" wrapText="1"/>
      <protection/>
    </xf>
    <xf numFmtId="43" fontId="129" fillId="35" borderId="0" xfId="48" applyNumberFormat="1" applyFont="1" applyFill="1" applyAlignment="1">
      <alignment vertical="center" wrapText="1"/>
    </xf>
    <xf numFmtId="0" fontId="27" fillId="0" borderId="0" xfId="56" applyFont="1" applyAlignment="1">
      <alignment vertical="center" wrapText="1"/>
      <protection/>
    </xf>
    <xf numFmtId="43" fontId="129" fillId="40" borderId="35" xfId="48" applyNumberFormat="1" applyFont="1" applyFill="1" applyBorder="1" applyAlignment="1">
      <alignment horizontal="center" vertical="center" wrapText="1"/>
    </xf>
    <xf numFmtId="0" fontId="27" fillId="40" borderId="35" xfId="54" applyFont="1" applyFill="1" applyBorder="1" applyAlignment="1">
      <alignment horizontal="center" vertical="center" wrapText="1"/>
      <protection/>
    </xf>
    <xf numFmtId="0" fontId="27" fillId="40" borderId="10" xfId="54" applyFont="1" applyFill="1" applyBorder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128" fillId="0" borderId="10" xfId="0" applyFont="1" applyBorder="1" applyAlignment="1">
      <alignment horizontal="center" vertical="center" wrapText="1"/>
    </xf>
    <xf numFmtId="0" fontId="27" fillId="0" borderId="10" xfId="57" applyFont="1" applyFill="1" applyBorder="1" applyAlignment="1" quotePrefix="1">
      <alignment horizontal="center" vertical="top" wrapText="1"/>
      <protection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10" xfId="53" applyFont="1" applyFill="1" applyBorder="1" applyAlignment="1">
      <alignment horizontal="left" vertical="top" wrapText="1" shrinkToFit="1"/>
      <protection/>
    </xf>
    <xf numFmtId="0" fontId="27" fillId="0" borderId="10" xfId="53" applyFont="1" applyFill="1" applyBorder="1" applyAlignment="1">
      <alignment horizontal="center" vertical="top" wrapText="1" shrinkToFit="1"/>
      <protection/>
    </xf>
    <xf numFmtId="0" fontId="128" fillId="0" borderId="10" xfId="0" applyFont="1" applyBorder="1" applyAlignment="1">
      <alignment horizontal="left" vertical="center" wrapText="1"/>
    </xf>
    <xf numFmtId="0" fontId="128" fillId="35" borderId="10" xfId="0" applyFont="1" applyFill="1" applyBorder="1" applyAlignment="1">
      <alignment horizontal="left" vertical="center" wrapText="1"/>
    </xf>
    <xf numFmtId="0" fontId="128" fillId="35" borderId="10" xfId="0" applyFont="1" applyFill="1" applyBorder="1" applyAlignment="1">
      <alignment horizontal="center" vertical="center" wrapText="1"/>
    </xf>
    <xf numFmtId="201" fontId="128" fillId="35" borderId="10" xfId="48" applyNumberFormat="1" applyFont="1" applyFill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center" vertical="center" wrapText="1"/>
    </xf>
    <xf numFmtId="43" fontId="128" fillId="0" borderId="10" xfId="48" applyFont="1" applyBorder="1" applyAlignment="1">
      <alignment horizontal="center" vertical="center" wrapText="1"/>
    </xf>
    <xf numFmtId="0" fontId="128" fillId="35" borderId="10" xfId="39" applyFont="1" applyFill="1" applyBorder="1" applyAlignment="1">
      <alignment vertical="center" wrapText="1"/>
      <protection/>
    </xf>
    <xf numFmtId="0" fontId="128" fillId="0" borderId="0" xfId="0" applyFont="1" applyAlignment="1">
      <alignment vertical="center" wrapText="1"/>
    </xf>
    <xf numFmtId="1" fontId="128" fillId="0" borderId="10" xfId="0" applyNumberFormat="1" applyFont="1" applyBorder="1" applyAlignment="1" applyProtection="1">
      <alignment horizontal="left" vertical="center" wrapText="1"/>
      <protection locked="0"/>
    </xf>
    <xf numFmtId="201" fontId="128" fillId="0" borderId="10" xfId="48" applyNumberFormat="1" applyFont="1" applyBorder="1" applyAlignment="1">
      <alignment horizontal="right" vertical="center" wrapText="1"/>
    </xf>
    <xf numFmtId="0" fontId="128" fillId="0" borderId="10" xfId="39" applyFont="1" applyBorder="1" applyAlignment="1">
      <alignment vertical="center" wrapText="1"/>
      <protection/>
    </xf>
    <xf numFmtId="0" fontId="128" fillId="0" borderId="0" xfId="0" applyFont="1" applyAlignment="1">
      <alignment horizontal="left" vertical="center" wrapText="1"/>
    </xf>
    <xf numFmtId="1" fontId="128" fillId="0" borderId="10" xfId="0" applyNumberFormat="1" applyFont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128" fillId="0" borderId="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3" fontId="128" fillId="35" borderId="10" xfId="35" applyFont="1" applyFill="1" applyBorder="1" applyAlignment="1">
      <alignment vertical="center" wrapText="1"/>
    </xf>
    <xf numFmtId="1" fontId="128" fillId="0" borderId="10" xfId="0" applyNumberFormat="1" applyFont="1" applyBorder="1" applyAlignment="1">
      <alignment horizontal="center" vertical="center" wrapText="1"/>
    </xf>
    <xf numFmtId="43" fontId="128" fillId="0" borderId="10" xfId="35" applyFont="1" applyBorder="1" applyAlignment="1">
      <alignment vertical="center" wrapText="1"/>
    </xf>
    <xf numFmtId="201" fontId="128" fillId="0" borderId="10" xfId="48" applyNumberFormat="1" applyFont="1" applyBorder="1" applyAlignment="1">
      <alignment horizontal="right" vertical="center"/>
    </xf>
    <xf numFmtId="0" fontId="128" fillId="0" borderId="10" xfId="39" applyFont="1" applyBorder="1" applyAlignment="1">
      <alignment horizontal="left" vertical="center" wrapText="1"/>
      <protection/>
    </xf>
    <xf numFmtId="0" fontId="128" fillId="0" borderId="10" xfId="0" applyFont="1" applyBorder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 wrapText="1"/>
    </xf>
    <xf numFmtId="201" fontId="27" fillId="35" borderId="10" xfId="48" applyNumberFormat="1" applyFont="1" applyFill="1" applyBorder="1" applyAlignment="1">
      <alignment horizontal="right" vertical="center" wrapText="1"/>
    </xf>
    <xf numFmtId="0" fontId="27" fillId="35" borderId="10" xfId="39" applyFont="1" applyFill="1" applyBorder="1" applyAlignment="1">
      <alignment vertical="center" wrapText="1"/>
      <protection/>
    </xf>
    <xf numFmtId="3" fontId="128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39" applyFont="1" applyBorder="1" applyAlignment="1">
      <alignment vertical="center" wrapText="1"/>
      <protection/>
    </xf>
    <xf numFmtId="0" fontId="128" fillId="0" borderId="10" xfId="0" applyFont="1" applyFill="1" applyBorder="1" applyAlignment="1">
      <alignment horizontal="left" vertical="center" wrapText="1"/>
    </xf>
    <xf numFmtId="0" fontId="128" fillId="0" borderId="10" xfId="0" applyFont="1" applyFill="1" applyBorder="1" applyAlignment="1">
      <alignment horizontal="center" vertical="center" wrapText="1"/>
    </xf>
    <xf numFmtId="201" fontId="128" fillId="0" borderId="10" xfId="48" applyNumberFormat="1" applyFont="1" applyFill="1" applyBorder="1" applyAlignment="1">
      <alignment horizontal="right" vertical="center" wrapText="1"/>
    </xf>
    <xf numFmtId="0" fontId="128" fillId="0" borderId="10" xfId="39" applyFont="1" applyFill="1" applyBorder="1" applyAlignment="1">
      <alignment vertical="center" wrapText="1"/>
      <protection/>
    </xf>
    <xf numFmtId="0" fontId="130" fillId="0" borderId="10" xfId="0" applyFont="1" applyBorder="1" applyAlignment="1">
      <alignment horizontal="left" vertical="center" wrapText="1"/>
    </xf>
    <xf numFmtId="0" fontId="130" fillId="0" borderId="10" xfId="0" applyFont="1" applyBorder="1" applyAlignment="1">
      <alignment horizontal="center" vertical="center" wrapText="1"/>
    </xf>
    <xf numFmtId="201" fontId="130" fillId="0" borderId="10" xfId="48" applyNumberFormat="1" applyFont="1" applyFill="1" applyBorder="1" applyAlignment="1">
      <alignment horizontal="right" vertical="center" wrapText="1"/>
    </xf>
    <xf numFmtId="0" fontId="130" fillId="0" borderId="10" xfId="39" applyFont="1" applyBorder="1" applyAlignment="1">
      <alignment vertical="center" wrapText="1"/>
      <protection/>
    </xf>
    <xf numFmtId="201" fontId="130" fillId="0" borderId="10" xfId="48" applyNumberFormat="1" applyFont="1" applyBorder="1" applyAlignment="1">
      <alignment horizontal="right" vertical="center" wrapText="1"/>
    </xf>
    <xf numFmtId="0" fontId="27" fillId="35" borderId="10" xfId="57" applyFont="1" applyFill="1" applyBorder="1" applyAlignment="1" quotePrefix="1">
      <alignment horizontal="center" vertical="top" wrapText="1"/>
      <protection/>
    </xf>
    <xf numFmtId="0" fontId="27" fillId="35" borderId="10" xfId="0" applyNumberFormat="1" applyFont="1" applyFill="1" applyBorder="1" applyAlignment="1">
      <alignment horizontal="center" vertical="top" wrapText="1"/>
    </xf>
    <xf numFmtId="1" fontId="27" fillId="35" borderId="10" xfId="0" applyNumberFormat="1" applyFont="1" applyFill="1" applyBorder="1" applyAlignment="1">
      <alignment horizontal="left" vertical="center" wrapText="1"/>
    </xf>
    <xf numFmtId="0" fontId="27" fillId="35" borderId="10" xfId="53" applyFont="1" applyFill="1" applyBorder="1" applyAlignment="1">
      <alignment horizontal="left" vertical="top" wrapText="1" shrinkToFit="1"/>
      <protection/>
    </xf>
    <xf numFmtId="0" fontId="130" fillId="35" borderId="10" xfId="0" applyFont="1" applyFill="1" applyBorder="1" applyAlignment="1">
      <alignment horizontal="left" vertical="center" wrapText="1"/>
    </xf>
    <xf numFmtId="0" fontId="130" fillId="35" borderId="10" xfId="0" applyFont="1" applyFill="1" applyBorder="1" applyAlignment="1">
      <alignment horizontal="center" vertical="center" wrapText="1"/>
    </xf>
    <xf numFmtId="201" fontId="130" fillId="35" borderId="10" xfId="48" applyNumberFormat="1" applyFont="1" applyFill="1" applyBorder="1" applyAlignment="1">
      <alignment horizontal="right" vertical="center" wrapText="1"/>
    </xf>
    <xf numFmtId="3" fontId="128" fillId="35" borderId="10" xfId="0" applyNumberFormat="1" applyFont="1" applyFill="1" applyBorder="1" applyAlignment="1">
      <alignment horizontal="right" vertical="center" wrapText="1"/>
    </xf>
    <xf numFmtId="3" fontId="128" fillId="35" borderId="10" xfId="0" applyNumberFormat="1" applyFont="1" applyFill="1" applyBorder="1" applyAlignment="1">
      <alignment horizontal="center" vertical="center" wrapText="1"/>
    </xf>
    <xf numFmtId="43" fontId="128" fillId="35" borderId="10" xfId="48" applyFont="1" applyFill="1" applyBorder="1" applyAlignment="1">
      <alignment horizontal="center" vertical="center" wrapText="1"/>
    </xf>
    <xf numFmtId="0" fontId="130" fillId="35" borderId="10" xfId="39" applyFont="1" applyFill="1" applyBorder="1" applyAlignment="1">
      <alignment vertical="center" wrapText="1"/>
      <protection/>
    </xf>
    <xf numFmtId="0" fontId="128" fillId="35" borderId="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right" vertical="center"/>
    </xf>
    <xf numFmtId="3" fontId="27" fillId="35" borderId="10" xfId="0" applyNumberFormat="1" applyFont="1" applyFill="1" applyBorder="1" applyAlignment="1">
      <alignment horizontal="right" vertical="center"/>
    </xf>
    <xf numFmtId="3" fontId="128" fillId="0" borderId="10" xfId="0" applyNumberFormat="1" applyFont="1" applyBorder="1" applyAlignment="1">
      <alignment horizontal="right" vertical="center"/>
    </xf>
    <xf numFmtId="0" fontId="128" fillId="35" borderId="10" xfId="0" applyFont="1" applyFill="1" applyBorder="1" applyAlignment="1">
      <alignment horizontal="center" vertical="center"/>
    </xf>
    <xf numFmtId="201" fontId="128" fillId="35" borderId="10" xfId="48" applyNumberFormat="1" applyFont="1" applyFill="1" applyBorder="1" applyAlignment="1">
      <alignment horizontal="right" vertical="center"/>
    </xf>
    <xf numFmtId="201" fontId="128" fillId="0" borderId="10" xfId="48" applyNumberFormat="1" applyFont="1" applyBorder="1" applyAlignment="1">
      <alignment horizontal="center" vertical="center"/>
    </xf>
    <xf numFmtId="0" fontId="128" fillId="0" borderId="10" xfId="39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center" vertical="center"/>
    </xf>
    <xf numFmtId="3" fontId="128" fillId="0" borderId="10" xfId="0" applyNumberFormat="1" applyFont="1" applyBorder="1" applyAlignment="1">
      <alignment vertical="center"/>
    </xf>
    <xf numFmtId="0" fontId="128" fillId="0" borderId="10" xfId="39" applyFont="1" applyBorder="1" applyAlignment="1">
      <alignment wrapText="1"/>
      <protection/>
    </xf>
    <xf numFmtId="1" fontId="27" fillId="0" borderId="10" xfId="0" applyNumberFormat="1" applyFont="1" applyBorder="1" applyAlignment="1">
      <alignment horizontal="center" vertical="top"/>
    </xf>
    <xf numFmtId="0" fontId="128" fillId="0" borderId="35" xfId="0" applyFont="1" applyFill="1" applyBorder="1" applyAlignment="1">
      <alignment horizontal="left" wrapText="1"/>
    </xf>
    <xf numFmtId="0" fontId="128" fillId="0" borderId="35" xfId="0" applyFont="1" applyFill="1" applyBorder="1" applyAlignment="1">
      <alignment horizontal="center" vertical="top"/>
    </xf>
    <xf numFmtId="0" fontId="128" fillId="0" borderId="0" xfId="39" applyFont="1" applyBorder="1" applyAlignment="1">
      <alignment wrapText="1"/>
      <protection/>
    </xf>
    <xf numFmtId="0" fontId="128" fillId="35" borderId="10" xfId="0" applyFont="1" applyFill="1" applyBorder="1" applyAlignment="1">
      <alignment horizontal="left" wrapText="1"/>
    </xf>
    <xf numFmtId="0" fontId="128" fillId="35" borderId="10" xfId="0" applyFont="1" applyFill="1" applyBorder="1" applyAlignment="1">
      <alignment horizontal="center"/>
    </xf>
    <xf numFmtId="0" fontId="128" fillId="35" borderId="10" xfId="39" applyFont="1" applyFill="1" applyBorder="1" applyAlignment="1">
      <alignment wrapText="1"/>
      <protection/>
    </xf>
    <xf numFmtId="0" fontId="128" fillId="0" borderId="10" xfId="0" applyFont="1" applyFill="1" applyBorder="1" applyAlignment="1">
      <alignment horizontal="left" vertical="top" wrapText="1"/>
    </xf>
    <xf numFmtId="0" fontId="128" fillId="0" borderId="10" xfId="0" applyFont="1" applyFill="1" applyBorder="1" applyAlignment="1">
      <alignment horizontal="center"/>
    </xf>
    <xf numFmtId="0" fontId="128" fillId="0" borderId="10" xfId="39" applyFont="1" applyFill="1" applyBorder="1" applyAlignment="1">
      <alignment wrapText="1"/>
      <protection/>
    </xf>
    <xf numFmtId="0" fontId="128" fillId="0" borderId="35" xfId="0" applyFont="1" applyFill="1" applyBorder="1" applyAlignment="1">
      <alignment horizontal="center"/>
    </xf>
    <xf numFmtId="0" fontId="128" fillId="0" borderId="10" xfId="0" applyFont="1" applyFill="1" applyBorder="1" applyAlignment="1">
      <alignment horizontal="left" wrapText="1"/>
    </xf>
    <xf numFmtId="0" fontId="128" fillId="0" borderId="47" xfId="0" applyFont="1" applyFill="1" applyBorder="1" applyAlignment="1">
      <alignment horizontal="left" wrapText="1"/>
    </xf>
    <xf numFmtId="0" fontId="128" fillId="0" borderId="47" xfId="0" applyFont="1" applyFill="1" applyBorder="1" applyAlignment="1">
      <alignment horizontal="center"/>
    </xf>
    <xf numFmtId="3" fontId="128" fillId="0" borderId="10" xfId="0" applyNumberFormat="1" applyFont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center" vertical="center" wrapText="1"/>
    </xf>
    <xf numFmtId="43" fontId="128" fillId="0" borderId="10" xfId="48" applyFont="1" applyBorder="1" applyAlignment="1">
      <alignment horizontal="center" vertical="center" wrapText="1"/>
    </xf>
    <xf numFmtId="0" fontId="128" fillId="0" borderId="10" xfId="39" applyFont="1" applyBorder="1" applyAlignment="1">
      <alignment wrapText="1"/>
      <protection/>
    </xf>
    <xf numFmtId="0" fontId="128" fillId="0" borderId="10" xfId="0" applyFont="1" applyBorder="1" applyAlignment="1">
      <alignment horizontal="left" vertical="center" wrapText="1"/>
    </xf>
    <xf numFmtId="0" fontId="128" fillId="0" borderId="10" xfId="0" applyFont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/>
    </xf>
    <xf numFmtId="0" fontId="128" fillId="0" borderId="10" xfId="39" applyFont="1" applyFill="1" applyBorder="1" applyAlignment="1">
      <alignment wrapText="1"/>
      <protection/>
    </xf>
    <xf numFmtId="0" fontId="128" fillId="0" borderId="10" xfId="0" applyFont="1" applyFill="1" applyBorder="1" applyAlignment="1">
      <alignment horizontal="left" wrapText="1"/>
    </xf>
    <xf numFmtId="0" fontId="128" fillId="0" borderId="35" xfId="0" applyFont="1" applyFill="1" applyBorder="1" applyAlignment="1">
      <alignment horizontal="left" vertical="top" wrapText="1"/>
    </xf>
    <xf numFmtId="0" fontId="128" fillId="0" borderId="10" xfId="0" applyFont="1" applyFill="1" applyBorder="1" applyAlignment="1">
      <alignment horizontal="center" vertical="top"/>
    </xf>
    <xf numFmtId="0" fontId="27" fillId="0" borderId="10" xfId="62" applyFont="1" applyFill="1" applyBorder="1" applyAlignment="1">
      <alignment horizontal="left" vertical="top" wrapText="1"/>
      <protection/>
    </xf>
    <xf numFmtId="1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" fontId="128" fillId="0" borderId="10" xfId="0" applyNumberFormat="1" applyFont="1" applyBorder="1" applyAlignment="1">
      <alignment horizontal="right" vertical="center" wrapText="1"/>
    </xf>
    <xf numFmtId="0" fontId="129" fillId="40" borderId="44" xfId="56" applyFont="1" applyFill="1" applyBorder="1" applyAlignment="1">
      <alignment horizontal="center" vertical="center" wrapText="1"/>
      <protection/>
    </xf>
    <xf numFmtId="201" fontId="129" fillId="40" borderId="10" xfId="48" applyNumberFormat="1" applyFont="1" applyFill="1" applyBorder="1" applyAlignment="1">
      <alignment vertical="center" wrapText="1"/>
    </xf>
    <xf numFmtId="0" fontId="129" fillId="40" borderId="14" xfId="56" applyFont="1" applyFill="1" applyBorder="1" applyAlignment="1">
      <alignment horizontal="center" vertical="center" wrapText="1"/>
      <protection/>
    </xf>
    <xf numFmtId="0" fontId="129" fillId="40" borderId="48" xfId="56" applyFont="1" applyFill="1" applyBorder="1" applyAlignment="1">
      <alignment horizontal="center" vertical="center" wrapText="1"/>
      <protection/>
    </xf>
    <xf numFmtId="43" fontId="128" fillId="0" borderId="0" xfId="48" applyNumberFormat="1" applyFont="1" applyAlignment="1">
      <alignment vertical="center" wrapText="1"/>
    </xf>
    <xf numFmtId="43" fontId="129" fillId="40" borderId="10" xfId="48" applyNumberFormat="1" applyFont="1" applyFill="1" applyBorder="1" applyAlignment="1">
      <alignment vertical="center" wrapText="1"/>
    </xf>
    <xf numFmtId="204" fontId="129" fillId="40" borderId="10" xfId="56" applyNumberFormat="1" applyFont="1" applyFill="1" applyBorder="1" applyAlignment="1">
      <alignment horizontal="left" vertical="center" wrapText="1"/>
      <protection/>
    </xf>
    <xf numFmtId="0" fontId="128" fillId="40" borderId="10" xfId="56" applyFont="1" applyFill="1" applyBorder="1" applyAlignment="1">
      <alignment vertical="center" wrapText="1"/>
      <protection/>
    </xf>
    <xf numFmtId="0" fontId="128" fillId="0" borderId="0" xfId="56" applyFont="1" applyAlignment="1">
      <alignment horizontal="center" vertical="center" wrapText="1"/>
      <protection/>
    </xf>
    <xf numFmtId="0" fontId="128" fillId="0" borderId="0" xfId="56" applyFont="1" applyAlignment="1">
      <alignment horizontal="left" vertical="center" wrapText="1"/>
      <protection/>
    </xf>
    <xf numFmtId="3" fontId="27" fillId="0" borderId="10" xfId="0" applyNumberFormat="1" applyFont="1" applyFill="1" applyBorder="1" applyAlignment="1">
      <alignment horizontal="righ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 wrapText="1"/>
    </xf>
    <xf numFmtId="0" fontId="129" fillId="35" borderId="0" xfId="56" applyFont="1" applyFill="1" applyAlignment="1">
      <alignment horizontal="center" vertical="center" wrapText="1"/>
      <protection/>
    </xf>
    <xf numFmtId="0" fontId="7" fillId="0" borderId="10" xfId="0" applyFont="1" applyBorder="1" applyAlignment="1">
      <alignment vertical="top"/>
    </xf>
    <xf numFmtId="4" fontId="28" fillId="35" borderId="10" xfId="0" applyNumberFormat="1" applyFont="1" applyFill="1" applyBorder="1" applyAlignment="1">
      <alignment/>
    </xf>
    <xf numFmtId="43" fontId="28" fillId="0" borderId="10" xfId="33" applyFont="1" applyBorder="1" applyAlignment="1">
      <alignment/>
    </xf>
    <xf numFmtId="43" fontId="7" fillId="0" borderId="10" xfId="33" applyFont="1" applyBorder="1" applyAlignment="1">
      <alignment/>
    </xf>
    <xf numFmtId="43" fontId="7" fillId="34" borderId="10" xfId="33" applyFont="1" applyFill="1" applyBorder="1" applyAlignment="1">
      <alignment/>
    </xf>
    <xf numFmtId="0" fontId="7" fillId="0" borderId="10" xfId="0" applyFont="1" applyBorder="1" applyAlignment="1">
      <alignment/>
    </xf>
    <xf numFmtId="0" fontId="90" fillId="0" borderId="0" xfId="0" applyFont="1" applyAlignment="1">
      <alignment horizontal="center"/>
    </xf>
    <xf numFmtId="3" fontId="90" fillId="0" borderId="0" xfId="0" applyNumberFormat="1" applyFont="1" applyAlignment="1">
      <alignment/>
    </xf>
    <xf numFmtId="1" fontId="90" fillId="0" borderId="0" xfId="0" applyNumberFormat="1" applyFont="1" applyAlignment="1">
      <alignment/>
    </xf>
    <xf numFmtId="43" fontId="90" fillId="0" borderId="0" xfId="33" applyFont="1" applyAlignment="1">
      <alignment horizontal="right"/>
    </xf>
    <xf numFmtId="0" fontId="7" fillId="0" borderId="10" xfId="0" applyFont="1" applyBorder="1" applyAlignment="1">
      <alignment wrapText="1"/>
    </xf>
    <xf numFmtId="0" fontId="90" fillId="0" borderId="38" xfId="0" applyFont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0" fontId="90" fillId="40" borderId="0" xfId="0" applyFont="1" applyFill="1" applyAlignment="1">
      <alignment/>
    </xf>
    <xf numFmtId="43" fontId="90" fillId="40" borderId="0" xfId="0" applyNumberFormat="1" applyFont="1" applyFill="1" applyAlignment="1">
      <alignment/>
    </xf>
    <xf numFmtId="0" fontId="90" fillId="0" borderId="13" xfId="0" applyFont="1" applyBorder="1" applyAlignment="1">
      <alignment/>
    </xf>
    <xf numFmtId="0" fontId="90" fillId="0" borderId="10" xfId="0" applyFont="1" applyBorder="1" applyAlignment="1">
      <alignment vertical="top" wrapText="1"/>
    </xf>
    <xf numFmtId="43" fontId="90" fillId="0" borderId="10" xfId="33" applyFont="1" applyFill="1" applyBorder="1" applyAlignment="1">
      <alignment vertical="top" wrapText="1"/>
    </xf>
    <xf numFmtId="43" fontId="90" fillId="0" borderId="10" xfId="33" applyFont="1" applyBorder="1" applyAlignment="1">
      <alignment vertical="top" wrapText="1"/>
    </xf>
    <xf numFmtId="202" fontId="90" fillId="0" borderId="10" xfId="33" applyNumberFormat="1" applyFont="1" applyBorder="1" applyAlignment="1">
      <alignment vertical="top" wrapText="1"/>
    </xf>
    <xf numFmtId="0" fontId="90" fillId="0" borderId="10" xfId="0" applyFont="1" applyBorder="1" applyAlignment="1">
      <alignment vertical="center"/>
    </xf>
    <xf numFmtId="0" fontId="91" fillId="37" borderId="10" xfId="0" applyFont="1" applyFill="1" applyBorder="1" applyAlignment="1">
      <alignment horizontal="center"/>
    </xf>
    <xf numFmtId="43" fontId="90" fillId="0" borderId="0" xfId="33" applyFont="1" applyFill="1" applyAlignment="1">
      <alignment/>
    </xf>
    <xf numFmtId="0" fontId="91" fillId="13" borderId="10" xfId="0" applyFont="1" applyFill="1" applyBorder="1" applyAlignment="1">
      <alignment horizontal="center"/>
    </xf>
    <xf numFmtId="0" fontId="90" fillId="13" borderId="44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43" fontId="91" fillId="0" borderId="0" xfId="33" applyFont="1" applyFill="1" applyBorder="1" applyAlignment="1">
      <alignment/>
    </xf>
    <xf numFmtId="43" fontId="90" fillId="0" borderId="0" xfId="33" applyFont="1" applyFill="1" applyBorder="1" applyAlignment="1">
      <alignment/>
    </xf>
    <xf numFmtId="0" fontId="91" fillId="14" borderId="10" xfId="0" applyFont="1" applyFill="1" applyBorder="1" applyAlignment="1">
      <alignment horizontal="center"/>
    </xf>
    <xf numFmtId="0" fontId="91" fillId="14" borderId="14" xfId="0" applyFont="1" applyFill="1" applyBorder="1" applyAlignment="1">
      <alignment horizontal="center"/>
    </xf>
    <xf numFmtId="43" fontId="90" fillId="0" borderId="0" xfId="0" applyNumberFormat="1" applyFont="1" applyBorder="1" applyAlignment="1">
      <alignment/>
    </xf>
    <xf numFmtId="201" fontId="90" fillId="0" borderId="0" xfId="33" applyNumberFormat="1" applyFont="1" applyFill="1" applyBorder="1" applyAlignment="1">
      <alignment/>
    </xf>
    <xf numFmtId="0" fontId="90" fillId="0" borderId="49" xfId="0" applyFont="1" applyBorder="1" applyAlignment="1">
      <alignment horizontal="center"/>
    </xf>
    <xf numFmtId="0" fontId="90" fillId="0" borderId="50" xfId="0" applyFont="1" applyBorder="1" applyAlignment="1">
      <alignment horizontal="center"/>
    </xf>
    <xf numFmtId="43" fontId="90" fillId="0" borderId="50" xfId="33" applyFont="1" applyBorder="1" applyAlignment="1">
      <alignment/>
    </xf>
    <xf numFmtId="43" fontId="91" fillId="13" borderId="10" xfId="33" applyFont="1" applyFill="1" applyBorder="1" applyAlignment="1">
      <alignment horizontal="center"/>
    </xf>
    <xf numFmtId="0" fontId="129" fillId="35" borderId="0" xfId="56" applyFont="1" applyFill="1" applyAlignment="1">
      <alignment vertical="center" wrapText="1"/>
      <protection/>
    </xf>
    <xf numFmtId="0" fontId="97" fillId="0" borderId="14" xfId="0" applyFont="1" applyFill="1" applyBorder="1" applyAlignment="1">
      <alignment vertical="top" wrapText="1"/>
    </xf>
    <xf numFmtId="0" fontId="97" fillId="0" borderId="48" xfId="0" applyFont="1" applyFill="1" applyBorder="1" applyAlignment="1">
      <alignment vertical="top" wrapText="1"/>
    </xf>
    <xf numFmtId="0" fontId="97" fillId="0" borderId="44" xfId="0" applyFont="1" applyFill="1" applyBorder="1" applyAlignment="1">
      <alignment vertical="top" wrapText="1"/>
    </xf>
    <xf numFmtId="49" fontId="17" fillId="11" borderId="48" xfId="33" applyNumberFormat="1" applyFont="1" applyFill="1" applyBorder="1" applyAlignment="1">
      <alignment horizontal="center" vertical="center" wrapText="1"/>
    </xf>
    <xf numFmtId="197" fontId="96" fillId="11" borderId="44" xfId="33" applyNumberFormat="1" applyFont="1" applyFill="1" applyBorder="1" applyAlignment="1">
      <alignment/>
    </xf>
    <xf numFmtId="197" fontId="92" fillId="11" borderId="44" xfId="33" applyNumberFormat="1" applyFont="1" applyFill="1" applyBorder="1" applyAlignment="1">
      <alignment/>
    </xf>
    <xf numFmtId="49" fontId="17" fillId="0" borderId="10" xfId="33" applyNumberFormat="1" applyFont="1" applyFill="1" applyBorder="1" applyAlignment="1">
      <alignment horizontal="center" vertical="center" wrapText="1"/>
    </xf>
    <xf numFmtId="197" fontId="96" fillId="0" borderId="10" xfId="33" applyNumberFormat="1" applyFont="1" applyFill="1" applyBorder="1" applyAlignment="1">
      <alignment/>
    </xf>
    <xf numFmtId="197" fontId="94" fillId="40" borderId="10" xfId="33" applyNumberFormat="1" applyFont="1" applyFill="1" applyBorder="1" applyAlignment="1">
      <alignment/>
    </xf>
    <xf numFmtId="197" fontId="92" fillId="0" borderId="10" xfId="33" applyNumberFormat="1" applyFont="1" applyFill="1" applyBorder="1" applyAlignment="1">
      <alignment/>
    </xf>
    <xf numFmtId="0" fontId="103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/>
    </xf>
    <xf numFmtId="0" fontId="100" fillId="9" borderId="10" xfId="0" applyFont="1" applyFill="1" applyBorder="1" applyAlignment="1">
      <alignment horizontal="right"/>
    </xf>
    <xf numFmtId="0" fontId="131" fillId="0" borderId="0" xfId="0" applyFont="1" applyAlignment="1">
      <alignment/>
    </xf>
    <xf numFmtId="0" fontId="131" fillId="0" borderId="10" xfId="0" applyFont="1" applyFill="1" applyBorder="1" applyAlignment="1">
      <alignment/>
    </xf>
    <xf numFmtId="43" fontId="131" fillId="0" borderId="10" xfId="33" applyFont="1" applyFill="1" applyBorder="1" applyAlignment="1">
      <alignment/>
    </xf>
    <xf numFmtId="43" fontId="132" fillId="53" borderId="10" xfId="33" applyFont="1" applyFill="1" applyBorder="1" applyAlignment="1">
      <alignment/>
    </xf>
    <xf numFmtId="43" fontId="131" fillId="0" borderId="0" xfId="0" applyNumberFormat="1" applyFont="1" applyAlignment="1">
      <alignment/>
    </xf>
    <xf numFmtId="43" fontId="131" fillId="0" borderId="51" xfId="0" applyNumberFormat="1" applyFont="1" applyBorder="1" applyAlignment="1">
      <alignment/>
    </xf>
    <xf numFmtId="0" fontId="132" fillId="0" borderId="10" xfId="0" applyFont="1" applyFill="1" applyBorder="1" applyAlignment="1">
      <alignment horizontal="center"/>
    </xf>
    <xf numFmtId="43" fontId="132" fillId="0" borderId="10" xfId="33" applyFont="1" applyFill="1" applyBorder="1" applyAlignment="1">
      <alignment/>
    </xf>
    <xf numFmtId="0" fontId="131" fillId="0" borderId="0" xfId="0" applyFont="1" applyFill="1" applyAlignment="1">
      <alignment/>
    </xf>
    <xf numFmtId="43" fontId="131" fillId="0" borderId="0" xfId="0" applyNumberFormat="1" applyFont="1" applyFill="1" applyAlignment="1">
      <alignment/>
    </xf>
    <xf numFmtId="0" fontId="132" fillId="0" borderId="0" xfId="0" applyFont="1" applyFill="1" applyAlignment="1">
      <alignment/>
    </xf>
    <xf numFmtId="43" fontId="95" fillId="0" borderId="0" xfId="0" applyNumberFormat="1" applyFont="1" applyFill="1" applyAlignment="1">
      <alignment/>
    </xf>
    <xf numFmtId="43" fontId="90" fillId="40" borderId="10" xfId="33" applyFont="1" applyFill="1" applyBorder="1" applyAlignment="1">
      <alignment horizontal="center"/>
    </xf>
    <xf numFmtId="43" fontId="133" fillId="40" borderId="10" xfId="33" applyFont="1" applyFill="1" applyBorder="1" applyAlignment="1">
      <alignment/>
    </xf>
    <xf numFmtId="0" fontId="90" fillId="41" borderId="0" xfId="0" applyFont="1" applyFill="1" applyBorder="1" applyAlignment="1">
      <alignment horizontal="center"/>
    </xf>
    <xf numFmtId="43" fontId="90" fillId="41" borderId="0" xfId="0" applyNumberFormat="1" applyFont="1" applyFill="1" applyBorder="1" applyAlignment="1">
      <alignment horizontal="center" vertical="center"/>
    </xf>
    <xf numFmtId="43" fontId="90" fillId="41" borderId="0" xfId="33" applyFont="1" applyFill="1" applyBorder="1" applyAlignment="1">
      <alignment horizontal="center" vertical="center"/>
    </xf>
    <xf numFmtId="43" fontId="90" fillId="41" borderId="51" xfId="0" applyNumberFormat="1" applyFont="1" applyFill="1" applyBorder="1" applyAlignment="1">
      <alignment horizontal="center" vertical="center"/>
    </xf>
    <xf numFmtId="0" fontId="90" fillId="53" borderId="0" xfId="0" applyFont="1" applyFill="1" applyBorder="1" applyAlignment="1">
      <alignment horizontal="center"/>
    </xf>
    <xf numFmtId="43" fontId="90" fillId="53" borderId="0" xfId="0" applyNumberFormat="1" applyFont="1" applyFill="1" applyBorder="1" applyAlignment="1">
      <alignment horizontal="center" vertical="center"/>
    </xf>
    <xf numFmtId="0" fontId="90" fillId="53" borderId="0" xfId="0" applyFont="1" applyFill="1" applyAlignment="1">
      <alignment/>
    </xf>
    <xf numFmtId="43" fontId="90" fillId="53" borderId="0" xfId="33" applyFont="1" applyFill="1" applyBorder="1" applyAlignment="1">
      <alignment horizontal="center" vertical="center"/>
    </xf>
    <xf numFmtId="43" fontId="90" fillId="53" borderId="0" xfId="33" applyFont="1" applyFill="1" applyAlignment="1">
      <alignment/>
    </xf>
    <xf numFmtId="43" fontId="90" fillId="53" borderId="51" xfId="33" applyFont="1" applyFill="1" applyBorder="1" applyAlignment="1">
      <alignment/>
    </xf>
    <xf numFmtId="199" fontId="96" fillId="37" borderId="0" xfId="0" applyNumberFormat="1" applyFont="1" applyFill="1" applyAlignment="1">
      <alignment/>
    </xf>
    <xf numFmtId="0" fontId="103" fillId="0" borderId="0" xfId="0" applyFont="1" applyFill="1" applyAlignment="1">
      <alignment horizontal="center"/>
    </xf>
    <xf numFmtId="0" fontId="103" fillId="0" borderId="36" xfId="0" applyFont="1" applyFill="1" applyBorder="1" applyAlignment="1">
      <alignment horizontal="left"/>
    </xf>
    <xf numFmtId="0" fontId="92" fillId="11" borderId="36" xfId="0" applyFont="1" applyFill="1" applyBorder="1" applyAlignment="1">
      <alignment horizontal="center"/>
    </xf>
    <xf numFmtId="0" fontId="92" fillId="11" borderId="45" xfId="0" applyFont="1" applyFill="1" applyBorder="1" applyAlignment="1">
      <alignment horizontal="center"/>
    </xf>
    <xf numFmtId="0" fontId="11" fillId="0" borderId="10" xfId="41" applyFont="1" applyFill="1" applyBorder="1" applyAlignment="1">
      <alignment horizontal="left"/>
      <protection/>
    </xf>
    <xf numFmtId="0" fontId="103" fillId="0" borderId="0" xfId="0" applyFont="1" applyFill="1" applyAlignment="1">
      <alignment horizontal="center"/>
    </xf>
    <xf numFmtId="0" fontId="103" fillId="0" borderId="36" xfId="0" applyFont="1" applyFill="1" applyBorder="1" applyAlignment="1">
      <alignment horizontal="left"/>
    </xf>
    <xf numFmtId="0" fontId="103" fillId="0" borderId="0" xfId="0" applyFont="1" applyFill="1" applyAlignment="1">
      <alignment horizontal="left" vertical="center"/>
    </xf>
    <xf numFmtId="0" fontId="103" fillId="0" borderId="5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/>
    </xf>
    <xf numFmtId="0" fontId="6" fillId="40" borderId="14" xfId="0" applyFont="1" applyFill="1" applyBorder="1" applyAlignment="1">
      <alignment horizontal="center"/>
    </xf>
    <xf numFmtId="0" fontId="6" fillId="40" borderId="44" xfId="0" applyFont="1" applyFill="1" applyBorder="1" applyAlignment="1">
      <alignment horizontal="center"/>
    </xf>
    <xf numFmtId="0" fontId="134" fillId="0" borderId="14" xfId="0" applyFont="1" applyFill="1" applyBorder="1" applyAlignment="1">
      <alignment horizontal="left"/>
    </xf>
    <xf numFmtId="0" fontId="134" fillId="0" borderId="44" xfId="0" applyFont="1" applyFill="1" applyBorder="1" applyAlignment="1">
      <alignment horizontal="left"/>
    </xf>
    <xf numFmtId="0" fontId="6" fillId="40" borderId="10" xfId="0" applyFont="1" applyFill="1" applyBorder="1" applyAlignment="1">
      <alignment horizontal="center"/>
    </xf>
    <xf numFmtId="0" fontId="92" fillId="0" borderId="0" xfId="0" applyFont="1" applyFill="1" applyAlignment="1">
      <alignment horizontal="left" vertical="center"/>
    </xf>
    <xf numFmtId="0" fontId="134" fillId="0" borderId="10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left" vertical="top" wrapText="1"/>
    </xf>
    <xf numFmtId="0" fontId="96" fillId="34" borderId="53" xfId="0" applyFont="1" applyFill="1" applyBorder="1" applyAlignment="1">
      <alignment horizontal="center"/>
    </xf>
    <xf numFmtId="0" fontId="96" fillId="34" borderId="54" xfId="0" applyFont="1" applyFill="1" applyBorder="1" applyAlignment="1">
      <alignment horizontal="center"/>
    </xf>
    <xf numFmtId="0" fontId="96" fillId="34" borderId="25" xfId="0" applyFont="1" applyFill="1" applyBorder="1" applyAlignment="1">
      <alignment horizontal="center"/>
    </xf>
    <xf numFmtId="0" fontId="103" fillId="0" borderId="55" xfId="0" applyFont="1" applyBorder="1" applyAlignment="1">
      <alignment horizontal="left"/>
    </xf>
    <xf numFmtId="0" fontId="103" fillId="0" borderId="56" xfId="0" applyFont="1" applyBorder="1" applyAlignment="1">
      <alignment horizontal="left"/>
    </xf>
    <xf numFmtId="0" fontId="112" fillId="40" borderId="0" xfId="0" applyFont="1" applyFill="1" applyAlignment="1">
      <alignment horizontal="center" vertical="center" wrapText="1"/>
    </xf>
    <xf numFmtId="0" fontId="112" fillId="40" borderId="36" xfId="0" applyFont="1" applyFill="1" applyBorder="1" applyAlignment="1">
      <alignment horizontal="center" vertical="center" wrapText="1"/>
    </xf>
    <xf numFmtId="0" fontId="112" fillId="40" borderId="0" xfId="0" applyFont="1" applyFill="1" applyAlignment="1">
      <alignment horizontal="center" vertical="top" wrapText="1"/>
    </xf>
    <xf numFmtId="0" fontId="112" fillId="40" borderId="36" xfId="0" applyFont="1" applyFill="1" applyBorder="1" applyAlignment="1">
      <alignment horizontal="center" vertical="top" wrapText="1"/>
    </xf>
    <xf numFmtId="0" fontId="114" fillId="43" borderId="39" xfId="0" applyFont="1" applyFill="1" applyBorder="1" applyAlignment="1">
      <alignment horizontal="center" vertical="center" wrapText="1" readingOrder="1"/>
    </xf>
    <xf numFmtId="0" fontId="114" fillId="43" borderId="40" xfId="0" applyFont="1" applyFill="1" applyBorder="1" applyAlignment="1">
      <alignment horizontal="center" vertical="center" wrapText="1" readingOrder="1"/>
    </xf>
    <xf numFmtId="0" fontId="114" fillId="43" borderId="41" xfId="0" applyFont="1" applyFill="1" applyBorder="1" applyAlignment="1">
      <alignment horizontal="center" vertical="center" wrapText="1" readingOrder="1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0" borderId="38" xfId="0" applyFont="1" applyBorder="1" applyAlignment="1">
      <alignment horizontal="center" vertical="center"/>
    </xf>
    <xf numFmtId="0" fontId="90" fillId="34" borderId="35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91" fillId="0" borderId="14" xfId="0" applyFont="1" applyBorder="1" applyAlignment="1">
      <alignment horizontal="center"/>
    </xf>
    <xf numFmtId="0" fontId="91" fillId="0" borderId="48" xfId="0" applyFont="1" applyBorder="1" applyAlignment="1">
      <alignment horizontal="center"/>
    </xf>
    <xf numFmtId="0" fontId="91" fillId="0" borderId="44" xfId="0" applyFont="1" applyBorder="1" applyAlignment="1">
      <alignment horizontal="center"/>
    </xf>
    <xf numFmtId="0" fontId="91" fillId="37" borderId="10" xfId="0" applyFont="1" applyFill="1" applyBorder="1" applyAlignment="1">
      <alignment horizontal="center"/>
    </xf>
    <xf numFmtId="0" fontId="91" fillId="14" borderId="10" xfId="0" applyFont="1" applyFill="1" applyBorder="1" applyAlignment="1">
      <alignment horizontal="center"/>
    </xf>
    <xf numFmtId="0" fontId="91" fillId="14" borderId="14" xfId="0" applyFont="1" applyFill="1" applyBorder="1" applyAlignment="1">
      <alignment horizontal="center"/>
    </xf>
    <xf numFmtId="0" fontId="90" fillId="0" borderId="13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46" xfId="0" applyFont="1" applyBorder="1" applyAlignment="1">
      <alignment horizontal="center"/>
    </xf>
    <xf numFmtId="0" fontId="90" fillId="34" borderId="38" xfId="0" applyFont="1" applyFill="1" applyBorder="1" applyAlignment="1">
      <alignment horizontal="center" vertical="center" wrapText="1"/>
    </xf>
    <xf numFmtId="203" fontId="129" fillId="40" borderId="10" xfId="48" applyNumberFormat="1" applyFont="1" applyFill="1" applyBorder="1" applyAlignment="1">
      <alignment horizontal="center" vertical="center" wrapText="1"/>
    </xf>
    <xf numFmtId="0" fontId="27" fillId="40" borderId="14" xfId="54" applyFont="1" applyFill="1" applyBorder="1" applyAlignment="1">
      <alignment horizontal="center" vertical="center" wrapText="1"/>
      <protection/>
    </xf>
    <xf numFmtId="0" fontId="27" fillId="40" borderId="48" xfId="54" applyFont="1" applyFill="1" applyBorder="1" applyAlignment="1">
      <alignment horizontal="center" vertical="center" wrapText="1"/>
      <protection/>
    </xf>
    <xf numFmtId="0" fontId="27" fillId="40" borderId="44" xfId="54" applyFont="1" applyFill="1" applyBorder="1" applyAlignment="1">
      <alignment horizontal="center" vertical="center" wrapText="1"/>
      <protection/>
    </xf>
    <xf numFmtId="0" fontId="129" fillId="40" borderId="35" xfId="56" applyFont="1" applyFill="1" applyBorder="1" applyAlignment="1">
      <alignment horizontal="center" vertical="center" wrapText="1"/>
      <protection/>
    </xf>
    <xf numFmtId="0" fontId="129" fillId="40" borderId="38" xfId="56" applyFont="1" applyFill="1" applyBorder="1" applyAlignment="1">
      <alignment horizontal="center" vertical="center" wrapText="1"/>
      <protection/>
    </xf>
    <xf numFmtId="43" fontId="129" fillId="40" borderId="35" xfId="48" applyNumberFormat="1" applyFont="1" applyFill="1" applyBorder="1" applyAlignment="1">
      <alignment horizontal="center" vertical="center" wrapText="1"/>
    </xf>
    <xf numFmtId="43" fontId="129" fillId="40" borderId="38" xfId="48" applyNumberFormat="1" applyFont="1" applyFill="1" applyBorder="1" applyAlignment="1">
      <alignment horizontal="center" vertical="center" wrapText="1"/>
    </xf>
    <xf numFmtId="0" fontId="129" fillId="35" borderId="0" xfId="56" applyFont="1" applyFill="1" applyAlignment="1">
      <alignment horizontal="center" vertical="center" wrapText="1"/>
      <protection/>
    </xf>
    <xf numFmtId="0" fontId="90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top" wrapText="1"/>
    </xf>
    <xf numFmtId="0" fontId="103" fillId="0" borderId="14" xfId="0" applyFont="1" applyBorder="1" applyAlignment="1">
      <alignment horizontal="left"/>
    </xf>
    <xf numFmtId="0" fontId="103" fillId="0" borderId="48" xfId="0" applyFont="1" applyBorder="1" applyAlignment="1">
      <alignment horizontal="left"/>
    </xf>
    <xf numFmtId="0" fontId="103" fillId="0" borderId="44" xfId="0" applyFont="1" applyBorder="1" applyAlignment="1">
      <alignment horizontal="left"/>
    </xf>
    <xf numFmtId="0" fontId="90" fillId="41" borderId="14" xfId="0" applyFont="1" applyFill="1" applyBorder="1" applyAlignment="1">
      <alignment horizontal="center"/>
    </xf>
    <xf numFmtId="0" fontId="90" fillId="41" borderId="44" xfId="0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 vertical="top"/>
    </xf>
    <xf numFmtId="0" fontId="97" fillId="0" borderId="48" xfId="0" applyFont="1" applyFill="1" applyBorder="1" applyAlignment="1">
      <alignment horizontal="center" vertical="top"/>
    </xf>
    <xf numFmtId="0" fontId="97" fillId="0" borderId="44" xfId="0" applyFont="1" applyFill="1" applyBorder="1" applyAlignment="1">
      <alignment horizontal="center" vertical="top"/>
    </xf>
    <xf numFmtId="0" fontId="97" fillId="0" borderId="35" xfId="0" applyFont="1" applyFill="1" applyBorder="1" applyAlignment="1">
      <alignment horizontal="center" vertical="center" wrapText="1"/>
    </xf>
    <xf numFmtId="0" fontId="97" fillId="0" borderId="38" xfId="0" applyFont="1" applyFill="1" applyBorder="1" applyAlignment="1">
      <alignment horizontal="center" vertical="center" wrapText="1"/>
    </xf>
    <xf numFmtId="43" fontId="97" fillId="0" borderId="35" xfId="33" applyFont="1" applyFill="1" applyBorder="1" applyAlignment="1">
      <alignment horizontal="center" vertical="center"/>
    </xf>
    <xf numFmtId="43" fontId="97" fillId="0" borderId="38" xfId="33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/>
    </xf>
    <xf numFmtId="0" fontId="97" fillId="0" borderId="48" xfId="0" applyFont="1" applyBorder="1" applyAlignment="1">
      <alignment horizontal="center"/>
    </xf>
    <xf numFmtId="0" fontId="97" fillId="0" borderId="44" xfId="0" applyFont="1" applyBorder="1" applyAlignment="1">
      <alignment horizontal="center"/>
    </xf>
    <xf numFmtId="43" fontId="97" fillId="0" borderId="48" xfId="0" applyNumberFormat="1" applyFont="1" applyBorder="1" applyAlignment="1">
      <alignment horizontal="center"/>
    </xf>
    <xf numFmtId="43" fontId="97" fillId="0" borderId="44" xfId="0" applyNumberFormat="1" applyFont="1" applyBorder="1" applyAlignment="1">
      <alignment horizontal="center"/>
    </xf>
    <xf numFmtId="43" fontId="97" fillId="0" borderId="14" xfId="33" applyFont="1" applyBorder="1" applyAlignment="1">
      <alignment horizontal="center"/>
    </xf>
    <xf numFmtId="43" fontId="97" fillId="0" borderId="48" xfId="33" applyFont="1" applyBorder="1" applyAlignment="1">
      <alignment horizontal="center"/>
    </xf>
    <xf numFmtId="43" fontId="97" fillId="0" borderId="44" xfId="33" applyFont="1" applyBorder="1" applyAlignment="1">
      <alignment horizontal="center"/>
    </xf>
    <xf numFmtId="0" fontId="97" fillId="0" borderId="10" xfId="0" applyFont="1" applyFill="1" applyBorder="1" applyAlignment="1">
      <alignment horizontal="center" vertical="top"/>
    </xf>
    <xf numFmtId="0" fontId="97" fillId="0" borderId="10" xfId="0" applyFont="1" applyFill="1" applyBorder="1" applyAlignment="1">
      <alignment horizontal="center" vertical="top" wrapText="1"/>
    </xf>
    <xf numFmtId="0" fontId="118" fillId="43" borderId="39" xfId="0" applyFont="1" applyFill="1" applyBorder="1" applyAlignment="1">
      <alignment horizontal="center" vertical="center" wrapText="1" readingOrder="1"/>
    </xf>
    <xf numFmtId="0" fontId="118" fillId="43" borderId="40" xfId="0" applyFont="1" applyFill="1" applyBorder="1" applyAlignment="1">
      <alignment horizontal="center" vertical="center" wrapText="1" readingOrder="1"/>
    </xf>
    <xf numFmtId="0" fontId="118" fillId="43" borderId="41" xfId="0" applyFont="1" applyFill="1" applyBorder="1" applyAlignment="1">
      <alignment horizontal="center" vertical="center" wrapText="1" readingOrder="1"/>
    </xf>
    <xf numFmtId="0" fontId="132" fillId="53" borderId="36" xfId="0" applyFont="1" applyFill="1" applyBorder="1" applyAlignment="1">
      <alignment horizontal="left"/>
    </xf>
    <xf numFmtId="0" fontId="132" fillId="0" borderId="10" xfId="0" applyFont="1" applyFill="1" applyBorder="1" applyAlignment="1">
      <alignment horizontal="center" vertical="center"/>
    </xf>
    <xf numFmtId="0" fontId="132" fillId="53" borderId="35" xfId="0" applyFont="1" applyFill="1" applyBorder="1" applyAlignment="1">
      <alignment horizontal="center" vertical="center"/>
    </xf>
    <xf numFmtId="0" fontId="132" fillId="53" borderId="57" xfId="0" applyFont="1" applyFill="1" applyBorder="1" applyAlignment="1">
      <alignment horizontal="center" vertical="center"/>
    </xf>
    <xf numFmtId="0" fontId="132" fillId="53" borderId="38" xfId="0" applyFont="1" applyFill="1" applyBorder="1" applyAlignment="1">
      <alignment horizontal="center" vertical="center"/>
    </xf>
    <xf numFmtId="0" fontId="132" fillId="0" borderId="35" xfId="0" applyFont="1" applyFill="1" applyBorder="1" applyAlignment="1">
      <alignment horizontal="center" vertical="center"/>
    </xf>
    <xf numFmtId="0" fontId="132" fillId="0" borderId="38" xfId="0" applyFont="1" applyFill="1" applyBorder="1" applyAlignment="1">
      <alignment horizontal="center" vertical="center"/>
    </xf>
    <xf numFmtId="0" fontId="132" fillId="0" borderId="57" xfId="0" applyFont="1" applyFill="1" applyBorder="1" applyAlignment="1">
      <alignment horizontal="center" vertical="center"/>
    </xf>
    <xf numFmtId="0" fontId="84" fillId="50" borderId="0" xfId="0" applyFont="1" applyFill="1" applyAlignment="1">
      <alignment horizontal="center" vertical="center" wrapText="1"/>
    </xf>
    <xf numFmtId="0" fontId="0" fillId="51" borderId="0" xfId="0" applyFill="1" applyAlignment="1">
      <alignment horizontal="left" vertical="top" wrapText="1"/>
    </xf>
    <xf numFmtId="0" fontId="92" fillId="0" borderId="36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6" fillId="0" borderId="35" xfId="0" applyFont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 wrapText="1"/>
    </xf>
    <xf numFmtId="0" fontId="96" fillId="35" borderId="13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34" borderId="35" xfId="0" applyFont="1" applyFill="1" applyBorder="1" applyAlignment="1">
      <alignment horizontal="center" vertical="center" wrapText="1"/>
    </xf>
    <xf numFmtId="0" fontId="96" fillId="35" borderId="37" xfId="0" applyFont="1" applyFill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/>
    </xf>
    <xf numFmtId="202" fontId="11" fillId="0" borderId="10" xfId="33" applyNumberFormat="1" applyFont="1" applyFill="1" applyBorder="1" applyAlignment="1">
      <alignment wrapText="1"/>
    </xf>
    <xf numFmtId="202" fontId="11" fillId="35" borderId="10" xfId="33" applyNumberFormat="1" applyFont="1" applyFill="1" applyBorder="1" applyAlignment="1">
      <alignment wrapText="1"/>
    </xf>
    <xf numFmtId="43" fontId="11" fillId="0" borderId="10" xfId="43" applyNumberFormat="1" applyFont="1" applyFill="1" applyBorder="1" applyAlignment="1">
      <alignment wrapText="1"/>
      <protection/>
    </xf>
    <xf numFmtId="202" fontId="96" fillId="0" borderId="10" xfId="33" applyNumberFormat="1" applyFont="1" applyBorder="1" applyAlignment="1">
      <alignment/>
    </xf>
    <xf numFmtId="202" fontId="9" fillId="0" borderId="10" xfId="33" applyNumberFormat="1" applyFont="1" applyFill="1" applyBorder="1" applyAlignment="1">
      <alignment wrapText="1"/>
    </xf>
    <xf numFmtId="0" fontId="96" fillId="36" borderId="10" xfId="0" applyFont="1" applyFill="1" applyBorder="1" applyAlignment="1">
      <alignment/>
    </xf>
    <xf numFmtId="43" fontId="11" fillId="0" borderId="0" xfId="33" applyFont="1" applyFill="1" applyBorder="1" applyAlignment="1">
      <alignment wrapText="1"/>
    </xf>
    <xf numFmtId="0" fontId="11" fillId="35" borderId="0" xfId="43" applyFont="1" applyFill="1" applyBorder="1" applyAlignment="1">
      <alignment wrapText="1"/>
      <protection/>
    </xf>
    <xf numFmtId="201" fontId="11" fillId="0" borderId="0" xfId="33" applyNumberFormat="1" applyFont="1" applyFill="1" applyBorder="1" applyAlignment="1">
      <alignment wrapText="1"/>
    </xf>
    <xf numFmtId="0" fontId="11" fillId="0" borderId="0" xfId="43" applyFont="1" applyFill="1" applyBorder="1" applyAlignment="1">
      <alignment vertical="top" wrapText="1"/>
      <protection/>
    </xf>
    <xf numFmtId="0" fontId="11" fillId="0" borderId="0" xfId="43" applyFont="1" applyFill="1" applyBorder="1" applyAlignment="1">
      <alignment wrapText="1"/>
      <protection/>
    </xf>
    <xf numFmtId="0" fontId="96" fillId="0" borderId="36" xfId="0" applyFont="1" applyBorder="1" applyAlignment="1">
      <alignment horizontal="center"/>
    </xf>
    <xf numFmtId="202" fontId="96" fillId="0" borderId="10" xfId="33" applyNumberFormat="1" applyFont="1" applyBorder="1" applyAlignment="1">
      <alignment horizontal="right"/>
    </xf>
    <xf numFmtId="2" fontId="96" fillId="0" borderId="0" xfId="0" applyNumberFormat="1" applyFont="1" applyAlignment="1">
      <alignment/>
    </xf>
    <xf numFmtId="43" fontId="96" fillId="0" borderId="10" xfId="33" applyFont="1" applyBorder="1" applyAlignment="1">
      <alignment horizontal="center"/>
    </xf>
    <xf numFmtId="202" fontId="11" fillId="0" borderId="10" xfId="33" applyNumberFormat="1" applyFont="1" applyFill="1" applyBorder="1" applyAlignment="1">
      <alignment horizontal="right" wrapText="1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7" xfId="35"/>
    <cellStyle name="Currency" xfId="36"/>
    <cellStyle name="Currency [0]" xfId="37"/>
    <cellStyle name="Normal 2" xfId="38"/>
    <cellStyle name="Normal 8" xfId="39"/>
    <cellStyle name="Normal_COA_V27_23Nov04_ForMeeting" xfId="40"/>
    <cellStyle name="Normal_Sheet2" xfId="41"/>
    <cellStyle name="Normal_Sheet4" xfId="42"/>
    <cellStyle name="Normal_Sheet7" xfId="43"/>
    <cellStyle name="Percent" xfId="44"/>
    <cellStyle name="การคำนวณ" xfId="45"/>
    <cellStyle name="ข้อความเตือน" xfId="46"/>
    <cellStyle name="ข้อความอธิบาย" xfId="47"/>
    <cellStyle name="เครื่องหมายจุลภาค 2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 10" xfId="53"/>
    <cellStyle name="ปกติ 3" xfId="54"/>
    <cellStyle name="ปกติ 3 2" xfId="55"/>
    <cellStyle name="ปกติ 4" xfId="56"/>
    <cellStyle name="ปกติ 4 3" xfId="57"/>
    <cellStyle name="ปกติ_Sheet1" xfId="58"/>
    <cellStyle name="ปกติ_Sheet1 2" xfId="59"/>
    <cellStyle name="ปกติ_Sheet2" xfId="60"/>
    <cellStyle name="ปกติ_Sheet7" xfId="61"/>
    <cellStyle name="ปกติ_รายการครุภัณฑ์_๓ธค๕๗ (ข้อมูลนำเข้า)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dxfs count="1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1.emf" /><Relationship Id="rId18" Type="http://schemas.openxmlformats.org/officeDocument/2006/relationships/image" Target="../media/image2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Relationship Id="rId2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14</xdr:row>
      <xdr:rowOff>76200</xdr:rowOff>
    </xdr:from>
    <xdr:to>
      <xdr:col>1</xdr:col>
      <xdr:colOff>3352800</xdr:colOff>
      <xdr:row>21</xdr:row>
      <xdr:rowOff>66675</xdr:rowOff>
    </xdr:to>
    <xdr:pic>
      <xdr:nvPicPr>
        <xdr:cNvPr id="1" name="รูปภาพ 8"/>
        <xdr:cNvPicPr preferRelativeResize="1">
          <a:picLocks noChangeAspect="1"/>
        </xdr:cNvPicPr>
      </xdr:nvPicPr>
      <xdr:blipFill>
        <a:blip r:embed="rId1"/>
        <a:srcRect t="33340" r="45353" b="8613"/>
        <a:stretch>
          <a:fillRect/>
        </a:stretch>
      </xdr:blipFill>
      <xdr:spPr>
        <a:xfrm>
          <a:off x="1828800" y="4391025"/>
          <a:ext cx="28479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800100</xdr:colOff>
      <xdr:row>44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631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800100</xdr:colOff>
      <xdr:row>44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015365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800100</xdr:colOff>
      <xdr:row>45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069657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800100</xdr:colOff>
      <xdr:row>50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179195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800100</xdr:colOff>
      <xdr:row>51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19824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800100</xdr:colOff>
      <xdr:row>52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1217295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800100</xdr:colOff>
      <xdr:row>53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2150" y="125349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800100</xdr:colOff>
      <xdr:row>54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62150" y="127254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800100</xdr:colOff>
      <xdr:row>55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62150" y="129159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800100</xdr:colOff>
      <xdr:row>56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62150" y="131064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800100</xdr:colOff>
      <xdr:row>57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62150" y="132969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800100</xdr:colOff>
      <xdr:row>58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62150" y="134874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800100</xdr:colOff>
      <xdr:row>59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62150" y="136779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800100</xdr:colOff>
      <xdr:row>60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62150" y="138684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800100</xdr:colOff>
      <xdr:row>66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62150" y="149733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800100</xdr:colOff>
      <xdr:row>67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62150" y="151638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800100</xdr:colOff>
      <xdr:row>68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62150" y="153543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800100</xdr:colOff>
      <xdr:row>69</xdr:row>
      <xdr:rowOff>95250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62150" y="155448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800100</xdr:colOff>
      <xdr:row>70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62150" y="1573530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800100</xdr:colOff>
      <xdr:row>71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62150" y="1609725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800100</xdr:colOff>
      <xdr:row>72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62150" y="164592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30"/>
  <sheetViews>
    <sheetView zoomScalePageLayoutView="0" workbookViewId="0" topLeftCell="A7">
      <selection activeCell="B36" sqref="B36"/>
    </sheetView>
  </sheetViews>
  <sheetFormatPr defaultColWidth="9.140625" defaultRowHeight="15"/>
  <cols>
    <col min="1" max="1" width="19.8515625" style="21" customWidth="1"/>
    <col min="2" max="2" width="87.421875" style="21" bestFit="1" customWidth="1"/>
    <col min="3" max="16384" width="9.00390625" style="21" customWidth="1"/>
  </cols>
  <sheetData>
    <row r="1" spans="1:2" ht="27.75">
      <c r="A1" s="20" t="s">
        <v>803</v>
      </c>
      <c r="B1" s="133" t="s">
        <v>1625</v>
      </c>
    </row>
    <row r="2" spans="1:2" s="25" customFormat="1" ht="24">
      <c r="A2" s="25" t="s">
        <v>821</v>
      </c>
      <c r="B2" s="25" t="s">
        <v>804</v>
      </c>
    </row>
    <row r="3" s="25" customFormat="1" ht="24">
      <c r="B3" s="25" t="s">
        <v>805</v>
      </c>
    </row>
    <row r="4" s="25" customFormat="1" ht="24">
      <c r="B4" s="124" t="s">
        <v>811</v>
      </c>
    </row>
    <row r="5" s="25" customFormat="1" ht="24">
      <c r="B5" s="125" t="s">
        <v>812</v>
      </c>
    </row>
    <row r="6" s="25" customFormat="1" ht="24">
      <c r="B6" s="125" t="s">
        <v>813</v>
      </c>
    </row>
    <row r="7" s="25" customFormat="1" ht="24">
      <c r="B7" s="125" t="s">
        <v>814</v>
      </c>
    </row>
    <row r="8" s="25" customFormat="1" ht="24">
      <c r="B8" s="125" t="s">
        <v>815</v>
      </c>
    </row>
    <row r="9" spans="1:2" s="25" customFormat="1" ht="24">
      <c r="A9" s="25" t="s">
        <v>1541</v>
      </c>
      <c r="B9" s="146" t="s">
        <v>1543</v>
      </c>
    </row>
    <row r="10" s="25" customFormat="1" ht="24">
      <c r="B10" s="146" t="s">
        <v>1542</v>
      </c>
    </row>
    <row r="11" s="25" customFormat="1" ht="24">
      <c r="B11" s="146" t="s">
        <v>1544</v>
      </c>
    </row>
    <row r="12" s="25" customFormat="1" ht="24">
      <c r="B12" s="125"/>
    </row>
    <row r="13" s="25" customFormat="1" ht="24">
      <c r="B13" s="125" t="s">
        <v>1545</v>
      </c>
    </row>
    <row r="14" s="25" customFormat="1" ht="24">
      <c r="B14" s="125" t="s">
        <v>1546</v>
      </c>
    </row>
    <row r="15" s="25" customFormat="1" ht="24">
      <c r="B15" s="125"/>
    </row>
    <row r="16" s="25" customFormat="1" ht="24">
      <c r="B16" s="125"/>
    </row>
    <row r="17" s="25" customFormat="1" ht="24">
      <c r="B17" s="125"/>
    </row>
    <row r="18" s="25" customFormat="1" ht="24">
      <c r="B18" s="125"/>
    </row>
    <row r="19" s="25" customFormat="1" ht="24">
      <c r="B19" s="125"/>
    </row>
    <row r="20" s="25" customFormat="1" ht="24">
      <c r="B20" s="125"/>
    </row>
    <row r="21" s="25" customFormat="1" ht="24">
      <c r="B21" s="125"/>
    </row>
    <row r="22" s="25" customFormat="1" ht="24">
      <c r="B22" s="125"/>
    </row>
    <row r="23" s="25" customFormat="1" ht="24">
      <c r="B23" s="125"/>
    </row>
    <row r="24" spans="1:2" s="25" customFormat="1" ht="24">
      <c r="A24" s="25" t="s">
        <v>742</v>
      </c>
      <c r="B24" s="25" t="s">
        <v>817</v>
      </c>
    </row>
    <row r="25" s="25" customFormat="1" ht="24">
      <c r="B25" s="25" t="s">
        <v>818</v>
      </c>
    </row>
    <row r="26" s="25" customFormat="1" ht="24">
      <c r="B26" s="25" t="s">
        <v>819</v>
      </c>
    </row>
    <row r="27" spans="1:2" s="25" customFormat="1" ht="24">
      <c r="A27" s="25" t="s">
        <v>806</v>
      </c>
      <c r="B27" s="25" t="s">
        <v>820</v>
      </c>
    </row>
    <row r="28" spans="1:2" s="25" customFormat="1" ht="24">
      <c r="A28" s="25" t="s">
        <v>807</v>
      </c>
      <c r="B28" s="25" t="s">
        <v>808</v>
      </c>
    </row>
    <row r="29" s="25" customFormat="1" ht="24">
      <c r="B29" s="25" t="s">
        <v>809</v>
      </c>
    </row>
    <row r="30" s="25" customFormat="1" ht="24">
      <c r="B30" s="25" t="s">
        <v>810</v>
      </c>
    </row>
    <row r="32" s="25" customFormat="1" ht="24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140625" defaultRowHeight="15"/>
  <cols>
    <col min="1" max="1" width="18.7109375" style="89" bestFit="1" customWidth="1"/>
    <col min="2" max="2" width="9.421875" style="89" bestFit="1" customWidth="1"/>
    <col min="3" max="3" width="11.28125" style="89" bestFit="1" customWidth="1"/>
    <col min="4" max="4" width="11.8515625" style="89" bestFit="1" customWidth="1"/>
    <col min="5" max="6" width="12.421875" style="89" bestFit="1" customWidth="1"/>
    <col min="7" max="7" width="9.421875" style="89" bestFit="1" customWidth="1"/>
    <col min="8" max="8" width="11.7109375" style="89" bestFit="1" customWidth="1"/>
    <col min="9" max="9" width="11.8515625" style="89" bestFit="1" customWidth="1"/>
    <col min="10" max="10" width="14.8515625" style="89" bestFit="1" customWidth="1"/>
    <col min="11" max="11" width="17.57421875" style="89" customWidth="1"/>
    <col min="12" max="16384" width="9.00390625" style="89" customWidth="1"/>
  </cols>
  <sheetData>
    <row r="1" spans="1:10" ht="21.75">
      <c r="A1" s="643" t="s">
        <v>703</v>
      </c>
      <c r="B1" s="643"/>
      <c r="C1" s="643"/>
      <c r="D1" s="643"/>
      <c r="E1" s="643"/>
      <c r="F1" s="643"/>
      <c r="G1" s="643"/>
      <c r="H1" s="643"/>
      <c r="I1" s="643"/>
      <c r="J1" s="643"/>
    </row>
    <row r="2" spans="1:10" ht="195.75">
      <c r="A2" s="531" t="s">
        <v>756</v>
      </c>
      <c r="B2" s="530" t="s">
        <v>1774</v>
      </c>
      <c r="C2" s="530" t="s">
        <v>1775</v>
      </c>
      <c r="D2" s="530" t="s">
        <v>1776</v>
      </c>
      <c r="E2" s="533" t="s">
        <v>1777</v>
      </c>
      <c r="F2" s="533" t="s">
        <v>1778</v>
      </c>
      <c r="G2" s="533" t="s">
        <v>1779</v>
      </c>
      <c r="H2" s="530" t="s">
        <v>1780</v>
      </c>
      <c r="I2" s="530" t="s">
        <v>1781</v>
      </c>
      <c r="J2" s="533" t="s">
        <v>1782</v>
      </c>
    </row>
    <row r="3" spans="1:10" ht="21.75">
      <c r="A3" s="535" t="s">
        <v>623</v>
      </c>
      <c r="B3" s="536">
        <v>27373716.49</v>
      </c>
      <c r="C3" s="537">
        <v>44878182.66</v>
      </c>
      <c r="D3" s="538">
        <f>4342467.47+4327782.13+1821433.8+1590276.88+1688201.95+3216451.97+2022304.55+2587080.63+2260661.24+4048917.93+2790557.86+2790557.86</f>
        <v>33486694.269999996</v>
      </c>
      <c r="E3" s="538">
        <f>3376229.41+2145025.68+1950838.19+2587732.12+2347464.36+2958647.19+2680883.08+2457525.63+2580669.62+3039293.71+2612430.9+2612430.9</f>
        <v>31349170.789999995</v>
      </c>
      <c r="F3" s="538">
        <f>58524.52+320135.19+91778.28+173515.83+61714.34+76741.17+67147.48+56041.39+99056+86444.27+109109.85+109109.85</f>
        <v>1309318.1700000002</v>
      </c>
      <c r="G3" s="538">
        <v>27960</v>
      </c>
      <c r="H3" s="538">
        <f>+E3+F3+G3</f>
        <v>32686448.959999997</v>
      </c>
      <c r="I3" s="538">
        <v>4277060.43</v>
      </c>
      <c r="J3" s="539">
        <v>42752734.05</v>
      </c>
    </row>
    <row r="4" spans="1:10" ht="65.25">
      <c r="A4" s="545" t="s">
        <v>757</v>
      </c>
      <c r="B4" s="536">
        <v>13745370.71</v>
      </c>
      <c r="C4" s="537">
        <v>18786604.07</v>
      </c>
      <c r="D4" s="538">
        <f>1983393.85+1687165.54+1496689.25+1012902.39+829229.5+1831212.66+876593.94+1336576.36+602547.3+845149.8+1250146.06+1250146.06</f>
        <v>15001752.71</v>
      </c>
      <c r="E4" s="538">
        <f>1250345.35+1387441.61+1615660.74+93667.55+989565.02+1565288.18+737447.61+1151267.69+743086.67+828910.47+1036268.09+1036268.09</f>
        <v>12435217.07</v>
      </c>
      <c r="F4" s="538">
        <f>13636.43+98933.55+34596.7+36861.34+47216+32742.66+18376.37+20916.84+99056+86444.27+48878.02+48878.02</f>
        <v>586536.2000000001</v>
      </c>
      <c r="G4" s="538">
        <v>0</v>
      </c>
      <c r="H4" s="538">
        <f>+E4+F4+G4</f>
        <v>13021753.27</v>
      </c>
      <c r="I4" s="538">
        <v>1953080.32</v>
      </c>
      <c r="J4" s="539">
        <v>28419476.86</v>
      </c>
    </row>
    <row r="5" spans="1:10" ht="21.75">
      <c r="A5" s="540" t="s">
        <v>758</v>
      </c>
      <c r="B5" s="536">
        <v>12423856.86</v>
      </c>
      <c r="C5" s="537">
        <v>13865510.45</v>
      </c>
      <c r="D5" s="538">
        <f>2257106.68+832164.58+1061954.67+2026689.38+368135.87+937019.46+1010635.5+9*35946+1762532+879066.1+1145881.82+1145881.82</f>
        <v>13750581.88</v>
      </c>
      <c r="E5" s="538">
        <f>2223844.23+631218.23+990520.52+1108838.43+767462.02+1059882.16+1244414.25+1123414.65+2022079.65+757070.48+1192874.46+1192874.46+239080</f>
        <v>14553573.540000003</v>
      </c>
      <c r="F5" s="538">
        <f>4803+23036.9+3547.05+5983.55+2921.1+1568.43+2921.1+2246.5+8379.8+2503.8+5791.12+5791.12</f>
        <v>69493.47</v>
      </c>
      <c r="G5" s="538">
        <v>0</v>
      </c>
      <c r="H5" s="538">
        <f>+E5+F5+G5</f>
        <v>14623067.010000004</v>
      </c>
      <c r="I5" s="538">
        <v>1198535.1</v>
      </c>
      <c r="J5" s="539">
        <f>+E5+F5</f>
        <v>14623067.010000004</v>
      </c>
    </row>
    <row r="6" ht="21.75">
      <c r="J6" s="403">
        <f>SUM(J3:J5)</f>
        <v>85795277.92</v>
      </c>
    </row>
    <row r="7" ht="21.75">
      <c r="J7" s="1"/>
    </row>
    <row r="8" ht="21.75">
      <c r="A8" s="1" t="s">
        <v>1783</v>
      </c>
    </row>
    <row r="9" spans="1:6" ht="21.75">
      <c r="A9" s="1" t="s">
        <v>1784</v>
      </c>
      <c r="B9" s="541" t="s">
        <v>623</v>
      </c>
      <c r="C9" s="541"/>
      <c r="D9" s="541" t="s">
        <v>1785</v>
      </c>
      <c r="E9" s="541"/>
      <c r="F9" s="541" t="s">
        <v>1786</v>
      </c>
    </row>
    <row r="10" spans="1:33" ht="21.75">
      <c r="A10" s="1" t="s">
        <v>1787</v>
      </c>
      <c r="B10" s="542">
        <f>+H3</f>
        <v>32686448.959999997</v>
      </c>
      <c r="C10" s="1"/>
      <c r="D10" s="542">
        <f>+H4</f>
        <v>13021753.27</v>
      </c>
      <c r="E10" s="1"/>
      <c r="F10" s="402">
        <f>+H4</f>
        <v>13021753.27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1.75">
      <c r="A11" s="1" t="s">
        <v>1788</v>
      </c>
      <c r="B11" s="542">
        <f>+I3</f>
        <v>4277060.43</v>
      </c>
      <c r="C11" s="1"/>
      <c r="D11" s="542">
        <f>+I4</f>
        <v>1953080.32</v>
      </c>
      <c r="E11" s="1"/>
      <c r="F11" s="402">
        <f>+I5</f>
        <v>1198535.1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1.75">
      <c r="A12" s="1" t="s">
        <v>1789</v>
      </c>
      <c r="B12" s="543">
        <f>+B10/B11</f>
        <v>7.642269613665477</v>
      </c>
      <c r="C12" s="1" t="s">
        <v>1790</v>
      </c>
      <c r="D12" s="404">
        <f>+D10/D11</f>
        <v>6.667290196237295</v>
      </c>
      <c r="E12" s="1" t="s">
        <v>1790</v>
      </c>
      <c r="F12" s="403">
        <f>+F10/F11</f>
        <v>10.864724170364305</v>
      </c>
      <c r="G12" s="1" t="s">
        <v>1790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1.75">
      <c r="A13" s="1" t="s">
        <v>1791</v>
      </c>
      <c r="B13" s="1">
        <v>73</v>
      </c>
      <c r="C13" s="1" t="s">
        <v>1771</v>
      </c>
      <c r="D13" s="544">
        <f>365/6</f>
        <v>60.833333333333336</v>
      </c>
      <c r="E13" s="1" t="s">
        <v>1771</v>
      </c>
      <c r="F13" s="404">
        <f>365/73.02</f>
        <v>4.998630512188442</v>
      </c>
      <c r="G13" s="1" t="s">
        <v>1771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6:33" ht="21.7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8"/>
  </sheetData>
  <sheetProtection/>
  <mergeCells count="1">
    <mergeCell ref="A1:J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21.57421875" style="25" customWidth="1"/>
    <col min="2" max="2" width="12.8515625" style="25" customWidth="1"/>
    <col min="3" max="3" width="13.28125" style="25" customWidth="1"/>
    <col min="4" max="4" width="12.57421875" style="25" customWidth="1"/>
    <col min="5" max="5" width="14.140625" style="25" customWidth="1"/>
    <col min="6" max="6" width="12.28125" style="25" customWidth="1"/>
    <col min="7" max="7" width="16.7109375" style="25" customWidth="1"/>
    <col min="8" max="8" width="12.421875" style="25" bestFit="1" customWidth="1"/>
    <col min="9" max="16384" width="9.00390625" style="25" customWidth="1"/>
  </cols>
  <sheetData>
    <row r="1" spans="1:7" ht="24">
      <c r="A1" s="644" t="s">
        <v>759</v>
      </c>
      <c r="B1" s="644"/>
      <c r="C1" s="644"/>
      <c r="D1" s="644"/>
      <c r="E1" s="644"/>
      <c r="F1" s="644"/>
      <c r="G1" s="644"/>
    </row>
    <row r="2" spans="1:7" ht="72">
      <c r="A2" s="80" t="s">
        <v>756</v>
      </c>
      <c r="B2" s="121" t="s">
        <v>1774</v>
      </c>
      <c r="C2" s="121" t="s">
        <v>1775</v>
      </c>
      <c r="D2" s="121" t="s">
        <v>1776</v>
      </c>
      <c r="E2" s="405" t="s">
        <v>1777</v>
      </c>
      <c r="F2" s="121" t="s">
        <v>1792</v>
      </c>
      <c r="G2" s="401" t="s">
        <v>1793</v>
      </c>
    </row>
    <row r="3" spans="1:8" ht="24">
      <c r="A3" s="406" t="s">
        <v>624</v>
      </c>
      <c r="B3" s="290">
        <v>1274904.19</v>
      </c>
      <c r="C3" s="290">
        <v>1532674</v>
      </c>
      <c r="D3" s="122">
        <v>1141858.19</v>
      </c>
      <c r="E3" s="122">
        <v>1236675.97</v>
      </c>
      <c r="F3" s="122">
        <v>229517.03</v>
      </c>
      <c r="G3" s="290">
        <v>1827449</v>
      </c>
      <c r="H3" s="313"/>
    </row>
    <row r="4" spans="1:8" ht="24">
      <c r="A4" s="406" t="s">
        <v>625</v>
      </c>
      <c r="B4" s="290">
        <v>95315</v>
      </c>
      <c r="C4" s="290">
        <v>108555</v>
      </c>
      <c r="D4" s="122">
        <v>78174</v>
      </c>
      <c r="E4" s="122">
        <v>78174</v>
      </c>
      <c r="F4" s="122">
        <v>0</v>
      </c>
      <c r="G4" s="290">
        <v>412100</v>
      </c>
      <c r="H4" s="313"/>
    </row>
    <row r="5" spans="1:9" ht="24">
      <c r="A5" s="406" t="s">
        <v>626</v>
      </c>
      <c r="B5" s="290">
        <v>1478375</v>
      </c>
      <c r="C5" s="290">
        <v>1289935</v>
      </c>
      <c r="D5" s="122">
        <v>1380548</v>
      </c>
      <c r="E5" s="122">
        <v>1380548</v>
      </c>
      <c r="F5" s="122">
        <v>0</v>
      </c>
      <c r="G5" s="290">
        <v>2416560</v>
      </c>
      <c r="H5" s="407">
        <f aca="true" t="shared" si="0" ref="H5:H13">+G5-E5</f>
        <v>1036012</v>
      </c>
      <c r="I5" s="25" t="s">
        <v>1794</v>
      </c>
    </row>
    <row r="6" spans="1:9" ht="24">
      <c r="A6" s="406" t="s">
        <v>627</v>
      </c>
      <c r="B6" s="197">
        <v>302241</v>
      </c>
      <c r="C6" s="197">
        <v>432501</v>
      </c>
      <c r="D6" s="197">
        <v>451412.4</v>
      </c>
      <c r="E6" s="197">
        <v>443697.84</v>
      </c>
      <c r="F6" s="197">
        <v>5616.93</v>
      </c>
      <c r="G6" s="197">
        <v>1734652</v>
      </c>
      <c r="H6" s="407">
        <f t="shared" si="0"/>
        <v>1290954.16</v>
      </c>
      <c r="I6" s="25" t="s">
        <v>1795</v>
      </c>
    </row>
    <row r="7" spans="1:8" ht="24">
      <c r="A7" s="406" t="s">
        <v>628</v>
      </c>
      <c r="B7" s="197">
        <v>35554</v>
      </c>
      <c r="C7" s="197">
        <v>66794</v>
      </c>
      <c r="D7" s="197">
        <v>11625.94</v>
      </c>
      <c r="E7" s="197">
        <v>18619.9</v>
      </c>
      <c r="F7" s="197">
        <v>0</v>
      </c>
      <c r="G7" s="197">
        <v>27950</v>
      </c>
      <c r="H7" s="313"/>
    </row>
    <row r="8" spans="1:8" ht="24">
      <c r="A8" s="406" t="s">
        <v>629</v>
      </c>
      <c r="B8" s="197">
        <v>485249.99</v>
      </c>
      <c r="C8" s="197">
        <v>691400</v>
      </c>
      <c r="D8" s="197">
        <v>457560</v>
      </c>
      <c r="E8" s="197">
        <v>455342.21</v>
      </c>
      <c r="F8" s="197">
        <v>66395.92</v>
      </c>
      <c r="G8" s="197">
        <v>564180</v>
      </c>
      <c r="H8" s="313"/>
    </row>
    <row r="9" spans="1:9" ht="24">
      <c r="A9" s="406" t="s">
        <v>630</v>
      </c>
      <c r="B9" s="197">
        <v>2381353.4</v>
      </c>
      <c r="C9" s="197">
        <v>2502544.25</v>
      </c>
      <c r="D9" s="197">
        <v>1489828.8</v>
      </c>
      <c r="E9" s="197">
        <v>1351324.72</v>
      </c>
      <c r="F9" s="197">
        <v>178980.7</v>
      </c>
      <c r="G9" s="197">
        <v>3597320</v>
      </c>
      <c r="H9" s="407">
        <f t="shared" si="0"/>
        <v>2245995.2800000003</v>
      </c>
      <c r="I9" s="25" t="s">
        <v>1796</v>
      </c>
    </row>
    <row r="10" spans="1:8" ht="24">
      <c r="A10" s="406" t="s">
        <v>631</v>
      </c>
      <c r="B10" s="197">
        <v>3493392</v>
      </c>
      <c r="C10" s="197">
        <v>3899259</v>
      </c>
      <c r="D10" s="197">
        <v>3657727.8</v>
      </c>
      <c r="E10" s="197">
        <v>3000652.04</v>
      </c>
      <c r="F10" s="197">
        <v>0</v>
      </c>
      <c r="G10" s="197">
        <v>3892653</v>
      </c>
      <c r="H10" s="315">
        <f t="shared" si="0"/>
        <v>892000.96</v>
      </c>
    </row>
    <row r="11" spans="1:8" ht="24">
      <c r="A11" s="406" t="s">
        <v>632</v>
      </c>
      <c r="B11" s="197">
        <v>563113</v>
      </c>
      <c r="C11" s="197">
        <v>576356</v>
      </c>
      <c r="D11" s="197">
        <v>210840.58</v>
      </c>
      <c r="E11" s="197">
        <v>1342527</v>
      </c>
      <c r="F11" s="197">
        <v>45539.74</v>
      </c>
      <c r="G11" s="197">
        <v>1673180</v>
      </c>
      <c r="H11" s="313">
        <f t="shared" si="0"/>
        <v>330653</v>
      </c>
    </row>
    <row r="12" spans="1:9" ht="24">
      <c r="A12" s="406" t="s">
        <v>633</v>
      </c>
      <c r="B12" s="197">
        <v>428453.833</v>
      </c>
      <c r="C12" s="197">
        <v>633595.59</v>
      </c>
      <c r="D12" s="197">
        <v>412371.11</v>
      </c>
      <c r="E12" s="197">
        <v>347175.41</v>
      </c>
      <c r="F12" s="197">
        <v>0</v>
      </c>
      <c r="G12" s="197">
        <v>1112975</v>
      </c>
      <c r="H12" s="313">
        <f t="shared" si="0"/>
        <v>765799.5900000001</v>
      </c>
      <c r="I12" s="25" t="s">
        <v>1797</v>
      </c>
    </row>
    <row r="13" spans="1:8" ht="24">
      <c r="A13" s="406" t="s">
        <v>634</v>
      </c>
      <c r="B13" s="197">
        <v>270165</v>
      </c>
      <c r="C13" s="197">
        <v>64980</v>
      </c>
      <c r="D13" s="197">
        <v>0</v>
      </c>
      <c r="E13" s="197">
        <v>1386</v>
      </c>
      <c r="F13" s="197">
        <v>0</v>
      </c>
      <c r="G13" s="197">
        <v>2330</v>
      </c>
      <c r="H13" s="313">
        <f t="shared" si="0"/>
        <v>944</v>
      </c>
    </row>
    <row r="14" spans="1:7" ht="24">
      <c r="A14" s="28" t="s">
        <v>666</v>
      </c>
      <c r="B14" s="197">
        <f aca="true" t="shared" si="1" ref="B14:G14">SUM(B3:B13)</f>
        <v>10808116.413</v>
      </c>
      <c r="C14" s="197">
        <f t="shared" si="1"/>
        <v>11798593.84</v>
      </c>
      <c r="D14" s="197">
        <f t="shared" si="1"/>
        <v>9291946.819999998</v>
      </c>
      <c r="E14" s="197">
        <f t="shared" si="1"/>
        <v>9656123.09</v>
      </c>
      <c r="F14" s="197">
        <f t="shared" si="1"/>
        <v>526050.3200000001</v>
      </c>
      <c r="G14" s="197">
        <f t="shared" si="1"/>
        <v>17261349</v>
      </c>
    </row>
    <row r="16" ht="24">
      <c r="G16" s="313"/>
    </row>
  </sheetData>
  <sheetProtection/>
  <mergeCells count="1">
    <mergeCell ref="A1:G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pane xSplit="2" ySplit="3" topLeftCell="E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9" sqref="A19:IV21"/>
    </sheetView>
  </sheetViews>
  <sheetFormatPr defaultColWidth="9.140625" defaultRowHeight="15"/>
  <cols>
    <col min="1" max="7" width="16.421875" style="25" customWidth="1"/>
    <col min="8" max="10" width="6.57421875" style="25" bestFit="1" customWidth="1"/>
    <col min="11" max="11" width="6.28125" style="25" customWidth="1"/>
    <col min="12" max="12" width="16.421875" style="25" hidden="1" customWidth="1"/>
    <col min="13" max="13" width="12.57421875" style="25" bestFit="1" customWidth="1"/>
    <col min="14" max="16384" width="16.421875" style="25" customWidth="1"/>
  </cols>
  <sheetData>
    <row r="1" spans="2:13" ht="24">
      <c r="B1" s="705" t="s">
        <v>752</v>
      </c>
      <c r="C1" s="705"/>
      <c r="D1" s="705"/>
      <c r="E1" s="705"/>
      <c r="F1" s="705"/>
      <c r="G1" s="705"/>
      <c r="H1" s="705"/>
      <c r="I1" s="705"/>
      <c r="J1" s="705"/>
      <c r="K1" s="705"/>
      <c r="L1" s="706"/>
      <c r="M1" s="706"/>
    </row>
    <row r="2" spans="1:13" ht="21" customHeight="1">
      <c r="A2" s="707" t="s">
        <v>756</v>
      </c>
      <c r="B2" s="708" t="s">
        <v>1798</v>
      </c>
      <c r="C2" s="708" t="s">
        <v>1799</v>
      </c>
      <c r="D2" s="708" t="s">
        <v>1800</v>
      </c>
      <c r="E2" s="708" t="s">
        <v>1801</v>
      </c>
      <c r="F2" s="709" t="s">
        <v>1802</v>
      </c>
      <c r="G2" s="710" t="s">
        <v>1803</v>
      </c>
      <c r="H2" s="711" t="s">
        <v>760</v>
      </c>
      <c r="I2" s="711"/>
      <c r="J2" s="711"/>
      <c r="K2" s="711"/>
      <c r="L2" s="712"/>
      <c r="M2" s="712"/>
    </row>
    <row r="3" spans="1:13" ht="57.75" customHeight="1">
      <c r="A3" s="713"/>
      <c r="B3" s="714"/>
      <c r="C3" s="714"/>
      <c r="D3" s="714"/>
      <c r="E3" s="714"/>
      <c r="F3" s="715"/>
      <c r="G3" s="710"/>
      <c r="H3" s="716" t="s">
        <v>761</v>
      </c>
      <c r="I3" s="716" t="s">
        <v>762</v>
      </c>
      <c r="J3" s="716" t="s">
        <v>763</v>
      </c>
      <c r="K3" s="716" t="s">
        <v>1804</v>
      </c>
      <c r="L3" s="728" t="s">
        <v>1810</v>
      </c>
      <c r="M3" s="728"/>
    </row>
    <row r="4" spans="1:14" ht="25.5" customHeight="1">
      <c r="A4" s="28" t="s">
        <v>764</v>
      </c>
      <c r="B4" s="717">
        <v>270797</v>
      </c>
      <c r="C4" s="718">
        <v>15558814.56</v>
      </c>
      <c r="D4" s="719">
        <v>42758734.05</v>
      </c>
      <c r="E4" s="717">
        <f>SUM(C4:D4)</f>
        <v>58317548.61</v>
      </c>
      <c r="F4" s="197">
        <v>45000000</v>
      </c>
      <c r="G4" s="720">
        <f>+E4-F4</f>
        <v>13317548.61</v>
      </c>
      <c r="H4" s="720"/>
      <c r="I4" s="720"/>
      <c r="J4" s="720"/>
      <c r="K4" s="720"/>
      <c r="L4" s="28" t="s">
        <v>764</v>
      </c>
      <c r="M4" s="729">
        <v>3750000</v>
      </c>
      <c r="N4" s="25" t="s">
        <v>1805</v>
      </c>
    </row>
    <row r="5" spans="1:14" ht="25.5" customHeight="1">
      <c r="A5" s="28" t="s">
        <v>765</v>
      </c>
      <c r="B5" s="717">
        <v>1095741.73</v>
      </c>
      <c r="C5" s="718">
        <v>4079651.26</v>
      </c>
      <c r="D5" s="719">
        <v>24763386.86</v>
      </c>
      <c r="E5" s="717">
        <f aca="true" t="shared" si="0" ref="E5:E11">SUM(C5:D5)</f>
        <v>28843038.119999997</v>
      </c>
      <c r="F5" s="197">
        <v>20000000</v>
      </c>
      <c r="G5" s="720">
        <f aca="true" t="shared" si="1" ref="G5:G11">+E5-F5</f>
        <v>8843038.119999997</v>
      </c>
      <c r="H5" s="720"/>
      <c r="I5" s="720"/>
      <c r="J5" s="720"/>
      <c r="K5" s="720"/>
      <c r="L5" s="28" t="s">
        <v>765</v>
      </c>
      <c r="M5" s="729">
        <v>1700000</v>
      </c>
      <c r="N5" s="25" t="s">
        <v>1806</v>
      </c>
    </row>
    <row r="6" spans="1:14" ht="25.5" customHeight="1">
      <c r="A6" s="28" t="s">
        <v>766</v>
      </c>
      <c r="B6" s="717">
        <v>2500</v>
      </c>
      <c r="C6" s="718">
        <v>7783041.46</v>
      </c>
      <c r="D6" s="719">
        <v>14500000</v>
      </c>
      <c r="E6" s="717">
        <f t="shared" si="0"/>
        <v>22283041.46</v>
      </c>
      <c r="F6" s="197">
        <v>12000000</v>
      </c>
      <c r="G6" s="720">
        <f t="shared" si="1"/>
        <v>10283041.46</v>
      </c>
      <c r="H6" s="720"/>
      <c r="I6" s="720"/>
      <c r="J6" s="720"/>
      <c r="K6" s="720"/>
      <c r="L6" s="28" t="s">
        <v>766</v>
      </c>
      <c r="M6" s="729">
        <v>1000000</v>
      </c>
      <c r="N6" s="25" t="s">
        <v>1807</v>
      </c>
    </row>
    <row r="7" spans="1:14" ht="25.5" customHeight="1">
      <c r="A7" s="28" t="s">
        <v>767</v>
      </c>
      <c r="B7" s="721">
        <v>1362368.57</v>
      </c>
      <c r="C7" s="717">
        <v>7390584.859999999</v>
      </c>
      <c r="D7" s="719">
        <v>7460730.32</v>
      </c>
      <c r="E7" s="717">
        <f t="shared" si="0"/>
        <v>14851315.18</v>
      </c>
      <c r="F7" s="197">
        <v>9000000</v>
      </c>
      <c r="G7" s="720">
        <f t="shared" si="1"/>
        <v>5851315.18</v>
      </c>
      <c r="H7" s="720"/>
      <c r="I7" s="720"/>
      <c r="J7" s="720"/>
      <c r="K7" s="720"/>
      <c r="L7" s="28" t="s">
        <v>767</v>
      </c>
      <c r="M7" s="729">
        <v>750000</v>
      </c>
      <c r="N7" s="25" t="s">
        <v>1723</v>
      </c>
    </row>
    <row r="8" spans="1:14" ht="25.5" customHeight="1">
      <c r="A8" s="28" t="s">
        <v>768</v>
      </c>
      <c r="B8" s="717">
        <v>0</v>
      </c>
      <c r="C8" s="717">
        <v>7977039.999999999</v>
      </c>
      <c r="D8" s="719">
        <v>39788000</v>
      </c>
      <c r="E8" s="717">
        <f t="shared" si="0"/>
        <v>47765040</v>
      </c>
      <c r="F8" s="197">
        <v>40450040</v>
      </c>
      <c r="G8" s="720">
        <f t="shared" si="1"/>
        <v>7315000</v>
      </c>
      <c r="H8" s="720"/>
      <c r="I8" s="720"/>
      <c r="J8" s="720"/>
      <c r="K8" s="720"/>
      <c r="L8" s="28" t="s">
        <v>768</v>
      </c>
      <c r="M8" s="729">
        <v>3300000</v>
      </c>
      <c r="N8" s="25" t="s">
        <v>1728</v>
      </c>
    </row>
    <row r="9" spans="1:14" ht="25.5" customHeight="1">
      <c r="A9" s="28" t="s">
        <v>769</v>
      </c>
      <c r="B9" s="717">
        <v>361000</v>
      </c>
      <c r="C9" s="717">
        <v>4013950</v>
      </c>
      <c r="D9" s="194">
        <v>10880397.12</v>
      </c>
      <c r="E9" s="717">
        <f t="shared" si="0"/>
        <v>14894347.12</v>
      </c>
      <c r="F9" s="197">
        <v>11630227.84</v>
      </c>
      <c r="G9" s="720">
        <f t="shared" si="1"/>
        <v>3264119.2799999993</v>
      </c>
      <c r="H9" s="720"/>
      <c r="I9" s="720"/>
      <c r="J9" s="720"/>
      <c r="K9" s="720"/>
      <c r="L9" s="28" t="s">
        <v>769</v>
      </c>
      <c r="M9" s="729">
        <v>900000</v>
      </c>
      <c r="N9" s="25" t="s">
        <v>1725</v>
      </c>
    </row>
    <row r="10" spans="1:14" ht="25.5" customHeight="1">
      <c r="A10" s="722" t="s">
        <v>801</v>
      </c>
      <c r="B10" s="717">
        <v>45491.1</v>
      </c>
      <c r="C10" s="717">
        <v>2992812.6399999997</v>
      </c>
      <c r="D10" s="194">
        <v>19465084</v>
      </c>
      <c r="E10" s="717">
        <f t="shared" si="0"/>
        <v>22457896.64</v>
      </c>
      <c r="F10" s="197">
        <v>16000000</v>
      </c>
      <c r="G10" s="720">
        <f t="shared" si="1"/>
        <v>6457896.640000001</v>
      </c>
      <c r="H10" s="720"/>
      <c r="I10" s="720"/>
      <c r="J10" s="720"/>
      <c r="K10" s="720"/>
      <c r="L10" s="722" t="s">
        <v>801</v>
      </c>
      <c r="M10" s="729">
        <v>1200000</v>
      </c>
      <c r="N10" s="25" t="s">
        <v>1808</v>
      </c>
    </row>
    <row r="11" spans="1:14" ht="25.5" customHeight="1">
      <c r="A11" s="28" t="s">
        <v>635</v>
      </c>
      <c r="B11" s="717">
        <f>303217.85+502790+149*80</f>
        <v>817927.85</v>
      </c>
      <c r="C11" s="717">
        <v>12791884.129999999</v>
      </c>
      <c r="D11" s="194">
        <v>35816607.39</v>
      </c>
      <c r="E11" s="717">
        <f t="shared" si="0"/>
        <v>48608491.519999996</v>
      </c>
      <c r="F11" s="197">
        <v>40000000</v>
      </c>
      <c r="G11" s="720">
        <f t="shared" si="1"/>
        <v>8608491.519999996</v>
      </c>
      <c r="H11" s="720"/>
      <c r="I11" s="720"/>
      <c r="J11" s="720"/>
      <c r="K11" s="720"/>
      <c r="L11" s="28" t="s">
        <v>635</v>
      </c>
      <c r="M11" s="729">
        <v>3000000</v>
      </c>
      <c r="N11" s="25" t="s">
        <v>1726</v>
      </c>
    </row>
    <row r="12" spans="1:14" ht="25.5" customHeight="1">
      <c r="A12" s="85" t="s">
        <v>770</v>
      </c>
      <c r="B12" s="717">
        <f>SUM(B4:B11)</f>
        <v>3955826.25</v>
      </c>
      <c r="C12" s="717">
        <f aca="true" t="shared" si="2" ref="C12:K12">SUM(C4:C11)</f>
        <v>62587778.91</v>
      </c>
      <c r="D12" s="717">
        <f>SUM(D4:D11)</f>
        <v>195432939.74</v>
      </c>
      <c r="E12" s="717">
        <f t="shared" si="2"/>
        <v>258020718.64999998</v>
      </c>
      <c r="F12" s="717">
        <f t="shared" si="2"/>
        <v>194080267.84</v>
      </c>
      <c r="G12" s="717">
        <f t="shared" si="2"/>
        <v>63940450.809999995</v>
      </c>
      <c r="H12" s="717">
        <f t="shared" si="2"/>
        <v>0</v>
      </c>
      <c r="I12" s="717">
        <f t="shared" si="2"/>
        <v>0</v>
      </c>
      <c r="J12" s="717">
        <f t="shared" si="2"/>
        <v>0</v>
      </c>
      <c r="K12" s="717">
        <f t="shared" si="2"/>
        <v>0</v>
      </c>
      <c r="L12" s="731" t="s">
        <v>666</v>
      </c>
      <c r="M12" s="732">
        <f>SUM(M4:M11)</f>
        <v>15600000</v>
      </c>
      <c r="N12" s="25" t="s">
        <v>1727</v>
      </c>
    </row>
    <row r="13" spans="1:14" ht="25.5" customHeight="1">
      <c r="A13" s="25" t="s">
        <v>1765</v>
      </c>
      <c r="B13" s="723"/>
      <c r="C13" s="723"/>
      <c r="D13" s="723"/>
      <c r="E13" s="724"/>
      <c r="N13" s="25" t="s">
        <v>1809</v>
      </c>
    </row>
    <row r="14" spans="1:5" ht="25.5" customHeight="1">
      <c r="A14" s="25" t="s">
        <v>1766</v>
      </c>
      <c r="B14" s="725">
        <v>42000000</v>
      </c>
      <c r="C14" s="725"/>
      <c r="D14" s="725">
        <f>+D12</f>
        <v>195432939.74</v>
      </c>
      <c r="E14" s="724"/>
    </row>
    <row r="15" spans="1:6" ht="25.5" customHeight="1">
      <c r="A15" s="25" t="s">
        <v>1767</v>
      </c>
      <c r="B15" s="725">
        <v>7000000</v>
      </c>
      <c r="C15" s="725"/>
      <c r="D15" s="725">
        <f>+G12</f>
        <v>63940450.809999995</v>
      </c>
      <c r="E15" s="726"/>
      <c r="F15" s="725"/>
    </row>
    <row r="16" spans="1:6" ht="25.5" customHeight="1">
      <c r="A16" s="25" t="s">
        <v>1768</v>
      </c>
      <c r="B16" s="723">
        <v>6</v>
      </c>
      <c r="C16" s="723" t="s">
        <v>1769</v>
      </c>
      <c r="D16" s="723">
        <f>+D14/D15</f>
        <v>3.0564836072352994</v>
      </c>
      <c r="E16" s="726"/>
      <c r="F16" s="725"/>
    </row>
    <row r="17" spans="1:6" ht="25.5" customHeight="1">
      <c r="A17" s="25" t="s">
        <v>1770</v>
      </c>
      <c r="B17" s="723">
        <f>365/B16</f>
        <v>60.833333333333336</v>
      </c>
      <c r="C17" s="723" t="s">
        <v>1771</v>
      </c>
      <c r="D17" s="723">
        <f>365/D16</f>
        <v>119.41827501903593</v>
      </c>
      <c r="E17" s="727" t="s">
        <v>1771</v>
      </c>
      <c r="F17" s="723"/>
    </row>
    <row r="18" spans="2:6" ht="25.5" customHeight="1">
      <c r="B18" s="723"/>
      <c r="C18" s="723"/>
      <c r="D18" s="723"/>
      <c r="E18" s="727"/>
      <c r="F18" s="723"/>
    </row>
    <row r="19" spans="2:6" ht="25.5" customHeight="1">
      <c r="B19" s="723"/>
      <c r="C19" s="723"/>
      <c r="D19" s="723"/>
      <c r="E19" s="727"/>
      <c r="F19" s="723"/>
    </row>
    <row r="20" spans="2:6" ht="25.5" customHeight="1">
      <c r="B20" s="723"/>
      <c r="C20" s="723"/>
      <c r="D20" s="723"/>
      <c r="E20" s="727"/>
      <c r="F20" s="723"/>
    </row>
    <row r="21" spans="2:6" ht="25.5" customHeight="1">
      <c r="B21" s="723"/>
      <c r="C21" s="723"/>
      <c r="D21" s="723"/>
      <c r="E21" s="727"/>
      <c r="F21" s="723"/>
    </row>
    <row r="22" spans="2:6" ht="25.5" customHeight="1">
      <c r="B22" s="723"/>
      <c r="C22" s="723"/>
      <c r="D22" s="723"/>
      <c r="E22" s="727"/>
      <c r="F22" s="723"/>
    </row>
    <row r="23" spans="2:6" ht="25.5" customHeight="1">
      <c r="B23" s="723"/>
      <c r="C23" s="723"/>
      <c r="D23" s="723"/>
      <c r="E23" s="727"/>
      <c r="F23" s="723"/>
    </row>
    <row r="24" spans="2:6" ht="25.5" customHeight="1">
      <c r="B24" s="723"/>
      <c r="C24" s="723"/>
      <c r="D24" s="723"/>
      <c r="E24" s="727"/>
      <c r="F24" s="723"/>
    </row>
    <row r="25" spans="1:5" ht="25.5" customHeight="1">
      <c r="A25" s="728" t="s">
        <v>1810</v>
      </c>
      <c r="B25" s="728"/>
      <c r="C25" s="727"/>
      <c r="D25" s="727"/>
      <c r="E25" s="727"/>
    </row>
    <row r="26" spans="1:5" ht="25.5" customHeight="1">
      <c r="A26" s="28" t="s">
        <v>764</v>
      </c>
      <c r="B26" s="729">
        <v>3750000</v>
      </c>
      <c r="C26" s="727"/>
      <c r="D26" s="727"/>
      <c r="E26" s="727"/>
    </row>
    <row r="27" spans="1:2" ht="25.5" customHeight="1">
      <c r="A27" s="28" t="s">
        <v>765</v>
      </c>
      <c r="B27" s="729">
        <v>1700000</v>
      </c>
    </row>
    <row r="28" spans="1:6" ht="25.5" customHeight="1">
      <c r="A28" s="28" t="s">
        <v>766</v>
      </c>
      <c r="B28" s="729">
        <v>1000000</v>
      </c>
      <c r="C28" s="291"/>
      <c r="D28" s="291"/>
      <c r="E28" s="291"/>
      <c r="F28" s="291"/>
    </row>
    <row r="29" spans="1:15" ht="25.5" customHeight="1">
      <c r="A29" s="28" t="s">
        <v>767</v>
      </c>
      <c r="B29" s="729">
        <v>750000</v>
      </c>
      <c r="C29" s="291"/>
      <c r="D29" s="291"/>
      <c r="N29" s="291"/>
      <c r="O29" s="291"/>
    </row>
    <row r="30" spans="1:15" ht="25.5" customHeight="1">
      <c r="A30" s="28" t="s">
        <v>768</v>
      </c>
      <c r="B30" s="729">
        <v>3300000</v>
      </c>
      <c r="C30" s="291"/>
      <c r="D30" s="291"/>
      <c r="N30" s="291"/>
      <c r="O30" s="291"/>
    </row>
    <row r="31" spans="1:15" ht="25.5" customHeight="1">
      <c r="A31" s="28" t="s">
        <v>769</v>
      </c>
      <c r="B31" s="729">
        <v>900000</v>
      </c>
      <c r="D31" s="730"/>
      <c r="N31" s="291"/>
      <c r="O31" s="291"/>
    </row>
    <row r="32" spans="1:15" ht="25.5" customHeight="1">
      <c r="A32" s="722" t="s">
        <v>801</v>
      </c>
      <c r="B32" s="729">
        <v>1200000</v>
      </c>
      <c r="N32" s="291"/>
      <c r="O32" s="291"/>
    </row>
    <row r="33" spans="1:15" ht="25.5" customHeight="1">
      <c r="A33" s="28" t="s">
        <v>635</v>
      </c>
      <c r="B33" s="729">
        <v>3000000</v>
      </c>
      <c r="C33" s="291"/>
      <c r="D33" s="291"/>
      <c r="E33" s="291"/>
      <c r="N33" s="291"/>
      <c r="O33" s="291"/>
    </row>
    <row r="34" spans="1:15" s="291" customFormat="1" ht="25.5" customHeight="1">
      <c r="A34" s="731" t="s">
        <v>666</v>
      </c>
      <c r="B34" s="732">
        <f>SUM(B26:B33)</f>
        <v>15600000</v>
      </c>
      <c r="N34" s="25"/>
      <c r="O34" s="25"/>
    </row>
    <row r="35" spans="14:15" s="291" customFormat="1" ht="25.5" customHeight="1">
      <c r="N35" s="25"/>
      <c r="O35" s="25"/>
    </row>
    <row r="36" spans="14:15" s="291" customFormat="1" ht="25.5" customHeight="1">
      <c r="N36" s="25"/>
      <c r="O36" s="25"/>
    </row>
    <row r="37" spans="14:15" s="291" customFormat="1" ht="25.5" customHeight="1">
      <c r="N37" s="25"/>
      <c r="O37" s="25"/>
    </row>
    <row r="38" spans="1:15" s="291" customFormat="1" ht="25.5" customHeight="1">
      <c r="A38" s="25"/>
      <c r="B38" s="25"/>
      <c r="C38" s="25"/>
      <c r="D38" s="25"/>
      <c r="E38" s="25"/>
      <c r="N38" s="25"/>
      <c r="O38" s="25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10">
    <mergeCell ref="L3:M3"/>
    <mergeCell ref="G2:G3"/>
    <mergeCell ref="H2:K2"/>
    <mergeCell ref="A25:B25"/>
    <mergeCell ref="F2:F3"/>
    <mergeCell ref="A2:A3"/>
    <mergeCell ref="B2:B3"/>
    <mergeCell ref="C2:C3"/>
    <mergeCell ref="D2:D3"/>
    <mergeCell ref="E2:E3"/>
  </mergeCells>
  <printOptions/>
  <pageMargins left="0.2" right="0.3937007874015748" top="0.32" bottom="0.45" header="0.31496062992125984" footer="0.17"/>
  <pageSetup horizontalDpi="600" verticalDpi="600" orientation="landscape" paperSize="9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A6" sqref="A6"/>
    </sheetView>
  </sheetViews>
  <sheetFormatPr defaultColWidth="9.140625" defaultRowHeight="15"/>
  <cols>
    <col min="1" max="1" width="24.421875" style="0" customWidth="1"/>
    <col min="2" max="2" width="11.7109375" style="0" bestFit="1" customWidth="1"/>
    <col min="3" max="3" width="14.00390625" style="0" bestFit="1" customWidth="1"/>
    <col min="4" max="4" width="12.57421875" style="0" bestFit="1" customWidth="1"/>
    <col min="5" max="5" width="13.7109375" style="0" bestFit="1" customWidth="1"/>
    <col min="6" max="6" width="15.00390625" style="0" bestFit="1" customWidth="1"/>
    <col min="7" max="7" width="11.7109375" style="196" bestFit="1" customWidth="1"/>
    <col min="8" max="8" width="10.8515625" style="0" bestFit="1" customWidth="1"/>
    <col min="9" max="9" width="11.7109375" style="0" bestFit="1" customWidth="1"/>
    <col min="10" max="10" width="12.421875" style="0" customWidth="1"/>
    <col min="11" max="11" width="12.28125" style="0" bestFit="1" customWidth="1"/>
  </cols>
  <sheetData>
    <row r="1" spans="1:9" ht="30.75">
      <c r="A1" s="648" t="s">
        <v>753</v>
      </c>
      <c r="B1" s="648"/>
      <c r="C1" s="648"/>
      <c r="D1" s="648"/>
      <c r="E1" s="648"/>
      <c r="F1" s="648"/>
      <c r="G1" s="648"/>
      <c r="H1" s="648"/>
      <c r="I1" s="648"/>
    </row>
    <row r="2" spans="1:9" s="89" customFormat="1" ht="18" customHeight="1">
      <c r="A2" s="645" t="s">
        <v>756</v>
      </c>
      <c r="B2" s="532"/>
      <c r="C2" s="211" t="s">
        <v>1562</v>
      </c>
      <c r="D2" s="211" t="s">
        <v>1564</v>
      </c>
      <c r="E2" s="211" t="s">
        <v>1572</v>
      </c>
      <c r="F2" s="211" t="s">
        <v>1567</v>
      </c>
      <c r="G2" s="242" t="s">
        <v>1559</v>
      </c>
      <c r="H2" s="211" t="s">
        <v>1561</v>
      </c>
      <c r="I2" s="211" t="s">
        <v>1570</v>
      </c>
    </row>
    <row r="3" spans="1:9" s="1" customFormat="1" ht="62.25" customHeight="1">
      <c r="A3" s="646"/>
      <c r="B3" s="546" t="s">
        <v>1833</v>
      </c>
      <c r="C3" s="242" t="s">
        <v>1729</v>
      </c>
      <c r="D3" s="242" t="s">
        <v>1563</v>
      </c>
      <c r="E3" s="242" t="s">
        <v>1571</v>
      </c>
      <c r="F3" s="318" t="s">
        <v>1566</v>
      </c>
      <c r="G3" s="242" t="s">
        <v>1560</v>
      </c>
      <c r="H3" s="242" t="s">
        <v>1568</v>
      </c>
      <c r="I3" s="242" t="s">
        <v>1569</v>
      </c>
    </row>
    <row r="4" spans="1:11" s="1" customFormat="1" ht="21.75">
      <c r="A4" s="99" t="s">
        <v>771</v>
      </c>
      <c r="B4" s="319"/>
      <c r="C4" s="319">
        <v>5222897</v>
      </c>
      <c r="D4" s="319">
        <v>110602252.5</v>
      </c>
      <c r="E4" s="319">
        <f>+C4+D4</f>
        <v>115825149.5</v>
      </c>
      <c r="F4" s="319">
        <v>40621939.17</v>
      </c>
      <c r="G4" s="320">
        <v>51020780.48</v>
      </c>
      <c r="H4" s="319"/>
      <c r="I4" s="321">
        <f>SUM(E4-F4-G4-H4)</f>
        <v>24182429.85</v>
      </c>
      <c r="K4" s="403"/>
    </row>
    <row r="5" spans="1:11" s="1" customFormat="1" ht="21.75">
      <c r="A5" s="99" t="s">
        <v>772</v>
      </c>
      <c r="B5" s="319"/>
      <c r="C5" s="319">
        <v>3816618.2</v>
      </c>
      <c r="D5" s="319">
        <v>7642340</v>
      </c>
      <c r="E5" s="319">
        <f aca="true" t="shared" si="0" ref="E5:E10">+C5+D5</f>
        <v>11458958.2</v>
      </c>
      <c r="F5" s="319">
        <v>7077197.12</v>
      </c>
      <c r="G5" s="320">
        <v>1832944.76</v>
      </c>
      <c r="H5" s="319"/>
      <c r="I5" s="321">
        <f aca="true" t="shared" si="1" ref="I5:I10">SUM(E5-F5-G5-H5)</f>
        <v>2548816.3199999994</v>
      </c>
      <c r="K5" s="403"/>
    </row>
    <row r="6" spans="1:11" s="1" customFormat="1" ht="21.75">
      <c r="A6" s="99" t="s">
        <v>773</v>
      </c>
      <c r="B6" s="319">
        <v>4251761.35</v>
      </c>
      <c r="C6" s="319">
        <v>9330831.03</v>
      </c>
      <c r="D6" s="319">
        <v>25973509.1</v>
      </c>
      <c r="E6" s="319">
        <f t="shared" si="0"/>
        <v>35304340.13</v>
      </c>
      <c r="F6" s="319">
        <v>30385114.92</v>
      </c>
      <c r="G6" s="320"/>
      <c r="H6" s="319"/>
      <c r="I6" s="321">
        <f t="shared" si="1"/>
        <v>4919225.210000001</v>
      </c>
      <c r="K6" s="403"/>
    </row>
    <row r="7" spans="1:11" s="1" customFormat="1" ht="21.75">
      <c r="A7" s="99" t="s">
        <v>774</v>
      </c>
      <c r="B7" s="319">
        <v>0</v>
      </c>
      <c r="C7" s="319">
        <v>0</v>
      </c>
      <c r="D7" s="319">
        <v>962576.74</v>
      </c>
      <c r="E7" s="319">
        <f t="shared" si="0"/>
        <v>962576.74</v>
      </c>
      <c r="F7" s="319">
        <v>308881.18</v>
      </c>
      <c r="G7" s="320"/>
      <c r="H7" s="319">
        <v>653695.56</v>
      </c>
      <c r="I7" s="321">
        <f t="shared" si="1"/>
        <v>0</v>
      </c>
      <c r="K7" s="403"/>
    </row>
    <row r="8" spans="1:11" s="1" customFormat="1" ht="21.75">
      <c r="A8" s="99" t="s">
        <v>775</v>
      </c>
      <c r="B8" s="319">
        <v>88315</v>
      </c>
      <c r="C8" s="319">
        <v>192079.8</v>
      </c>
      <c r="D8" s="319">
        <v>123424.22</v>
      </c>
      <c r="E8" s="319">
        <f t="shared" si="0"/>
        <v>315504.02</v>
      </c>
      <c r="F8" s="319">
        <v>287475</v>
      </c>
      <c r="G8" s="320"/>
      <c r="H8" s="319"/>
      <c r="I8" s="321">
        <f t="shared" si="1"/>
        <v>28029.02000000002</v>
      </c>
      <c r="K8" s="403"/>
    </row>
    <row r="9" spans="1:11" s="1" customFormat="1" ht="21.75">
      <c r="A9" s="99" t="s">
        <v>776</v>
      </c>
      <c r="B9" s="319"/>
      <c r="C9" s="319">
        <v>1535810.97</v>
      </c>
      <c r="D9" s="319">
        <v>3457418.3</v>
      </c>
      <c r="E9" s="319">
        <f t="shared" si="0"/>
        <v>4993229.27</v>
      </c>
      <c r="F9" s="319">
        <v>4373097.95</v>
      </c>
      <c r="G9" s="320"/>
      <c r="H9" s="319"/>
      <c r="I9" s="321">
        <f t="shared" si="1"/>
        <v>620131.3199999994</v>
      </c>
      <c r="K9" s="403"/>
    </row>
    <row r="10" spans="1:11" s="1" customFormat="1" ht="21.75">
      <c r="A10" s="99" t="s">
        <v>777</v>
      </c>
      <c r="B10" s="319">
        <v>3248037.5</v>
      </c>
      <c r="C10" s="319">
        <v>3259376</v>
      </c>
      <c r="D10" s="319">
        <v>5255470.44</v>
      </c>
      <c r="E10" s="319">
        <f t="shared" si="0"/>
        <v>8514846.440000001</v>
      </c>
      <c r="F10" s="319">
        <v>5013627.66</v>
      </c>
      <c r="G10" s="320"/>
      <c r="H10" s="319">
        <v>2302077.69</v>
      </c>
      <c r="I10" s="321">
        <f t="shared" si="1"/>
        <v>1199141.0900000012</v>
      </c>
      <c r="K10" s="403"/>
    </row>
    <row r="11" spans="1:9" s="1" customFormat="1" ht="21.75">
      <c r="A11" s="322" t="s">
        <v>666</v>
      </c>
      <c r="B11" s="323">
        <f aca="true" t="shared" si="2" ref="B11:I11">SUM(B4:B10)</f>
        <v>7588113.85</v>
      </c>
      <c r="C11" s="323">
        <f t="shared" si="2"/>
        <v>23357612.999999996</v>
      </c>
      <c r="D11" s="323">
        <f t="shared" si="2"/>
        <v>154016991.3</v>
      </c>
      <c r="E11" s="323">
        <f t="shared" si="2"/>
        <v>177374604.30000004</v>
      </c>
      <c r="F11" s="323">
        <f t="shared" si="2"/>
        <v>88067333.00000001</v>
      </c>
      <c r="G11" s="323">
        <f t="shared" si="2"/>
        <v>52853725.239999995</v>
      </c>
      <c r="H11" s="323">
        <f t="shared" si="2"/>
        <v>2955773.25</v>
      </c>
      <c r="I11" s="323">
        <f t="shared" si="2"/>
        <v>33497772.810000002</v>
      </c>
    </row>
    <row r="12" s="89" customFormat="1" ht="18">
      <c r="G12" s="547"/>
    </row>
    <row r="13" s="89" customFormat="1" ht="18">
      <c r="G13" s="547"/>
    </row>
    <row r="14" s="89" customFormat="1" ht="18">
      <c r="G14" s="547"/>
    </row>
    <row r="15" spans="1:7" s="1" customFormat="1" ht="21.75">
      <c r="A15" s="548" t="s">
        <v>1824</v>
      </c>
      <c r="B15" s="548"/>
      <c r="C15" s="403"/>
      <c r="D15" s="403"/>
      <c r="E15" s="403"/>
      <c r="G15" s="3"/>
    </row>
    <row r="16" spans="1:9" s="1" customFormat="1" ht="21.75">
      <c r="A16" s="548" t="s">
        <v>1825</v>
      </c>
      <c r="B16" s="549">
        <v>85000000</v>
      </c>
      <c r="C16" s="403">
        <v>154016991.3</v>
      </c>
      <c r="D16" s="403">
        <v>110602252.5</v>
      </c>
      <c r="E16" s="409">
        <v>7642340</v>
      </c>
      <c r="F16" s="403">
        <v>25973509.1</v>
      </c>
      <c r="G16" s="403">
        <v>123424.22</v>
      </c>
      <c r="H16" s="403">
        <v>3457418.3</v>
      </c>
      <c r="I16" s="403">
        <v>5255470.44</v>
      </c>
    </row>
    <row r="17" spans="1:9" s="1" customFormat="1" ht="21.75">
      <c r="A17" s="548" t="s">
        <v>1826</v>
      </c>
      <c r="B17" s="549">
        <v>20000000</v>
      </c>
      <c r="C17" s="403">
        <v>33497772.810000002</v>
      </c>
      <c r="D17" s="403">
        <v>24182429.85</v>
      </c>
      <c r="E17" s="409">
        <v>2548816.3199999994</v>
      </c>
      <c r="F17" s="403">
        <v>4919225.210000001</v>
      </c>
      <c r="G17" s="403">
        <v>28029.02000000002</v>
      </c>
      <c r="H17" s="403">
        <v>620131.3199999994</v>
      </c>
      <c r="I17" s="403">
        <v>1199141.0900000012</v>
      </c>
    </row>
    <row r="18" spans="1:9" s="1" customFormat="1" ht="21.75">
      <c r="A18" s="548" t="s">
        <v>1827</v>
      </c>
      <c r="B18" s="549" t="s">
        <v>1828</v>
      </c>
      <c r="C18" s="403">
        <v>4.597827807048167</v>
      </c>
      <c r="D18" s="403">
        <v>4.5736616703139115</v>
      </c>
      <c r="E18" s="409">
        <v>2.9983878948169957</v>
      </c>
      <c r="F18" s="403">
        <v>5.2799999982111</v>
      </c>
      <c r="G18" s="403">
        <v>4.40344400196653</v>
      </c>
      <c r="H18" s="403">
        <v>5.575300244470806</v>
      </c>
      <c r="I18" s="403">
        <v>4.3826956509346155</v>
      </c>
    </row>
    <row r="19" spans="1:9" s="1" customFormat="1" ht="21.75">
      <c r="A19" s="548" t="s">
        <v>1829</v>
      </c>
      <c r="B19" s="549" t="s">
        <v>1830</v>
      </c>
      <c r="C19" s="403">
        <v>79.38531309077715</v>
      </c>
      <c r="D19" s="403">
        <v>79.80476613936955</v>
      </c>
      <c r="E19" s="409">
        <v>121.73208163991653</v>
      </c>
      <c r="F19" s="403">
        <v>69.12878790220918</v>
      </c>
      <c r="G19" s="403">
        <v>82.88966541575071</v>
      </c>
      <c r="H19" s="403">
        <v>65.46732624166413</v>
      </c>
      <c r="I19" s="403">
        <v>83.28207776010257</v>
      </c>
    </row>
    <row r="20" s="89" customFormat="1" ht="18">
      <c r="F20" s="547"/>
    </row>
    <row r="21" spans="6:7" ht="14.25">
      <c r="F21" s="196"/>
      <c r="G21"/>
    </row>
  </sheetData>
  <sheetProtection/>
  <mergeCells count="2">
    <mergeCell ref="A1:I1"/>
    <mergeCell ref="A2:A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8.7109375" style="1" customWidth="1"/>
    <col min="2" max="2" width="12.421875" style="1" customWidth="1"/>
    <col min="3" max="3" width="13.00390625" style="1" customWidth="1"/>
    <col min="4" max="4" width="12.421875" style="1" customWidth="1"/>
    <col min="5" max="5" width="11.00390625" style="1" bestFit="1" customWidth="1"/>
    <col min="6" max="8" width="12.421875" style="1" customWidth="1"/>
    <col min="9" max="16384" width="9.00390625" style="1" customWidth="1"/>
  </cols>
  <sheetData>
    <row r="1" spans="1:8" ht="21.75">
      <c r="A1" s="649" t="s">
        <v>778</v>
      </c>
      <c r="B1" s="650"/>
      <c r="C1" s="650"/>
      <c r="D1" s="650"/>
      <c r="E1" s="650"/>
      <c r="F1" s="650"/>
      <c r="G1" s="650"/>
      <c r="H1" s="651"/>
    </row>
    <row r="2" spans="1:8" ht="23.25" customHeight="1">
      <c r="A2" s="645" t="s">
        <v>756</v>
      </c>
      <c r="B2" s="550"/>
      <c r="C2" s="655" t="s">
        <v>779</v>
      </c>
      <c r="D2" s="656"/>
      <c r="E2" s="656"/>
      <c r="F2" s="657"/>
      <c r="G2" s="647" t="s">
        <v>1816</v>
      </c>
      <c r="H2" s="645" t="s">
        <v>780</v>
      </c>
    </row>
    <row r="3" spans="1:8" ht="152.25">
      <c r="A3" s="646"/>
      <c r="B3" s="530" t="s">
        <v>1817</v>
      </c>
      <c r="C3" s="530" t="s">
        <v>1818</v>
      </c>
      <c r="D3" s="530" t="s">
        <v>1819</v>
      </c>
      <c r="E3" s="530" t="s">
        <v>1820</v>
      </c>
      <c r="F3" s="530" t="s">
        <v>1821</v>
      </c>
      <c r="G3" s="658"/>
      <c r="H3" s="646"/>
    </row>
    <row r="4" spans="1:8" s="337" customFormat="1" ht="65.25">
      <c r="A4" s="551" t="s">
        <v>781</v>
      </c>
      <c r="B4" s="552">
        <v>35349.51</v>
      </c>
      <c r="C4" s="553">
        <v>1</v>
      </c>
      <c r="D4" s="553">
        <v>0</v>
      </c>
      <c r="E4" s="553">
        <v>0</v>
      </c>
      <c r="F4" s="553">
        <f>+B4</f>
        <v>35349.51</v>
      </c>
      <c r="G4" s="554">
        <f>+D4+F4</f>
        <v>35349.51</v>
      </c>
      <c r="H4" s="551"/>
    </row>
    <row r="5" spans="1:8" ht="21.75">
      <c r="A5" s="555" t="s">
        <v>782</v>
      </c>
      <c r="B5" s="319">
        <v>5509163.49</v>
      </c>
      <c r="C5" s="319">
        <v>212</v>
      </c>
      <c r="D5" s="319">
        <f>+B5</f>
        <v>5509163.49</v>
      </c>
      <c r="E5" s="319">
        <v>0</v>
      </c>
      <c r="F5" s="319">
        <v>0</v>
      </c>
      <c r="G5" s="553">
        <f>+D5+F5</f>
        <v>5509163.49</v>
      </c>
      <c r="H5" s="99"/>
    </row>
    <row r="6" spans="1:8" ht="21.75">
      <c r="A6" s="99" t="s">
        <v>783</v>
      </c>
      <c r="B6" s="319">
        <f>+C35</f>
        <v>6431000</v>
      </c>
      <c r="C6" s="319">
        <v>14</v>
      </c>
      <c r="D6" s="319">
        <f>+C35</f>
        <v>6431000</v>
      </c>
      <c r="E6" s="319">
        <v>2</v>
      </c>
      <c r="F6" s="319">
        <f>+C13</f>
        <v>103642400</v>
      </c>
      <c r="G6" s="553">
        <f>+D6+F6</f>
        <v>110073400</v>
      </c>
      <c r="H6" s="99"/>
    </row>
    <row r="9" spans="1:7" ht="21.75">
      <c r="A9" s="652" t="s">
        <v>1716</v>
      </c>
      <c r="B9" s="652"/>
      <c r="C9" s="652"/>
      <c r="F9" s="3"/>
      <c r="G9" s="3"/>
    </row>
    <row r="10" spans="1:7" ht="21.75">
      <c r="A10" s="556" t="s">
        <v>1717</v>
      </c>
      <c r="B10" s="556" t="s">
        <v>1719</v>
      </c>
      <c r="C10" s="556" t="s">
        <v>1718</v>
      </c>
      <c r="F10" s="557"/>
      <c r="G10" s="557"/>
    </row>
    <row r="11" spans="1:7" ht="22.5" customHeight="1">
      <c r="A11" s="99" t="s">
        <v>1722</v>
      </c>
      <c r="B11" s="211">
        <v>1</v>
      </c>
      <c r="C11" s="598">
        <v>84709100</v>
      </c>
      <c r="D11" s="1" t="s">
        <v>2068</v>
      </c>
      <c r="F11" s="557"/>
      <c r="G11" s="557"/>
    </row>
    <row r="12" spans="1:7" ht="25.5" customHeight="1">
      <c r="A12" s="99" t="s">
        <v>1916</v>
      </c>
      <c r="B12" s="211">
        <v>1</v>
      </c>
      <c r="C12" s="598">
        <v>18933300</v>
      </c>
      <c r="D12" s="1" t="s">
        <v>2067</v>
      </c>
      <c r="F12" s="557"/>
      <c r="G12" s="557"/>
    </row>
    <row r="13" spans="1:7" ht="25.5" customHeight="1">
      <c r="A13" s="558" t="s">
        <v>1720</v>
      </c>
      <c r="B13" s="559">
        <f>SUM(B11:B12)</f>
        <v>2</v>
      </c>
      <c r="C13" s="570">
        <f>SUM(C11:C12)</f>
        <v>103642400</v>
      </c>
      <c r="D13" s="7"/>
      <c r="E13" s="8"/>
      <c r="F13" s="557"/>
      <c r="G13" s="557"/>
    </row>
    <row r="14" spans="1:7" ht="25.5" customHeight="1">
      <c r="A14" s="560"/>
      <c r="B14" s="561"/>
      <c r="C14" s="560"/>
      <c r="D14" s="8"/>
      <c r="E14" s="7"/>
      <c r="F14" s="557"/>
      <c r="G14" s="557"/>
    </row>
    <row r="15" spans="1:7" ht="25.5" customHeight="1">
      <c r="A15" s="560"/>
      <c r="B15" s="561"/>
      <c r="C15" s="560"/>
      <c r="D15" s="8"/>
      <c r="E15" s="7"/>
      <c r="F15" s="557"/>
      <c r="G15" s="557"/>
    </row>
    <row r="16" spans="1:7" ht="25.5" customHeight="1">
      <c r="A16" s="560"/>
      <c r="B16" s="561"/>
      <c r="C16" s="560"/>
      <c r="D16" s="8"/>
      <c r="E16" s="7"/>
      <c r="F16" s="557"/>
      <c r="G16" s="557"/>
    </row>
    <row r="17" spans="1:7" ht="25.5" customHeight="1">
      <c r="A17" s="560"/>
      <c r="B17" s="561"/>
      <c r="C17" s="560"/>
      <c r="D17" s="8"/>
      <c r="E17" s="7"/>
      <c r="F17" s="557"/>
      <c r="G17" s="557"/>
    </row>
    <row r="18" spans="1:7" ht="25.5" customHeight="1">
      <c r="A18" s="560"/>
      <c r="B18" s="561"/>
      <c r="C18" s="560"/>
      <c r="D18" s="8"/>
      <c r="E18" s="7"/>
      <c r="F18" s="557"/>
      <c r="G18" s="557"/>
    </row>
    <row r="19" spans="1:7" s="8" customFormat="1" ht="25.5" customHeight="1">
      <c r="A19" s="653" t="s">
        <v>1716</v>
      </c>
      <c r="B19" s="653"/>
      <c r="C19" s="654"/>
      <c r="D19" s="1" t="s">
        <v>2068</v>
      </c>
      <c r="E19" s="7"/>
      <c r="F19" s="562"/>
      <c r="G19" s="562"/>
    </row>
    <row r="20" spans="1:7" ht="25.5" customHeight="1">
      <c r="A20" s="563" t="s">
        <v>1721</v>
      </c>
      <c r="B20" s="563" t="s">
        <v>1719</v>
      </c>
      <c r="C20" s="564" t="s">
        <v>1718</v>
      </c>
      <c r="D20" s="1" t="s">
        <v>2067</v>
      </c>
      <c r="E20" s="565"/>
      <c r="F20" s="557"/>
      <c r="G20" s="557"/>
    </row>
    <row r="21" spans="1:7" ht="25.5" customHeight="1">
      <c r="A21" s="99" t="s">
        <v>1822</v>
      </c>
      <c r="B21" s="211">
        <v>1</v>
      </c>
      <c r="C21" s="597">
        <v>2000000</v>
      </c>
      <c r="F21" s="557"/>
      <c r="G21" s="562"/>
    </row>
    <row r="22" spans="1:7" ht="25.5" customHeight="1">
      <c r="A22" s="99" t="s">
        <v>2070</v>
      </c>
      <c r="B22" s="211">
        <v>2</v>
      </c>
      <c r="C22" s="319">
        <v>240000</v>
      </c>
      <c r="D22" s="566"/>
      <c r="F22" s="557"/>
      <c r="G22" s="562"/>
    </row>
    <row r="23" spans="1:7" ht="25.5" customHeight="1">
      <c r="A23" s="99" t="s">
        <v>2071</v>
      </c>
      <c r="B23" s="211">
        <v>1</v>
      </c>
      <c r="C23" s="319">
        <v>375000</v>
      </c>
      <c r="D23" s="8"/>
      <c r="F23" s="557"/>
      <c r="G23" s="557"/>
    </row>
    <row r="24" spans="1:7" ht="25.5" customHeight="1">
      <c r="A24" s="99" t="s">
        <v>2072</v>
      </c>
      <c r="B24" s="211">
        <v>3</v>
      </c>
      <c r="C24" s="319">
        <v>225000</v>
      </c>
      <c r="D24" s="8"/>
      <c r="F24" s="557"/>
      <c r="G24" s="557"/>
    </row>
    <row r="25" spans="1:7" ht="25.5" customHeight="1">
      <c r="A25" s="99" t="s">
        <v>2073</v>
      </c>
      <c r="B25" s="211">
        <v>1</v>
      </c>
      <c r="C25" s="319">
        <v>86000</v>
      </c>
      <c r="D25" s="8"/>
      <c r="F25" s="557"/>
      <c r="G25" s="557"/>
    </row>
    <row r="26" spans="1:7" ht="25.5" customHeight="1">
      <c r="A26" s="99" t="s">
        <v>2074</v>
      </c>
      <c r="B26" s="211">
        <v>1</v>
      </c>
      <c r="C26" s="319">
        <v>375000</v>
      </c>
      <c r="D26" s="8"/>
      <c r="F26" s="557"/>
      <c r="G26" s="3"/>
    </row>
    <row r="27" spans="1:7" ht="25.5" customHeight="1">
      <c r="A27" s="99" t="s">
        <v>2075</v>
      </c>
      <c r="B27" s="211">
        <v>1</v>
      </c>
      <c r="C27" s="319">
        <v>97000</v>
      </c>
      <c r="D27" s="8"/>
      <c r="F27" s="562"/>
      <c r="G27" s="3"/>
    </row>
    <row r="28" spans="1:7" ht="25.5" customHeight="1">
      <c r="A28" s="99" t="s">
        <v>2076</v>
      </c>
      <c r="B28" s="211">
        <v>2</v>
      </c>
      <c r="C28" s="319">
        <v>140000</v>
      </c>
      <c r="D28" s="7"/>
      <c r="F28" s="562"/>
      <c r="G28" s="3"/>
    </row>
    <row r="29" spans="1:7" ht="25.5" customHeight="1">
      <c r="A29" s="99" t="s">
        <v>2077</v>
      </c>
      <c r="B29" s="211">
        <v>1</v>
      </c>
      <c r="C29" s="319">
        <v>520000</v>
      </c>
      <c r="D29" s="7"/>
      <c r="F29" s="557"/>
      <c r="G29" s="3"/>
    </row>
    <row r="30" spans="1:6" ht="25.5" customHeight="1">
      <c r="A30" s="99" t="s">
        <v>2078</v>
      </c>
      <c r="B30" s="211">
        <v>1</v>
      </c>
      <c r="C30" s="319">
        <v>38000</v>
      </c>
      <c r="D30" s="7"/>
      <c r="F30" s="402"/>
    </row>
    <row r="31" spans="1:6" ht="25.5" customHeight="1">
      <c r="A31" s="99" t="s">
        <v>2079</v>
      </c>
      <c r="B31" s="211">
        <v>1</v>
      </c>
      <c r="C31" s="319">
        <v>54000</v>
      </c>
      <c r="D31" s="7"/>
      <c r="F31" s="402"/>
    </row>
    <row r="32" spans="1:6" ht="25.5" customHeight="1">
      <c r="A32" s="99" t="s">
        <v>2080</v>
      </c>
      <c r="B32" s="211">
        <v>2</v>
      </c>
      <c r="C32" s="319">
        <v>260000</v>
      </c>
      <c r="D32" s="7"/>
      <c r="F32" s="402"/>
    </row>
    <row r="33" spans="1:4" ht="25.5" customHeight="1">
      <c r="A33" s="99" t="s">
        <v>2081</v>
      </c>
      <c r="B33" s="211">
        <v>1</v>
      </c>
      <c r="C33" s="319">
        <v>821000</v>
      </c>
      <c r="D33" s="7"/>
    </row>
    <row r="34" spans="1:4" ht="22.5" customHeight="1">
      <c r="A34" s="99" t="s">
        <v>2082</v>
      </c>
      <c r="B34" s="211">
        <v>1</v>
      </c>
      <c r="C34" s="319">
        <v>1200000</v>
      </c>
      <c r="D34" s="7"/>
    </row>
    <row r="35" spans="1:4" ht="22.5" customHeight="1" thickBot="1">
      <c r="A35" s="567" t="s">
        <v>666</v>
      </c>
      <c r="B35" s="568">
        <f>SUM(B21:B34)</f>
        <v>19</v>
      </c>
      <c r="C35" s="569">
        <f>SUM(C21:C34)</f>
        <v>6431000</v>
      </c>
      <c r="D35" s="7">
        <f>+C13+C35</f>
        <v>110073400</v>
      </c>
    </row>
    <row r="36" spans="3:4" ht="22.5" customHeight="1" thickTop="1">
      <c r="C36" s="402"/>
      <c r="D36" s="7"/>
    </row>
    <row r="37" spans="3:4" ht="22.5" customHeight="1">
      <c r="C37" s="402"/>
      <c r="D37" s="8"/>
    </row>
    <row r="38" ht="22.5" customHeight="1">
      <c r="C38" s="402"/>
    </row>
    <row r="39" ht="22.5" customHeight="1">
      <c r="C39" s="402"/>
    </row>
    <row r="40" ht="22.5" customHeight="1">
      <c r="C40" s="402"/>
    </row>
    <row r="41" ht="22.5" customHeight="1">
      <c r="C41" s="402"/>
    </row>
    <row r="42" ht="22.5" customHeight="1">
      <c r="C42" s="402"/>
    </row>
    <row r="43" ht="22.5" customHeight="1">
      <c r="C43" s="402"/>
    </row>
    <row r="44" ht="22.5" customHeight="1">
      <c r="C44" s="402"/>
    </row>
    <row r="45" ht="21.75">
      <c r="C45" s="402"/>
    </row>
    <row r="46" ht="21.75">
      <c r="C46" s="402"/>
    </row>
    <row r="47" ht="21.75">
      <c r="C47" s="402"/>
    </row>
    <row r="48" ht="21.75">
      <c r="C48" s="402"/>
    </row>
    <row r="49" ht="21.75">
      <c r="C49" s="402"/>
    </row>
    <row r="50" ht="21.75">
      <c r="C50" s="402"/>
    </row>
    <row r="51" ht="21.75">
      <c r="C51" s="402"/>
    </row>
    <row r="52" ht="21.75">
      <c r="C52" s="402"/>
    </row>
    <row r="53" ht="21.75">
      <c r="C53" s="402"/>
    </row>
    <row r="54" ht="21.75">
      <c r="C54" s="402"/>
    </row>
    <row r="55" ht="21.75">
      <c r="C55" s="402"/>
    </row>
    <row r="56" ht="21.75">
      <c r="C56" s="402"/>
    </row>
    <row r="57" ht="21.75">
      <c r="C57" s="402"/>
    </row>
    <row r="58" ht="21.75">
      <c r="C58" s="402"/>
    </row>
  </sheetData>
  <sheetProtection/>
  <mergeCells count="7">
    <mergeCell ref="A1:H1"/>
    <mergeCell ref="A9:C9"/>
    <mergeCell ref="A19:C19"/>
    <mergeCell ref="A2:A3"/>
    <mergeCell ref="C2:F2"/>
    <mergeCell ref="G2:G3"/>
    <mergeCell ref="H2:H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1">
      <pane xSplit="10" ySplit="5" topLeftCell="M108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110" sqref="M110"/>
    </sheetView>
  </sheetViews>
  <sheetFormatPr defaultColWidth="9.140625" defaultRowHeight="15"/>
  <cols>
    <col min="1" max="1" width="6.421875" style="411" customWidth="1"/>
    <col min="2" max="2" width="4.8515625" style="411" customWidth="1"/>
    <col min="3" max="3" width="7.28125" style="527" customWidth="1"/>
    <col min="4" max="4" width="12.8515625" style="528" customWidth="1"/>
    <col min="5" max="5" width="6.57421875" style="527" hidden="1" customWidth="1"/>
    <col min="6" max="6" width="9.57421875" style="528" hidden="1" customWidth="1"/>
    <col min="7" max="7" width="12.8515625" style="528" customWidth="1"/>
    <col min="8" max="8" width="8.28125" style="528" customWidth="1"/>
    <col min="9" max="9" width="30.7109375" style="528" customWidth="1"/>
    <col min="10" max="10" width="5.7109375" style="527" customWidth="1"/>
    <col min="11" max="11" width="6.28125" style="527" customWidth="1"/>
    <col min="12" max="12" width="15.140625" style="523" bestFit="1" customWidth="1"/>
    <col min="13" max="13" width="13.140625" style="523" customWidth="1"/>
    <col min="14" max="14" width="10.8515625" style="523" customWidth="1"/>
    <col min="15" max="15" width="8.140625" style="523" customWidth="1"/>
    <col min="16" max="16" width="9.28125" style="528" customWidth="1"/>
    <col min="17" max="17" width="22.7109375" style="528" customWidth="1"/>
    <col min="18" max="18" width="13.8515625" style="411" customWidth="1"/>
    <col min="19" max="16384" width="9.00390625" style="411" customWidth="1"/>
  </cols>
  <sheetData>
    <row r="1" spans="1:17" ht="22.5" customHeight="1">
      <c r="A1" s="667" t="s">
        <v>1917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571"/>
      <c r="O1" s="571"/>
      <c r="P1" s="571"/>
      <c r="Q1" s="571"/>
    </row>
    <row r="2" spans="1:17" ht="22.5" customHeight="1">
      <c r="A2" s="667" t="s">
        <v>1918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571"/>
      <c r="O2" s="571"/>
      <c r="P2" s="571"/>
      <c r="Q2" s="571"/>
    </row>
    <row r="3" spans="1:17" ht="22.5" customHeight="1">
      <c r="A3" s="534"/>
      <c r="B3" s="534"/>
      <c r="C3" s="534"/>
      <c r="D3" s="534"/>
      <c r="E3" s="534"/>
      <c r="F3" s="534"/>
      <c r="G3" s="534"/>
      <c r="H3" s="534"/>
      <c r="I3" s="412"/>
      <c r="J3" s="534"/>
      <c r="K3" s="534"/>
      <c r="L3" s="413"/>
      <c r="M3" s="413"/>
      <c r="N3" s="413"/>
      <c r="O3" s="413"/>
      <c r="P3" s="534"/>
      <c r="Q3" s="534"/>
    </row>
    <row r="4" spans="1:18" s="414" customFormat="1" ht="22.5" customHeight="1">
      <c r="A4" s="663" t="s">
        <v>1919</v>
      </c>
      <c r="B4" s="663" t="s">
        <v>1836</v>
      </c>
      <c r="C4" s="663" t="s">
        <v>1920</v>
      </c>
      <c r="D4" s="663" t="s">
        <v>1921</v>
      </c>
      <c r="E4" s="663" t="s">
        <v>1922</v>
      </c>
      <c r="F4" s="663" t="s">
        <v>1923</v>
      </c>
      <c r="G4" s="663" t="s">
        <v>1924</v>
      </c>
      <c r="H4" s="663" t="s">
        <v>1925</v>
      </c>
      <c r="I4" s="663" t="s">
        <v>756</v>
      </c>
      <c r="J4" s="663" t="s">
        <v>1719</v>
      </c>
      <c r="K4" s="663" t="s">
        <v>1926</v>
      </c>
      <c r="L4" s="665" t="s">
        <v>1927</v>
      </c>
      <c r="M4" s="665" t="s">
        <v>1928</v>
      </c>
      <c r="N4" s="659" t="s">
        <v>1929</v>
      </c>
      <c r="O4" s="659"/>
      <c r="P4" s="660" t="s">
        <v>1930</v>
      </c>
      <c r="Q4" s="661"/>
      <c r="R4" s="662"/>
    </row>
    <row r="5" spans="1:18" s="418" customFormat="1" ht="22.5" customHeight="1">
      <c r="A5" s="664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6"/>
      <c r="M5" s="666"/>
      <c r="N5" s="415" t="s">
        <v>1931</v>
      </c>
      <c r="O5" s="415" t="s">
        <v>1932</v>
      </c>
      <c r="P5" s="416" t="s">
        <v>1933</v>
      </c>
      <c r="Q5" s="416" t="s">
        <v>1934</v>
      </c>
      <c r="R5" s="417" t="s">
        <v>1935</v>
      </c>
    </row>
    <row r="6" spans="1:18" s="432" customFormat="1" ht="22.5" customHeight="1">
      <c r="A6" s="419" t="s">
        <v>1936</v>
      </c>
      <c r="B6" s="419">
        <v>1</v>
      </c>
      <c r="C6" s="420">
        <v>10870</v>
      </c>
      <c r="D6" s="421" t="s">
        <v>1937</v>
      </c>
      <c r="E6" s="422"/>
      <c r="F6" s="423"/>
      <c r="G6" s="422" t="s">
        <v>1938</v>
      </c>
      <c r="H6" s="424" t="s">
        <v>1866</v>
      </c>
      <c r="I6" s="425" t="s">
        <v>1837</v>
      </c>
      <c r="J6" s="426">
        <v>2</v>
      </c>
      <c r="K6" s="419"/>
      <c r="L6" s="427">
        <v>7500</v>
      </c>
      <c r="M6" s="428">
        <f>J6*L6</f>
        <v>15000</v>
      </c>
      <c r="N6" s="429"/>
      <c r="O6" s="430"/>
      <c r="P6" s="424"/>
      <c r="Q6" s="431" t="s">
        <v>1939</v>
      </c>
      <c r="R6" s="424"/>
    </row>
    <row r="7" spans="1:18" s="436" customFormat="1" ht="22.5" customHeight="1">
      <c r="A7" s="419" t="s">
        <v>1936</v>
      </c>
      <c r="B7" s="419">
        <v>2</v>
      </c>
      <c r="C7" s="420">
        <v>10870</v>
      </c>
      <c r="D7" s="421" t="s">
        <v>1937</v>
      </c>
      <c r="E7" s="433"/>
      <c r="F7" s="424"/>
      <c r="G7" s="422" t="s">
        <v>1938</v>
      </c>
      <c r="H7" s="424" t="s">
        <v>1866</v>
      </c>
      <c r="I7" s="424" t="s">
        <v>1838</v>
      </c>
      <c r="J7" s="419">
        <v>1</v>
      </c>
      <c r="K7" s="419"/>
      <c r="L7" s="434">
        <v>28500</v>
      </c>
      <c r="M7" s="428">
        <f aca="true" t="shared" si="0" ref="M7:M70">J7*L7</f>
        <v>28500</v>
      </c>
      <c r="N7" s="429"/>
      <c r="O7" s="430"/>
      <c r="P7" s="424"/>
      <c r="Q7" s="435" t="s">
        <v>1940</v>
      </c>
      <c r="R7" s="424"/>
    </row>
    <row r="8" spans="1:18" s="432" customFormat="1" ht="22.5" customHeight="1">
      <c r="A8" s="419" t="s">
        <v>1936</v>
      </c>
      <c r="B8" s="419">
        <v>3</v>
      </c>
      <c r="C8" s="420">
        <v>10870</v>
      </c>
      <c r="D8" s="421" t="s">
        <v>1937</v>
      </c>
      <c r="E8" s="437"/>
      <c r="F8" s="424"/>
      <c r="G8" s="422" t="s">
        <v>1938</v>
      </c>
      <c r="H8" s="424" t="s">
        <v>1866</v>
      </c>
      <c r="I8" s="424" t="s">
        <v>1839</v>
      </c>
      <c r="J8" s="419">
        <v>1</v>
      </c>
      <c r="K8" s="419"/>
      <c r="L8" s="434">
        <v>5000</v>
      </c>
      <c r="M8" s="428">
        <f t="shared" si="0"/>
        <v>5000</v>
      </c>
      <c r="N8" s="429"/>
      <c r="O8" s="430"/>
      <c r="P8" s="424"/>
      <c r="Q8" s="435" t="s">
        <v>1941</v>
      </c>
      <c r="R8" s="424"/>
    </row>
    <row r="9" spans="1:18" s="432" customFormat="1" ht="22.5" customHeight="1">
      <c r="A9" s="419" t="s">
        <v>1936</v>
      </c>
      <c r="B9" s="419">
        <v>4</v>
      </c>
      <c r="C9" s="420">
        <v>10870</v>
      </c>
      <c r="D9" s="421" t="s">
        <v>1937</v>
      </c>
      <c r="E9" s="437"/>
      <c r="F9" s="424"/>
      <c r="G9" s="422" t="s">
        <v>1938</v>
      </c>
      <c r="H9" s="424" t="s">
        <v>1866</v>
      </c>
      <c r="I9" s="424" t="s">
        <v>1840</v>
      </c>
      <c r="J9" s="419">
        <v>4</v>
      </c>
      <c r="K9" s="419"/>
      <c r="L9" s="434">
        <v>5000</v>
      </c>
      <c r="M9" s="428">
        <f t="shared" si="0"/>
        <v>20000</v>
      </c>
      <c r="N9" s="429"/>
      <c r="O9" s="430"/>
      <c r="P9" s="424"/>
      <c r="Q9" s="435" t="s">
        <v>1942</v>
      </c>
      <c r="R9" s="424"/>
    </row>
    <row r="10" spans="1:18" s="432" customFormat="1" ht="22.5" customHeight="1">
      <c r="A10" s="419" t="s">
        <v>1936</v>
      </c>
      <c r="B10" s="419">
        <v>5</v>
      </c>
      <c r="C10" s="420">
        <v>10870</v>
      </c>
      <c r="D10" s="421" t="s">
        <v>1937</v>
      </c>
      <c r="E10" s="437"/>
      <c r="F10" s="424"/>
      <c r="G10" s="422" t="s">
        <v>1938</v>
      </c>
      <c r="H10" s="424" t="s">
        <v>1866</v>
      </c>
      <c r="I10" s="424" t="s">
        <v>1841</v>
      </c>
      <c r="J10" s="419">
        <v>4</v>
      </c>
      <c r="K10" s="419"/>
      <c r="L10" s="434">
        <v>3000</v>
      </c>
      <c r="M10" s="428">
        <f t="shared" si="0"/>
        <v>12000</v>
      </c>
      <c r="N10" s="429"/>
      <c r="O10" s="430"/>
      <c r="P10" s="424"/>
      <c r="Q10" s="435" t="s">
        <v>1942</v>
      </c>
      <c r="R10" s="424"/>
    </row>
    <row r="11" spans="1:18" s="432" customFormat="1" ht="22.5" customHeight="1">
      <c r="A11" s="419" t="s">
        <v>1936</v>
      </c>
      <c r="B11" s="419">
        <v>6</v>
      </c>
      <c r="C11" s="420">
        <v>10870</v>
      </c>
      <c r="D11" s="421" t="s">
        <v>1937</v>
      </c>
      <c r="E11" s="438"/>
      <c r="F11" s="424"/>
      <c r="G11" s="422" t="s">
        <v>1938</v>
      </c>
      <c r="H11" s="424" t="s">
        <v>1866</v>
      </c>
      <c r="I11" s="424" t="s">
        <v>1842</v>
      </c>
      <c r="J11" s="419">
        <v>1</v>
      </c>
      <c r="K11" s="439"/>
      <c r="L11" s="428">
        <v>10000</v>
      </c>
      <c r="M11" s="428">
        <f t="shared" si="0"/>
        <v>10000</v>
      </c>
      <c r="N11" s="429"/>
      <c r="O11" s="430"/>
      <c r="P11" s="440"/>
      <c r="Q11" s="435" t="s">
        <v>1943</v>
      </c>
      <c r="R11" s="424"/>
    </row>
    <row r="12" spans="1:18" s="441" customFormat="1" ht="22.5" customHeight="1">
      <c r="A12" s="419" t="s">
        <v>1936</v>
      </c>
      <c r="B12" s="419">
        <v>7</v>
      </c>
      <c r="C12" s="420">
        <v>10870</v>
      </c>
      <c r="D12" s="421" t="s">
        <v>1937</v>
      </c>
      <c r="E12" s="438"/>
      <c r="F12" s="424"/>
      <c r="G12" s="422" t="s">
        <v>1938</v>
      </c>
      <c r="H12" s="424" t="s">
        <v>1944</v>
      </c>
      <c r="I12" s="424" t="s">
        <v>1843</v>
      </c>
      <c r="J12" s="439">
        <v>1</v>
      </c>
      <c r="K12" s="439"/>
      <c r="L12" s="455">
        <v>550000</v>
      </c>
      <c r="M12" s="428">
        <f t="shared" si="0"/>
        <v>550000</v>
      </c>
      <c r="N12" s="429"/>
      <c r="O12" s="430"/>
      <c r="P12" s="440"/>
      <c r="Q12" s="435" t="s">
        <v>1945</v>
      </c>
      <c r="R12" s="424"/>
    </row>
    <row r="13" spans="1:18" s="441" customFormat="1" ht="22.5" customHeight="1">
      <c r="A13" s="419" t="s">
        <v>1936</v>
      </c>
      <c r="B13" s="419">
        <v>8</v>
      </c>
      <c r="C13" s="420">
        <v>10870</v>
      </c>
      <c r="D13" s="421" t="s">
        <v>1937</v>
      </c>
      <c r="E13" s="438"/>
      <c r="F13" s="424"/>
      <c r="G13" s="422" t="s">
        <v>1938</v>
      </c>
      <c r="H13" s="424" t="s">
        <v>1944</v>
      </c>
      <c r="I13" s="424" t="s">
        <v>1844</v>
      </c>
      <c r="J13" s="442">
        <v>1</v>
      </c>
      <c r="K13" s="442"/>
      <c r="L13" s="529">
        <v>160000</v>
      </c>
      <c r="M13" s="428">
        <f t="shared" si="0"/>
        <v>160000</v>
      </c>
      <c r="N13" s="429"/>
      <c r="O13" s="430"/>
      <c r="P13" s="440"/>
      <c r="Q13" s="435" t="s">
        <v>1946</v>
      </c>
      <c r="R13" s="424"/>
    </row>
    <row r="14" spans="1:18" s="441" customFormat="1" ht="22.5" customHeight="1">
      <c r="A14" s="419" t="s">
        <v>1936</v>
      </c>
      <c r="B14" s="419">
        <v>9</v>
      </c>
      <c r="C14" s="420">
        <v>10870</v>
      </c>
      <c r="D14" s="421" t="s">
        <v>1937</v>
      </c>
      <c r="E14" s="438"/>
      <c r="F14" s="424"/>
      <c r="G14" s="422" t="s">
        <v>1938</v>
      </c>
      <c r="H14" s="424" t="s">
        <v>1944</v>
      </c>
      <c r="I14" s="425" t="s">
        <v>1891</v>
      </c>
      <c r="J14" s="426">
        <v>1</v>
      </c>
      <c r="K14" s="439"/>
      <c r="L14" s="427">
        <v>10000</v>
      </c>
      <c r="M14" s="428">
        <f t="shared" si="0"/>
        <v>10000</v>
      </c>
      <c r="N14" s="429"/>
      <c r="O14" s="430"/>
      <c r="P14" s="440"/>
      <c r="Q14" s="443" t="s">
        <v>1947</v>
      </c>
      <c r="R14" s="424"/>
    </row>
    <row r="15" spans="1:18" s="441" customFormat="1" ht="22.5" customHeight="1">
      <c r="A15" s="419" t="s">
        <v>1936</v>
      </c>
      <c r="B15" s="419">
        <v>10</v>
      </c>
      <c r="C15" s="420">
        <v>10870</v>
      </c>
      <c r="D15" s="421" t="s">
        <v>1937</v>
      </c>
      <c r="E15" s="438"/>
      <c r="F15" s="424"/>
      <c r="G15" s="422" t="s">
        <v>1938</v>
      </c>
      <c r="H15" s="424" t="s">
        <v>1944</v>
      </c>
      <c r="I15" s="425" t="s">
        <v>1892</v>
      </c>
      <c r="J15" s="426">
        <v>1</v>
      </c>
      <c r="K15" s="439"/>
      <c r="L15" s="427">
        <v>7000</v>
      </c>
      <c r="M15" s="428">
        <f t="shared" si="0"/>
        <v>7000</v>
      </c>
      <c r="N15" s="429"/>
      <c r="O15" s="430"/>
      <c r="P15" s="440"/>
      <c r="Q15" s="443" t="s">
        <v>1948</v>
      </c>
      <c r="R15" s="424"/>
    </row>
    <row r="16" spans="1:18" s="441" customFormat="1" ht="22.5" customHeight="1">
      <c r="A16" s="419" t="s">
        <v>1936</v>
      </c>
      <c r="B16" s="419">
        <v>11</v>
      </c>
      <c r="C16" s="420">
        <v>10870</v>
      </c>
      <c r="D16" s="421" t="s">
        <v>1937</v>
      </c>
      <c r="E16" s="438"/>
      <c r="F16" s="424"/>
      <c r="G16" s="422" t="s">
        <v>1938</v>
      </c>
      <c r="H16" s="424" t="s">
        <v>1944</v>
      </c>
      <c r="I16" s="424" t="s">
        <v>1846</v>
      </c>
      <c r="J16" s="444">
        <v>1</v>
      </c>
      <c r="K16" s="439"/>
      <c r="L16" s="434">
        <v>5500</v>
      </c>
      <c r="M16" s="428">
        <f t="shared" si="0"/>
        <v>5500</v>
      </c>
      <c r="N16" s="429"/>
      <c r="O16" s="430"/>
      <c r="P16" s="440"/>
      <c r="Q16" s="445" t="s">
        <v>1949</v>
      </c>
      <c r="R16" s="424"/>
    </row>
    <row r="17" spans="1:18" s="441" customFormat="1" ht="22.5" customHeight="1">
      <c r="A17" s="419" t="s">
        <v>1936</v>
      </c>
      <c r="B17" s="419">
        <v>12</v>
      </c>
      <c r="C17" s="420">
        <v>10870</v>
      </c>
      <c r="D17" s="421" t="s">
        <v>1937</v>
      </c>
      <c r="E17" s="438"/>
      <c r="F17" s="424"/>
      <c r="G17" s="422" t="s">
        <v>1938</v>
      </c>
      <c r="H17" s="424" t="s">
        <v>1944</v>
      </c>
      <c r="I17" s="424" t="s">
        <v>1893</v>
      </c>
      <c r="J17" s="419">
        <v>1</v>
      </c>
      <c r="K17" s="439"/>
      <c r="L17" s="434">
        <v>5500</v>
      </c>
      <c r="M17" s="428">
        <f t="shared" si="0"/>
        <v>5500</v>
      </c>
      <c r="N17" s="429"/>
      <c r="O17" s="430"/>
      <c r="P17" s="440"/>
      <c r="Q17" s="445" t="s">
        <v>1950</v>
      </c>
      <c r="R17" s="424"/>
    </row>
    <row r="18" spans="1:18" s="441" customFormat="1" ht="22.5" customHeight="1">
      <c r="A18" s="419" t="s">
        <v>1936</v>
      </c>
      <c r="B18" s="419">
        <v>13</v>
      </c>
      <c r="C18" s="420">
        <v>10870</v>
      </c>
      <c r="D18" s="421" t="s">
        <v>1937</v>
      </c>
      <c r="E18" s="438"/>
      <c r="F18" s="424"/>
      <c r="G18" s="422" t="s">
        <v>1938</v>
      </c>
      <c r="H18" s="424" t="s">
        <v>1944</v>
      </c>
      <c r="I18" s="424" t="s">
        <v>1847</v>
      </c>
      <c r="J18" s="419">
        <v>1</v>
      </c>
      <c r="K18" s="439"/>
      <c r="L18" s="434">
        <v>2800</v>
      </c>
      <c r="M18" s="428">
        <f t="shared" si="0"/>
        <v>2800</v>
      </c>
      <c r="N18" s="429"/>
      <c r="O18" s="430"/>
      <c r="P18" s="440"/>
      <c r="Q18" s="445" t="s">
        <v>1951</v>
      </c>
      <c r="R18" s="424"/>
    </row>
    <row r="19" spans="1:18" s="441" customFormat="1" ht="22.5" customHeight="1">
      <c r="A19" s="419" t="s">
        <v>1936</v>
      </c>
      <c r="B19" s="419">
        <v>14</v>
      </c>
      <c r="C19" s="420">
        <v>10870</v>
      </c>
      <c r="D19" s="421" t="s">
        <v>1937</v>
      </c>
      <c r="E19" s="438"/>
      <c r="F19" s="424"/>
      <c r="G19" s="422" t="s">
        <v>1938</v>
      </c>
      <c r="H19" s="424" t="s">
        <v>1944</v>
      </c>
      <c r="I19" s="424" t="s">
        <v>1848</v>
      </c>
      <c r="J19" s="419">
        <v>1</v>
      </c>
      <c r="K19" s="439"/>
      <c r="L19" s="434">
        <v>5500</v>
      </c>
      <c r="M19" s="428">
        <f t="shared" si="0"/>
        <v>5500</v>
      </c>
      <c r="N19" s="429"/>
      <c r="O19" s="430"/>
      <c r="P19" s="440"/>
      <c r="Q19" s="445" t="s">
        <v>1952</v>
      </c>
      <c r="R19" s="424"/>
    </row>
    <row r="20" spans="1:18" s="441" customFormat="1" ht="22.5" customHeight="1">
      <c r="A20" s="419" t="s">
        <v>1936</v>
      </c>
      <c r="B20" s="419">
        <v>15</v>
      </c>
      <c r="C20" s="420">
        <v>10870</v>
      </c>
      <c r="D20" s="421" t="s">
        <v>1937</v>
      </c>
      <c r="E20" s="438"/>
      <c r="F20" s="424"/>
      <c r="G20" s="422" t="s">
        <v>1938</v>
      </c>
      <c r="H20" s="424" t="s">
        <v>1944</v>
      </c>
      <c r="I20" s="424" t="s">
        <v>1849</v>
      </c>
      <c r="J20" s="419">
        <v>1</v>
      </c>
      <c r="K20" s="439"/>
      <c r="L20" s="434">
        <v>10000</v>
      </c>
      <c r="M20" s="428">
        <f t="shared" si="0"/>
        <v>10000</v>
      </c>
      <c r="N20" s="429"/>
      <c r="O20" s="430"/>
      <c r="P20" s="440"/>
      <c r="Q20" s="445" t="s">
        <v>1953</v>
      </c>
      <c r="R20" s="424"/>
    </row>
    <row r="21" spans="1:18" s="441" customFormat="1" ht="22.5" customHeight="1">
      <c r="A21" s="419" t="s">
        <v>1936</v>
      </c>
      <c r="B21" s="419">
        <v>16</v>
      </c>
      <c r="C21" s="420">
        <v>10870</v>
      </c>
      <c r="D21" s="421" t="s">
        <v>1937</v>
      </c>
      <c r="E21" s="438"/>
      <c r="F21" s="424"/>
      <c r="G21" s="422" t="s">
        <v>1938</v>
      </c>
      <c r="H21" s="424" t="s">
        <v>1944</v>
      </c>
      <c r="I21" s="424" t="s">
        <v>1894</v>
      </c>
      <c r="J21" s="419">
        <v>1</v>
      </c>
      <c r="K21" s="439"/>
      <c r="L21" s="434">
        <v>9000</v>
      </c>
      <c r="M21" s="428">
        <f t="shared" si="0"/>
        <v>9000</v>
      </c>
      <c r="N21" s="429"/>
      <c r="O21" s="430"/>
      <c r="P21" s="440"/>
      <c r="Q21" s="445" t="s">
        <v>1954</v>
      </c>
      <c r="R21" s="424"/>
    </row>
    <row r="22" spans="1:18" s="441" customFormat="1" ht="22.5" customHeight="1">
      <c r="A22" s="419" t="s">
        <v>1936</v>
      </c>
      <c r="B22" s="419">
        <v>17</v>
      </c>
      <c r="C22" s="420">
        <v>10870</v>
      </c>
      <c r="D22" s="421" t="s">
        <v>1937</v>
      </c>
      <c r="E22" s="438"/>
      <c r="F22" s="424"/>
      <c r="G22" s="422" t="s">
        <v>1938</v>
      </c>
      <c r="H22" s="424" t="s">
        <v>1944</v>
      </c>
      <c r="I22" s="424" t="s">
        <v>1850</v>
      </c>
      <c r="J22" s="419">
        <v>1</v>
      </c>
      <c r="K22" s="439"/>
      <c r="L22" s="434">
        <v>9000</v>
      </c>
      <c r="M22" s="428">
        <f t="shared" si="0"/>
        <v>9000</v>
      </c>
      <c r="N22" s="429"/>
      <c r="O22" s="430"/>
      <c r="P22" s="440"/>
      <c r="Q22" s="445" t="s">
        <v>1955</v>
      </c>
      <c r="R22" s="424"/>
    </row>
    <row r="23" spans="1:18" s="441" customFormat="1" ht="22.5" customHeight="1">
      <c r="A23" s="419" t="s">
        <v>1936</v>
      </c>
      <c r="B23" s="419">
        <v>18</v>
      </c>
      <c r="C23" s="420">
        <v>10870</v>
      </c>
      <c r="D23" s="421" t="s">
        <v>1937</v>
      </c>
      <c r="E23" s="438"/>
      <c r="F23" s="424"/>
      <c r="G23" s="422" t="s">
        <v>1938</v>
      </c>
      <c r="H23" s="424" t="s">
        <v>1866</v>
      </c>
      <c r="I23" s="424" t="s">
        <v>1851</v>
      </c>
      <c r="J23" s="419">
        <v>1</v>
      </c>
      <c r="K23" s="439"/>
      <c r="L23" s="434">
        <v>15000</v>
      </c>
      <c r="M23" s="428">
        <f t="shared" si="0"/>
        <v>15000</v>
      </c>
      <c r="N23" s="429"/>
      <c r="O23" s="430"/>
      <c r="P23" s="440"/>
      <c r="Q23" s="445" t="s">
        <v>1956</v>
      </c>
      <c r="R23" s="424"/>
    </row>
    <row r="24" spans="1:18" s="441" customFormat="1" ht="22.5" customHeight="1">
      <c r="A24" s="419" t="s">
        <v>1936</v>
      </c>
      <c r="B24" s="419">
        <v>19</v>
      </c>
      <c r="C24" s="420">
        <v>10870</v>
      </c>
      <c r="D24" s="421" t="s">
        <v>1937</v>
      </c>
      <c r="E24" s="438"/>
      <c r="F24" s="424"/>
      <c r="G24" s="422" t="s">
        <v>1938</v>
      </c>
      <c r="H24" s="424" t="s">
        <v>1866</v>
      </c>
      <c r="I24" s="424" t="s">
        <v>1852</v>
      </c>
      <c r="J24" s="419">
        <v>1</v>
      </c>
      <c r="K24" s="439"/>
      <c r="L24" s="434">
        <v>7000</v>
      </c>
      <c r="M24" s="428">
        <f t="shared" si="0"/>
        <v>7000</v>
      </c>
      <c r="N24" s="429"/>
      <c r="O24" s="430"/>
      <c r="P24" s="440"/>
      <c r="Q24" s="445" t="s">
        <v>1957</v>
      </c>
      <c r="R24" s="424"/>
    </row>
    <row r="25" spans="1:18" s="441" customFormat="1" ht="22.5" customHeight="1">
      <c r="A25" s="419" t="s">
        <v>1936</v>
      </c>
      <c r="B25" s="419">
        <v>20</v>
      </c>
      <c r="C25" s="420">
        <v>10870</v>
      </c>
      <c r="D25" s="421" t="s">
        <v>1937</v>
      </c>
      <c r="E25" s="438"/>
      <c r="F25" s="424"/>
      <c r="G25" s="422" t="s">
        <v>1938</v>
      </c>
      <c r="H25" s="424" t="s">
        <v>1866</v>
      </c>
      <c r="I25" s="424" t="s">
        <v>1853</v>
      </c>
      <c r="J25" s="419">
        <v>1</v>
      </c>
      <c r="K25" s="439"/>
      <c r="L25" s="434">
        <v>6500</v>
      </c>
      <c r="M25" s="428">
        <f t="shared" si="0"/>
        <v>6500</v>
      </c>
      <c r="N25" s="429"/>
      <c r="O25" s="430"/>
      <c r="P25" s="440"/>
      <c r="Q25" s="445" t="s">
        <v>1958</v>
      </c>
      <c r="R25" s="424"/>
    </row>
    <row r="26" spans="1:18" s="441" customFormat="1" ht="22.5" customHeight="1">
      <c r="A26" s="419" t="s">
        <v>1936</v>
      </c>
      <c r="B26" s="419">
        <v>21</v>
      </c>
      <c r="C26" s="420">
        <v>10870</v>
      </c>
      <c r="D26" s="421" t="s">
        <v>1937</v>
      </c>
      <c r="E26" s="438"/>
      <c r="F26" s="424"/>
      <c r="G26" s="422" t="s">
        <v>1938</v>
      </c>
      <c r="H26" s="424" t="s">
        <v>1866</v>
      </c>
      <c r="I26" s="424" t="s">
        <v>1854</v>
      </c>
      <c r="J26" s="419">
        <v>1</v>
      </c>
      <c r="K26" s="439"/>
      <c r="L26" s="434">
        <v>3800</v>
      </c>
      <c r="M26" s="428">
        <f t="shared" si="0"/>
        <v>3800</v>
      </c>
      <c r="N26" s="429"/>
      <c r="O26" s="430"/>
      <c r="P26" s="440"/>
      <c r="Q26" s="445" t="s">
        <v>1959</v>
      </c>
      <c r="R26" s="424"/>
    </row>
    <row r="27" spans="1:18" s="441" customFormat="1" ht="22.5" customHeight="1">
      <c r="A27" s="419" t="s">
        <v>1936</v>
      </c>
      <c r="B27" s="419">
        <v>22</v>
      </c>
      <c r="C27" s="420">
        <v>10870</v>
      </c>
      <c r="D27" s="421" t="s">
        <v>1937</v>
      </c>
      <c r="E27" s="438"/>
      <c r="F27" s="424"/>
      <c r="G27" s="422" t="s">
        <v>1938</v>
      </c>
      <c r="H27" s="424" t="s">
        <v>1944</v>
      </c>
      <c r="I27" s="424" t="s">
        <v>1855</v>
      </c>
      <c r="J27" s="419">
        <v>1</v>
      </c>
      <c r="K27" s="439"/>
      <c r="L27" s="434">
        <v>17000</v>
      </c>
      <c r="M27" s="428">
        <f t="shared" si="0"/>
        <v>17000</v>
      </c>
      <c r="N27" s="429"/>
      <c r="O27" s="430"/>
      <c r="P27" s="440"/>
      <c r="Q27" s="445" t="s">
        <v>1960</v>
      </c>
      <c r="R27" s="424"/>
    </row>
    <row r="28" spans="1:18" s="441" customFormat="1" ht="22.5" customHeight="1">
      <c r="A28" s="419" t="s">
        <v>1936</v>
      </c>
      <c r="B28" s="419">
        <v>23</v>
      </c>
      <c r="C28" s="420">
        <v>10870</v>
      </c>
      <c r="D28" s="421" t="s">
        <v>1937</v>
      </c>
      <c r="E28" s="438"/>
      <c r="F28" s="424"/>
      <c r="G28" s="422" t="s">
        <v>1938</v>
      </c>
      <c r="H28" s="424" t="s">
        <v>1944</v>
      </c>
      <c r="I28" s="424" t="s">
        <v>1856</v>
      </c>
      <c r="J28" s="419">
        <v>1</v>
      </c>
      <c r="K28" s="439"/>
      <c r="L28" s="434">
        <v>2800</v>
      </c>
      <c r="M28" s="428">
        <f t="shared" si="0"/>
        <v>2800</v>
      </c>
      <c r="N28" s="429"/>
      <c r="O28" s="430"/>
      <c r="P28" s="440"/>
      <c r="Q28" s="445" t="s">
        <v>1961</v>
      </c>
      <c r="R28" s="424"/>
    </row>
    <row r="29" spans="1:18" s="441" customFormat="1" ht="22.5" customHeight="1">
      <c r="A29" s="419" t="s">
        <v>1936</v>
      </c>
      <c r="B29" s="419">
        <v>24</v>
      </c>
      <c r="C29" s="420">
        <v>10870</v>
      </c>
      <c r="D29" s="421" t="s">
        <v>1937</v>
      </c>
      <c r="E29" s="438"/>
      <c r="F29" s="424"/>
      <c r="G29" s="422" t="s">
        <v>1938</v>
      </c>
      <c r="H29" s="424" t="s">
        <v>1944</v>
      </c>
      <c r="I29" s="424" t="s">
        <v>1895</v>
      </c>
      <c r="J29" s="419">
        <v>1</v>
      </c>
      <c r="K29" s="439"/>
      <c r="L29" s="446">
        <v>11000</v>
      </c>
      <c r="M29" s="428">
        <f t="shared" si="0"/>
        <v>11000</v>
      </c>
      <c r="N29" s="429"/>
      <c r="O29" s="430"/>
      <c r="P29" s="440"/>
      <c r="Q29" s="447" t="s">
        <v>1962</v>
      </c>
      <c r="R29" s="424"/>
    </row>
    <row r="30" spans="1:18" s="441" customFormat="1" ht="22.5" customHeight="1">
      <c r="A30" s="419" t="s">
        <v>1936</v>
      </c>
      <c r="B30" s="419">
        <v>25</v>
      </c>
      <c r="C30" s="420">
        <v>10870</v>
      </c>
      <c r="D30" s="421" t="s">
        <v>1937</v>
      </c>
      <c r="E30" s="438"/>
      <c r="F30" s="424"/>
      <c r="G30" s="422" t="s">
        <v>1938</v>
      </c>
      <c r="H30" s="424" t="s">
        <v>1944</v>
      </c>
      <c r="I30" s="424" t="s">
        <v>1896</v>
      </c>
      <c r="J30" s="419">
        <v>1</v>
      </c>
      <c r="K30" s="439"/>
      <c r="L30" s="446">
        <v>17000</v>
      </c>
      <c r="M30" s="428">
        <f t="shared" si="0"/>
        <v>17000</v>
      </c>
      <c r="N30" s="429"/>
      <c r="O30" s="430"/>
      <c r="P30" s="440"/>
      <c r="Q30" s="447" t="s">
        <v>1963</v>
      </c>
      <c r="R30" s="424"/>
    </row>
    <row r="31" spans="1:18" s="441" customFormat="1" ht="22.5" customHeight="1">
      <c r="A31" s="419" t="s">
        <v>1936</v>
      </c>
      <c r="B31" s="419">
        <v>26</v>
      </c>
      <c r="C31" s="420">
        <v>10870</v>
      </c>
      <c r="D31" s="421" t="s">
        <v>1937</v>
      </c>
      <c r="E31" s="438"/>
      <c r="F31" s="424"/>
      <c r="G31" s="422" t="s">
        <v>1938</v>
      </c>
      <c r="H31" s="424" t="s">
        <v>1944</v>
      </c>
      <c r="I31" s="424" t="s">
        <v>1894</v>
      </c>
      <c r="J31" s="419">
        <v>1</v>
      </c>
      <c r="K31" s="439"/>
      <c r="L31" s="434">
        <v>10000</v>
      </c>
      <c r="M31" s="428">
        <f t="shared" si="0"/>
        <v>10000</v>
      </c>
      <c r="N31" s="429"/>
      <c r="O31" s="430"/>
      <c r="P31" s="440"/>
      <c r="Q31" s="447" t="s">
        <v>1964</v>
      </c>
      <c r="R31" s="424"/>
    </row>
    <row r="32" spans="1:18" s="441" customFormat="1" ht="22.5" customHeight="1">
      <c r="A32" s="419" t="s">
        <v>1936</v>
      </c>
      <c r="B32" s="419">
        <v>27</v>
      </c>
      <c r="C32" s="420">
        <v>10870</v>
      </c>
      <c r="D32" s="421" t="s">
        <v>1937</v>
      </c>
      <c r="E32" s="438"/>
      <c r="F32" s="424"/>
      <c r="G32" s="422" t="s">
        <v>1938</v>
      </c>
      <c r="H32" s="424" t="s">
        <v>1866</v>
      </c>
      <c r="I32" s="424" t="s">
        <v>1858</v>
      </c>
      <c r="J32" s="448">
        <v>1</v>
      </c>
      <c r="K32" s="439"/>
      <c r="L32" s="434">
        <v>15000</v>
      </c>
      <c r="M32" s="428">
        <f t="shared" si="0"/>
        <v>15000</v>
      </c>
      <c r="N32" s="429"/>
      <c r="O32" s="430"/>
      <c r="P32" s="440"/>
      <c r="Q32" s="435" t="s">
        <v>1965</v>
      </c>
      <c r="R32" s="424"/>
    </row>
    <row r="33" spans="1:18" s="441" customFormat="1" ht="22.5" customHeight="1">
      <c r="A33" s="419" t="s">
        <v>1936</v>
      </c>
      <c r="B33" s="419">
        <v>28</v>
      </c>
      <c r="C33" s="420">
        <v>10870</v>
      </c>
      <c r="D33" s="421" t="s">
        <v>1937</v>
      </c>
      <c r="E33" s="438"/>
      <c r="F33" s="424"/>
      <c r="G33" s="422" t="s">
        <v>1938</v>
      </c>
      <c r="H33" s="424" t="s">
        <v>1866</v>
      </c>
      <c r="I33" s="424" t="s">
        <v>1859</v>
      </c>
      <c r="J33" s="448">
        <v>2</v>
      </c>
      <c r="K33" s="439"/>
      <c r="L33" s="434">
        <v>3800</v>
      </c>
      <c r="M33" s="428">
        <f t="shared" si="0"/>
        <v>7600</v>
      </c>
      <c r="N33" s="429"/>
      <c r="O33" s="430"/>
      <c r="P33" s="440"/>
      <c r="Q33" s="435" t="s">
        <v>1956</v>
      </c>
      <c r="R33" s="424"/>
    </row>
    <row r="34" spans="1:18" s="441" customFormat="1" ht="22.5" customHeight="1">
      <c r="A34" s="419" t="s">
        <v>1936</v>
      </c>
      <c r="B34" s="419">
        <v>29</v>
      </c>
      <c r="C34" s="420">
        <v>10870</v>
      </c>
      <c r="D34" s="421" t="s">
        <v>1937</v>
      </c>
      <c r="E34" s="438"/>
      <c r="F34" s="424"/>
      <c r="G34" s="422" t="s">
        <v>1938</v>
      </c>
      <c r="H34" s="424" t="s">
        <v>1866</v>
      </c>
      <c r="I34" s="424" t="s">
        <v>1860</v>
      </c>
      <c r="J34" s="448">
        <v>2</v>
      </c>
      <c r="K34" s="439"/>
      <c r="L34" s="434">
        <v>4000</v>
      </c>
      <c r="M34" s="428">
        <f t="shared" si="0"/>
        <v>8000</v>
      </c>
      <c r="N34" s="429"/>
      <c r="O34" s="430"/>
      <c r="P34" s="440"/>
      <c r="Q34" s="435" t="s">
        <v>1959</v>
      </c>
      <c r="R34" s="424"/>
    </row>
    <row r="35" spans="1:18" s="441" customFormat="1" ht="22.5" customHeight="1">
      <c r="A35" s="419" t="s">
        <v>1936</v>
      </c>
      <c r="B35" s="419">
        <v>30</v>
      </c>
      <c r="C35" s="420">
        <v>10870</v>
      </c>
      <c r="D35" s="421" t="s">
        <v>1937</v>
      </c>
      <c r="E35" s="438"/>
      <c r="F35" s="424"/>
      <c r="G35" s="422" t="s">
        <v>1938</v>
      </c>
      <c r="H35" s="424" t="s">
        <v>1944</v>
      </c>
      <c r="I35" s="424" t="s">
        <v>1897</v>
      </c>
      <c r="J35" s="419">
        <v>1</v>
      </c>
      <c r="K35" s="439"/>
      <c r="L35" s="434">
        <v>150000</v>
      </c>
      <c r="M35" s="428">
        <f t="shared" si="0"/>
        <v>150000</v>
      </c>
      <c r="N35" s="429"/>
      <c r="O35" s="430"/>
      <c r="P35" s="440"/>
      <c r="Q35" s="447" t="s">
        <v>1966</v>
      </c>
      <c r="R35" s="424"/>
    </row>
    <row r="36" spans="1:18" s="441" customFormat="1" ht="22.5" customHeight="1">
      <c r="A36" s="419" t="s">
        <v>1936</v>
      </c>
      <c r="B36" s="419">
        <v>31</v>
      </c>
      <c r="C36" s="420">
        <v>10870</v>
      </c>
      <c r="D36" s="421" t="s">
        <v>1937</v>
      </c>
      <c r="E36" s="438"/>
      <c r="F36" s="424"/>
      <c r="G36" s="422" t="s">
        <v>1938</v>
      </c>
      <c r="H36" s="424" t="s">
        <v>1944</v>
      </c>
      <c r="I36" s="424" t="s">
        <v>1861</v>
      </c>
      <c r="J36" s="448">
        <v>1</v>
      </c>
      <c r="K36" s="439"/>
      <c r="L36" s="446">
        <v>90000</v>
      </c>
      <c r="M36" s="428">
        <f t="shared" si="0"/>
        <v>90000</v>
      </c>
      <c r="N36" s="429"/>
      <c r="O36" s="430"/>
      <c r="P36" s="440"/>
      <c r="Q36" s="435" t="s">
        <v>1967</v>
      </c>
      <c r="R36" s="424"/>
    </row>
    <row r="37" spans="1:18" s="441" customFormat="1" ht="22.5" customHeight="1">
      <c r="A37" s="419" t="s">
        <v>1936</v>
      </c>
      <c r="B37" s="419">
        <v>32</v>
      </c>
      <c r="C37" s="420">
        <v>10870</v>
      </c>
      <c r="D37" s="421" t="s">
        <v>1937</v>
      </c>
      <c r="E37" s="438"/>
      <c r="F37" s="424"/>
      <c r="G37" s="422" t="s">
        <v>1938</v>
      </c>
      <c r="H37" s="424" t="s">
        <v>1944</v>
      </c>
      <c r="I37" s="424" t="s">
        <v>1898</v>
      </c>
      <c r="J37" s="448">
        <v>1</v>
      </c>
      <c r="K37" s="439"/>
      <c r="L37" s="446">
        <v>10000</v>
      </c>
      <c r="M37" s="428">
        <f t="shared" si="0"/>
        <v>10000</v>
      </c>
      <c r="N37" s="429"/>
      <c r="O37" s="430"/>
      <c r="P37" s="440"/>
      <c r="Q37" s="435" t="s">
        <v>1968</v>
      </c>
      <c r="R37" s="424"/>
    </row>
    <row r="38" spans="1:18" s="441" customFormat="1" ht="22.5" customHeight="1">
      <c r="A38" s="419" t="s">
        <v>1936</v>
      </c>
      <c r="B38" s="419">
        <v>33</v>
      </c>
      <c r="C38" s="420">
        <v>10870</v>
      </c>
      <c r="D38" s="421" t="s">
        <v>1937</v>
      </c>
      <c r="E38" s="438"/>
      <c r="F38" s="424"/>
      <c r="G38" s="422" t="s">
        <v>1938</v>
      </c>
      <c r="H38" s="424" t="s">
        <v>1944</v>
      </c>
      <c r="I38" s="424" t="s">
        <v>1899</v>
      </c>
      <c r="J38" s="448">
        <v>1</v>
      </c>
      <c r="K38" s="439"/>
      <c r="L38" s="446">
        <v>10000</v>
      </c>
      <c r="M38" s="428">
        <f t="shared" si="0"/>
        <v>10000</v>
      </c>
      <c r="N38" s="429"/>
      <c r="O38" s="430"/>
      <c r="P38" s="440"/>
      <c r="Q38" s="435" t="s">
        <v>1969</v>
      </c>
      <c r="R38" s="424"/>
    </row>
    <row r="39" spans="1:18" s="441" customFormat="1" ht="22.5" customHeight="1">
      <c r="A39" s="419" t="s">
        <v>1936</v>
      </c>
      <c r="B39" s="419">
        <v>34</v>
      </c>
      <c r="C39" s="420">
        <v>10870</v>
      </c>
      <c r="D39" s="421" t="s">
        <v>1937</v>
      </c>
      <c r="E39" s="438"/>
      <c r="F39" s="424"/>
      <c r="G39" s="422" t="s">
        <v>1938</v>
      </c>
      <c r="H39" s="424" t="s">
        <v>1944</v>
      </c>
      <c r="I39" s="424" t="s">
        <v>1862</v>
      </c>
      <c r="J39" s="448">
        <v>1</v>
      </c>
      <c r="K39" s="439"/>
      <c r="L39" s="446">
        <v>8000</v>
      </c>
      <c r="M39" s="428">
        <f t="shared" si="0"/>
        <v>8000</v>
      </c>
      <c r="N39" s="429"/>
      <c r="O39" s="430"/>
      <c r="P39" s="440"/>
      <c r="Q39" s="435" t="s">
        <v>1970</v>
      </c>
      <c r="R39" s="424"/>
    </row>
    <row r="40" spans="1:18" s="441" customFormat="1" ht="22.5" customHeight="1">
      <c r="A40" s="419" t="s">
        <v>1936</v>
      </c>
      <c r="B40" s="419">
        <v>35</v>
      </c>
      <c r="C40" s="420">
        <v>10870</v>
      </c>
      <c r="D40" s="421" t="s">
        <v>1937</v>
      </c>
      <c r="E40" s="438"/>
      <c r="F40" s="424"/>
      <c r="G40" s="422" t="s">
        <v>1938</v>
      </c>
      <c r="H40" s="424" t="s">
        <v>1944</v>
      </c>
      <c r="I40" s="449" t="s">
        <v>1863</v>
      </c>
      <c r="J40" s="450">
        <v>5</v>
      </c>
      <c r="K40" s="439"/>
      <c r="L40" s="451">
        <v>6000</v>
      </c>
      <c r="M40" s="428">
        <f t="shared" si="0"/>
        <v>30000</v>
      </c>
      <c r="N40" s="429"/>
      <c r="O40" s="430"/>
      <c r="P40" s="440"/>
      <c r="Q40" s="452" t="s">
        <v>1971</v>
      </c>
      <c r="R40" s="424"/>
    </row>
    <row r="41" spans="1:18" s="441" customFormat="1" ht="22.5" customHeight="1">
      <c r="A41" s="419" t="s">
        <v>1936</v>
      </c>
      <c r="B41" s="419">
        <v>36</v>
      </c>
      <c r="C41" s="420">
        <v>10870</v>
      </c>
      <c r="D41" s="421" t="s">
        <v>1937</v>
      </c>
      <c r="E41" s="438"/>
      <c r="F41" s="424"/>
      <c r="G41" s="422" t="s">
        <v>1938</v>
      </c>
      <c r="H41" s="424" t="s">
        <v>1944</v>
      </c>
      <c r="I41" s="449" t="s">
        <v>1864</v>
      </c>
      <c r="J41" s="450">
        <v>5</v>
      </c>
      <c r="K41" s="439"/>
      <c r="L41" s="451">
        <v>2800</v>
      </c>
      <c r="M41" s="428">
        <f t="shared" si="0"/>
        <v>14000</v>
      </c>
      <c r="N41" s="429"/>
      <c r="O41" s="430"/>
      <c r="P41" s="440"/>
      <c r="Q41" s="452" t="s">
        <v>1972</v>
      </c>
      <c r="R41" s="424"/>
    </row>
    <row r="42" spans="1:18" s="441" customFormat="1" ht="22.5" customHeight="1">
      <c r="A42" s="419" t="s">
        <v>1936</v>
      </c>
      <c r="B42" s="419">
        <v>37</v>
      </c>
      <c r="C42" s="420">
        <v>10870</v>
      </c>
      <c r="D42" s="421" t="s">
        <v>1937</v>
      </c>
      <c r="E42" s="438"/>
      <c r="F42" s="424"/>
      <c r="G42" s="422" t="s">
        <v>1938</v>
      </c>
      <c r="H42" s="424" t="s">
        <v>1944</v>
      </c>
      <c r="I42" s="424" t="s">
        <v>1973</v>
      </c>
      <c r="J42" s="448">
        <v>1</v>
      </c>
      <c r="K42" s="439"/>
      <c r="L42" s="453">
        <v>150000</v>
      </c>
      <c r="M42" s="428">
        <f t="shared" si="0"/>
        <v>150000</v>
      </c>
      <c r="N42" s="429"/>
      <c r="O42" s="430"/>
      <c r="P42" s="440"/>
      <c r="Q42" s="435" t="s">
        <v>1974</v>
      </c>
      <c r="R42" s="424"/>
    </row>
    <row r="43" spans="1:18" s="441" customFormat="1" ht="22.5" customHeight="1">
      <c r="A43" s="419" t="s">
        <v>1936</v>
      </c>
      <c r="B43" s="419">
        <v>38</v>
      </c>
      <c r="C43" s="420">
        <v>10870</v>
      </c>
      <c r="D43" s="421" t="s">
        <v>1937</v>
      </c>
      <c r="E43" s="438"/>
      <c r="F43" s="424"/>
      <c r="G43" s="422" t="s">
        <v>1938</v>
      </c>
      <c r="H43" s="424" t="s">
        <v>1866</v>
      </c>
      <c r="I43" s="440" t="s">
        <v>1865</v>
      </c>
      <c r="J43" s="454">
        <v>1</v>
      </c>
      <c r="K43" s="439"/>
      <c r="L43" s="455">
        <v>56713</v>
      </c>
      <c r="M43" s="428">
        <f t="shared" si="0"/>
        <v>56713</v>
      </c>
      <c r="N43" s="429"/>
      <c r="O43" s="430"/>
      <c r="P43" s="440"/>
      <c r="Q43" s="456" t="s">
        <v>1975</v>
      </c>
      <c r="R43" s="424"/>
    </row>
    <row r="44" spans="1:18" s="441" customFormat="1" ht="22.5" customHeight="1">
      <c r="A44" s="419" t="s">
        <v>1936</v>
      </c>
      <c r="B44" s="419">
        <v>39</v>
      </c>
      <c r="C44" s="420">
        <v>10870</v>
      </c>
      <c r="D44" s="421" t="s">
        <v>1937</v>
      </c>
      <c r="E44" s="438"/>
      <c r="F44" s="424"/>
      <c r="G44" s="422" t="s">
        <v>1938</v>
      </c>
      <c r="H44" s="424" t="s">
        <v>1944</v>
      </c>
      <c r="I44" s="424" t="s">
        <v>1900</v>
      </c>
      <c r="J44" s="419">
        <v>1</v>
      </c>
      <c r="K44" s="439"/>
      <c r="L44" s="434">
        <v>16000</v>
      </c>
      <c r="M44" s="428">
        <f t="shared" si="0"/>
        <v>16000</v>
      </c>
      <c r="N44" s="429"/>
      <c r="O44" s="430"/>
      <c r="P44" s="440"/>
      <c r="Q44" s="435" t="s">
        <v>1967</v>
      </c>
      <c r="R44" s="424"/>
    </row>
    <row r="45" spans="1:18" s="441" customFormat="1" ht="22.5" customHeight="1">
      <c r="A45" s="419" t="s">
        <v>1936</v>
      </c>
      <c r="B45" s="419">
        <v>40</v>
      </c>
      <c r="C45" s="420">
        <v>10870</v>
      </c>
      <c r="D45" s="421" t="s">
        <v>1937</v>
      </c>
      <c r="E45" s="438"/>
      <c r="F45" s="424"/>
      <c r="G45" s="422" t="s">
        <v>1938</v>
      </c>
      <c r="H45" s="424" t="s">
        <v>1944</v>
      </c>
      <c r="I45" s="457" t="s">
        <v>1867</v>
      </c>
      <c r="J45" s="458">
        <v>2</v>
      </c>
      <c r="K45" s="439"/>
      <c r="L45" s="459">
        <v>5000</v>
      </c>
      <c r="M45" s="428">
        <f t="shared" si="0"/>
        <v>10000</v>
      </c>
      <c r="N45" s="429"/>
      <c r="O45" s="430"/>
      <c r="P45" s="440"/>
      <c r="Q45" s="460" t="s">
        <v>1976</v>
      </c>
      <c r="R45" s="424"/>
    </row>
    <row r="46" spans="1:18" s="441" customFormat="1" ht="22.5" customHeight="1">
      <c r="A46" s="419" t="s">
        <v>1936</v>
      </c>
      <c r="B46" s="419">
        <v>41</v>
      </c>
      <c r="C46" s="420">
        <v>10870</v>
      </c>
      <c r="D46" s="421" t="s">
        <v>1937</v>
      </c>
      <c r="E46" s="438"/>
      <c r="F46" s="424"/>
      <c r="G46" s="422" t="s">
        <v>1938</v>
      </c>
      <c r="H46" s="424" t="s">
        <v>1944</v>
      </c>
      <c r="I46" s="461" t="s">
        <v>1868</v>
      </c>
      <c r="J46" s="462">
        <v>2</v>
      </c>
      <c r="K46" s="439"/>
      <c r="L46" s="463">
        <v>52400</v>
      </c>
      <c r="M46" s="428">
        <f t="shared" si="0"/>
        <v>104800</v>
      </c>
      <c r="N46" s="429"/>
      <c r="O46" s="430"/>
      <c r="P46" s="440"/>
      <c r="Q46" s="464" t="s">
        <v>1977</v>
      </c>
      <c r="R46" s="424"/>
    </row>
    <row r="47" spans="1:18" s="441" customFormat="1" ht="22.5" customHeight="1">
      <c r="A47" s="419" t="s">
        <v>1936</v>
      </c>
      <c r="B47" s="419">
        <v>42</v>
      </c>
      <c r="C47" s="420">
        <v>10870</v>
      </c>
      <c r="D47" s="421" t="s">
        <v>1937</v>
      </c>
      <c r="E47" s="438"/>
      <c r="F47" s="424"/>
      <c r="G47" s="422" t="s">
        <v>1938</v>
      </c>
      <c r="H47" s="424" t="s">
        <v>1944</v>
      </c>
      <c r="I47" s="461" t="s">
        <v>1869</v>
      </c>
      <c r="J47" s="462">
        <v>1</v>
      </c>
      <c r="K47" s="439"/>
      <c r="L47" s="463">
        <v>50000</v>
      </c>
      <c r="M47" s="428">
        <f t="shared" si="0"/>
        <v>50000</v>
      </c>
      <c r="N47" s="429"/>
      <c r="O47" s="430"/>
      <c r="P47" s="440"/>
      <c r="Q47" s="464" t="s">
        <v>1978</v>
      </c>
      <c r="R47" s="424"/>
    </row>
    <row r="48" spans="1:18" s="441" customFormat="1" ht="22.5" customHeight="1">
      <c r="A48" s="419" t="s">
        <v>1936</v>
      </c>
      <c r="B48" s="419">
        <v>43</v>
      </c>
      <c r="C48" s="420">
        <v>10870</v>
      </c>
      <c r="D48" s="421" t="s">
        <v>1937</v>
      </c>
      <c r="E48" s="438"/>
      <c r="F48" s="424"/>
      <c r="G48" s="422" t="s">
        <v>1938</v>
      </c>
      <c r="H48" s="424" t="s">
        <v>1944</v>
      </c>
      <c r="I48" s="461" t="s">
        <v>1870</v>
      </c>
      <c r="J48" s="462">
        <v>1</v>
      </c>
      <c r="K48" s="439"/>
      <c r="L48" s="463">
        <v>25000</v>
      </c>
      <c r="M48" s="428">
        <f t="shared" si="0"/>
        <v>25000</v>
      </c>
      <c r="N48" s="429"/>
      <c r="O48" s="430"/>
      <c r="P48" s="440"/>
      <c r="Q48" s="464" t="s">
        <v>1979</v>
      </c>
      <c r="R48" s="424"/>
    </row>
    <row r="49" spans="1:18" s="441" customFormat="1" ht="37.5">
      <c r="A49" s="419" t="s">
        <v>1936</v>
      </c>
      <c r="B49" s="419">
        <v>44</v>
      </c>
      <c r="C49" s="420">
        <v>10870</v>
      </c>
      <c r="D49" s="421" t="s">
        <v>1937</v>
      </c>
      <c r="E49" s="438"/>
      <c r="F49" s="424"/>
      <c r="G49" s="422" t="s">
        <v>1938</v>
      </c>
      <c r="H49" s="424" t="s">
        <v>1944</v>
      </c>
      <c r="I49" s="461" t="s">
        <v>1871</v>
      </c>
      <c r="J49" s="462">
        <v>1</v>
      </c>
      <c r="K49" s="439"/>
      <c r="L49" s="463">
        <v>20000</v>
      </c>
      <c r="M49" s="428">
        <f t="shared" si="0"/>
        <v>20000</v>
      </c>
      <c r="N49" s="429"/>
      <c r="O49" s="430"/>
      <c r="P49" s="440"/>
      <c r="Q49" s="464" t="s">
        <v>1980</v>
      </c>
      <c r="R49" s="424"/>
    </row>
    <row r="50" spans="1:18" s="441" customFormat="1" ht="37.5">
      <c r="A50" s="419" t="s">
        <v>1936</v>
      </c>
      <c r="B50" s="419">
        <v>45</v>
      </c>
      <c r="C50" s="420">
        <v>10870</v>
      </c>
      <c r="D50" s="421" t="s">
        <v>1937</v>
      </c>
      <c r="E50" s="438"/>
      <c r="F50" s="424"/>
      <c r="G50" s="422" t="s">
        <v>1938</v>
      </c>
      <c r="H50" s="424" t="s">
        <v>1866</v>
      </c>
      <c r="I50" s="461" t="s">
        <v>1872</v>
      </c>
      <c r="J50" s="462">
        <v>1</v>
      </c>
      <c r="K50" s="439"/>
      <c r="L50" s="463">
        <v>50000</v>
      </c>
      <c r="M50" s="428">
        <f t="shared" si="0"/>
        <v>50000</v>
      </c>
      <c r="N50" s="429"/>
      <c r="O50" s="430"/>
      <c r="P50" s="440"/>
      <c r="Q50" s="464" t="s">
        <v>1981</v>
      </c>
      <c r="R50" s="424"/>
    </row>
    <row r="51" spans="1:18" s="441" customFormat="1" ht="37.5">
      <c r="A51" s="419" t="s">
        <v>1936</v>
      </c>
      <c r="B51" s="419">
        <v>46</v>
      </c>
      <c r="C51" s="420">
        <v>10870</v>
      </c>
      <c r="D51" s="421" t="s">
        <v>1937</v>
      </c>
      <c r="E51" s="438"/>
      <c r="F51" s="424"/>
      <c r="G51" s="422" t="s">
        <v>1982</v>
      </c>
      <c r="H51" s="424" t="s">
        <v>1944</v>
      </c>
      <c r="I51" s="461" t="s">
        <v>1873</v>
      </c>
      <c r="J51" s="462">
        <v>1</v>
      </c>
      <c r="K51" s="439"/>
      <c r="L51" s="465">
        <v>5000</v>
      </c>
      <c r="M51" s="428">
        <f t="shared" si="0"/>
        <v>5000</v>
      </c>
      <c r="N51" s="429"/>
      <c r="O51" s="430"/>
      <c r="P51" s="440"/>
      <c r="Q51" s="464" t="s">
        <v>1983</v>
      </c>
      <c r="R51" s="424"/>
    </row>
    <row r="52" spans="1:18" s="441" customFormat="1" ht="37.5">
      <c r="A52" s="419" t="s">
        <v>1936</v>
      </c>
      <c r="B52" s="419">
        <v>47</v>
      </c>
      <c r="C52" s="420">
        <v>10870</v>
      </c>
      <c r="D52" s="421" t="s">
        <v>1937</v>
      </c>
      <c r="E52" s="438"/>
      <c r="F52" s="424"/>
      <c r="G52" s="422" t="s">
        <v>1938</v>
      </c>
      <c r="H52" s="424" t="s">
        <v>1944</v>
      </c>
      <c r="I52" s="461" t="s">
        <v>1874</v>
      </c>
      <c r="J52" s="462">
        <v>1</v>
      </c>
      <c r="K52" s="439"/>
      <c r="L52" s="465">
        <v>16800</v>
      </c>
      <c r="M52" s="428">
        <f t="shared" si="0"/>
        <v>16800</v>
      </c>
      <c r="N52" s="429"/>
      <c r="O52" s="430"/>
      <c r="P52" s="440"/>
      <c r="Q52" s="464" t="s">
        <v>1984</v>
      </c>
      <c r="R52" s="424"/>
    </row>
    <row r="53" spans="1:18" s="441" customFormat="1" ht="37.5">
      <c r="A53" s="419" t="s">
        <v>1936</v>
      </c>
      <c r="B53" s="419">
        <v>48</v>
      </c>
      <c r="C53" s="420">
        <v>10870</v>
      </c>
      <c r="D53" s="421" t="s">
        <v>1937</v>
      </c>
      <c r="E53" s="438"/>
      <c r="F53" s="424"/>
      <c r="G53" s="422" t="s">
        <v>1938</v>
      </c>
      <c r="H53" s="424" t="s">
        <v>1944</v>
      </c>
      <c r="I53" s="461" t="s">
        <v>1875</v>
      </c>
      <c r="J53" s="462">
        <v>1</v>
      </c>
      <c r="K53" s="439"/>
      <c r="L53" s="465">
        <v>22000</v>
      </c>
      <c r="M53" s="428">
        <f t="shared" si="0"/>
        <v>22000</v>
      </c>
      <c r="N53" s="429"/>
      <c r="O53" s="430"/>
      <c r="P53" s="440"/>
      <c r="Q53" s="464" t="s">
        <v>1985</v>
      </c>
      <c r="R53" s="424"/>
    </row>
    <row r="54" spans="1:18" s="441" customFormat="1" ht="37.5">
      <c r="A54" s="419" t="s">
        <v>1936</v>
      </c>
      <c r="B54" s="419">
        <v>49</v>
      </c>
      <c r="C54" s="420">
        <v>10870</v>
      </c>
      <c r="D54" s="421" t="s">
        <v>1937</v>
      </c>
      <c r="E54" s="438"/>
      <c r="F54" s="424"/>
      <c r="G54" s="422" t="s">
        <v>1982</v>
      </c>
      <c r="H54" s="424" t="s">
        <v>1944</v>
      </c>
      <c r="I54" s="461" t="s">
        <v>1876</v>
      </c>
      <c r="J54" s="462">
        <v>1</v>
      </c>
      <c r="K54" s="439"/>
      <c r="L54" s="465">
        <v>7000</v>
      </c>
      <c r="M54" s="428">
        <f t="shared" si="0"/>
        <v>7000</v>
      </c>
      <c r="N54" s="429"/>
      <c r="O54" s="430"/>
      <c r="P54" s="440"/>
      <c r="Q54" s="464" t="s">
        <v>1986</v>
      </c>
      <c r="R54" s="424"/>
    </row>
    <row r="55" spans="1:18" s="441" customFormat="1" ht="37.5">
      <c r="A55" s="419" t="s">
        <v>1936</v>
      </c>
      <c r="B55" s="419">
        <v>50</v>
      </c>
      <c r="C55" s="420">
        <v>10870</v>
      </c>
      <c r="D55" s="421" t="s">
        <v>1937</v>
      </c>
      <c r="E55" s="438"/>
      <c r="F55" s="424"/>
      <c r="G55" s="422" t="s">
        <v>1938</v>
      </c>
      <c r="H55" s="424" t="s">
        <v>1944</v>
      </c>
      <c r="I55" s="461" t="s">
        <v>1877</v>
      </c>
      <c r="J55" s="462">
        <v>1</v>
      </c>
      <c r="K55" s="439"/>
      <c r="L55" s="465">
        <v>35000</v>
      </c>
      <c r="M55" s="428">
        <f t="shared" si="0"/>
        <v>35000</v>
      </c>
      <c r="N55" s="429"/>
      <c r="O55" s="430"/>
      <c r="P55" s="440"/>
      <c r="Q55" s="464" t="s">
        <v>1987</v>
      </c>
      <c r="R55" s="424"/>
    </row>
    <row r="56" spans="1:18" s="477" customFormat="1" ht="37.5">
      <c r="A56" s="426" t="s">
        <v>1936</v>
      </c>
      <c r="B56" s="426">
        <v>51</v>
      </c>
      <c r="C56" s="466">
        <v>10870</v>
      </c>
      <c r="D56" s="467" t="s">
        <v>1937</v>
      </c>
      <c r="E56" s="468"/>
      <c r="F56" s="425"/>
      <c r="G56" s="469" t="s">
        <v>1938</v>
      </c>
      <c r="H56" s="425" t="s">
        <v>1944</v>
      </c>
      <c r="I56" s="470" t="s">
        <v>1878</v>
      </c>
      <c r="J56" s="471">
        <v>1</v>
      </c>
      <c r="K56" s="450"/>
      <c r="L56" s="472">
        <v>18700</v>
      </c>
      <c r="M56" s="473">
        <v>18700</v>
      </c>
      <c r="N56" s="474"/>
      <c r="O56" s="475"/>
      <c r="P56" s="449"/>
      <c r="Q56" s="476" t="s">
        <v>1988</v>
      </c>
      <c r="R56" s="425"/>
    </row>
    <row r="57" spans="1:18" s="441" customFormat="1" ht="37.5">
      <c r="A57" s="419" t="s">
        <v>1936</v>
      </c>
      <c r="B57" s="419">
        <v>52</v>
      </c>
      <c r="C57" s="420">
        <v>10870</v>
      </c>
      <c r="D57" s="421" t="s">
        <v>1937</v>
      </c>
      <c r="E57" s="438"/>
      <c r="F57" s="424"/>
      <c r="G57" s="422" t="s">
        <v>1938</v>
      </c>
      <c r="H57" s="424" t="s">
        <v>1944</v>
      </c>
      <c r="I57" s="449" t="s">
        <v>1861</v>
      </c>
      <c r="J57" s="478">
        <v>1</v>
      </c>
      <c r="K57" s="439"/>
      <c r="L57" s="479">
        <v>22500</v>
      </c>
      <c r="M57" s="428">
        <f t="shared" si="0"/>
        <v>22500</v>
      </c>
      <c r="N57" s="429"/>
      <c r="O57" s="430"/>
      <c r="P57" s="440"/>
      <c r="Q57" s="435" t="s">
        <v>1967</v>
      </c>
      <c r="R57" s="424"/>
    </row>
    <row r="58" spans="1:18" s="441" customFormat="1" ht="37.5">
      <c r="A58" s="419" t="s">
        <v>1936</v>
      </c>
      <c r="B58" s="419">
        <v>53</v>
      </c>
      <c r="C58" s="420">
        <v>10870</v>
      </c>
      <c r="D58" s="421" t="s">
        <v>1937</v>
      </c>
      <c r="E58" s="438"/>
      <c r="F58" s="424"/>
      <c r="G58" s="422" t="s">
        <v>1938</v>
      </c>
      <c r="H58" s="424" t="s">
        <v>1944</v>
      </c>
      <c r="I58" s="449" t="s">
        <v>1898</v>
      </c>
      <c r="J58" s="478">
        <v>1</v>
      </c>
      <c r="K58" s="439"/>
      <c r="L58" s="480">
        <v>10000</v>
      </c>
      <c r="M58" s="428">
        <f t="shared" si="0"/>
        <v>10000</v>
      </c>
      <c r="N58" s="429"/>
      <c r="O58" s="430"/>
      <c r="P58" s="440"/>
      <c r="Q58" s="435" t="s">
        <v>1989</v>
      </c>
      <c r="R58" s="424"/>
    </row>
    <row r="59" spans="1:18" s="441" customFormat="1" ht="37.5">
      <c r="A59" s="419" t="s">
        <v>1936</v>
      </c>
      <c r="B59" s="419">
        <v>54</v>
      </c>
      <c r="C59" s="420">
        <v>10870</v>
      </c>
      <c r="D59" s="421" t="s">
        <v>1937</v>
      </c>
      <c r="E59" s="438"/>
      <c r="F59" s="424"/>
      <c r="G59" s="422" t="s">
        <v>1938</v>
      </c>
      <c r="H59" s="424" t="s">
        <v>1944</v>
      </c>
      <c r="I59" s="449" t="s">
        <v>1899</v>
      </c>
      <c r="J59" s="478">
        <v>1</v>
      </c>
      <c r="K59" s="439"/>
      <c r="L59" s="480">
        <v>10000</v>
      </c>
      <c r="M59" s="428">
        <f t="shared" si="0"/>
        <v>10000</v>
      </c>
      <c r="N59" s="429"/>
      <c r="O59" s="430"/>
      <c r="P59" s="440"/>
      <c r="Q59" s="435" t="s">
        <v>1990</v>
      </c>
      <c r="R59" s="424"/>
    </row>
    <row r="60" spans="1:18" s="441" customFormat="1" ht="37.5">
      <c r="A60" s="419" t="s">
        <v>1936</v>
      </c>
      <c r="B60" s="419">
        <v>55</v>
      </c>
      <c r="C60" s="420">
        <v>10870</v>
      </c>
      <c r="D60" s="421" t="s">
        <v>1937</v>
      </c>
      <c r="E60" s="438"/>
      <c r="F60" s="424"/>
      <c r="G60" s="422" t="s">
        <v>1938</v>
      </c>
      <c r="H60" s="424" t="s">
        <v>1944</v>
      </c>
      <c r="I60" s="449" t="s">
        <v>1862</v>
      </c>
      <c r="J60" s="478">
        <v>1</v>
      </c>
      <c r="K60" s="439"/>
      <c r="L60" s="480">
        <v>8000</v>
      </c>
      <c r="M60" s="428">
        <f t="shared" si="0"/>
        <v>8000</v>
      </c>
      <c r="N60" s="429"/>
      <c r="O60" s="430"/>
      <c r="P60" s="440"/>
      <c r="Q60" s="435" t="s">
        <v>1991</v>
      </c>
      <c r="R60" s="424"/>
    </row>
    <row r="61" spans="1:18" s="441" customFormat="1" ht="37.5">
      <c r="A61" s="419" t="s">
        <v>1936</v>
      </c>
      <c r="B61" s="419">
        <v>56</v>
      </c>
      <c r="C61" s="420">
        <v>10870</v>
      </c>
      <c r="D61" s="421" t="s">
        <v>1937</v>
      </c>
      <c r="E61" s="438"/>
      <c r="F61" s="424"/>
      <c r="G61" s="422" t="s">
        <v>1938</v>
      </c>
      <c r="H61" s="424" t="s">
        <v>1944</v>
      </c>
      <c r="I61" s="424" t="s">
        <v>1901</v>
      </c>
      <c r="J61" s="448">
        <v>1</v>
      </c>
      <c r="K61" s="439"/>
      <c r="L61" s="481">
        <v>3500</v>
      </c>
      <c r="M61" s="428">
        <f t="shared" si="0"/>
        <v>3500</v>
      </c>
      <c r="N61" s="429"/>
      <c r="O61" s="430"/>
      <c r="P61" s="440"/>
      <c r="Q61" s="435" t="s">
        <v>1992</v>
      </c>
      <c r="R61" s="424"/>
    </row>
    <row r="62" spans="1:18" s="441" customFormat="1" ht="37.5">
      <c r="A62" s="419" t="s">
        <v>1936</v>
      </c>
      <c r="B62" s="419">
        <v>57</v>
      </c>
      <c r="C62" s="420">
        <v>10870</v>
      </c>
      <c r="D62" s="421" t="s">
        <v>1937</v>
      </c>
      <c r="E62" s="438"/>
      <c r="F62" s="424"/>
      <c r="G62" s="422" t="s">
        <v>1938</v>
      </c>
      <c r="H62" s="424" t="s">
        <v>1944</v>
      </c>
      <c r="I62" s="424" t="s">
        <v>1902</v>
      </c>
      <c r="J62" s="448">
        <v>1</v>
      </c>
      <c r="K62" s="439"/>
      <c r="L62" s="481">
        <v>2500</v>
      </c>
      <c r="M62" s="428">
        <f t="shared" si="0"/>
        <v>2500</v>
      </c>
      <c r="N62" s="429"/>
      <c r="O62" s="430"/>
      <c r="P62" s="440"/>
      <c r="Q62" s="435" t="s">
        <v>1993</v>
      </c>
      <c r="R62" s="424"/>
    </row>
    <row r="63" spans="1:18" s="441" customFormat="1" ht="37.5">
      <c r="A63" s="419" t="s">
        <v>1936</v>
      </c>
      <c r="B63" s="419">
        <v>58</v>
      </c>
      <c r="C63" s="420">
        <v>10870</v>
      </c>
      <c r="D63" s="421" t="s">
        <v>1937</v>
      </c>
      <c r="E63" s="438"/>
      <c r="F63" s="424"/>
      <c r="G63" s="422" t="s">
        <v>1938</v>
      </c>
      <c r="H63" s="424" t="s">
        <v>1944</v>
      </c>
      <c r="I63" s="424" t="s">
        <v>1903</v>
      </c>
      <c r="J63" s="448">
        <v>1</v>
      </c>
      <c r="K63" s="439"/>
      <c r="L63" s="481">
        <v>2500</v>
      </c>
      <c r="M63" s="428">
        <f t="shared" si="0"/>
        <v>2500</v>
      </c>
      <c r="N63" s="429"/>
      <c r="O63" s="430"/>
      <c r="P63" s="440"/>
      <c r="Q63" s="435" t="s">
        <v>1994</v>
      </c>
      <c r="R63" s="424"/>
    </row>
    <row r="64" spans="1:18" s="441" customFormat="1" ht="37.5">
      <c r="A64" s="419" t="s">
        <v>1936</v>
      </c>
      <c r="B64" s="419">
        <v>59</v>
      </c>
      <c r="C64" s="420">
        <v>10870</v>
      </c>
      <c r="D64" s="421" t="s">
        <v>1937</v>
      </c>
      <c r="E64" s="438"/>
      <c r="F64" s="424"/>
      <c r="G64" s="422" t="s">
        <v>1938</v>
      </c>
      <c r="H64" s="424" t="s">
        <v>1944</v>
      </c>
      <c r="I64" s="424" t="s">
        <v>1904</v>
      </c>
      <c r="J64" s="448">
        <v>1</v>
      </c>
      <c r="K64" s="439"/>
      <c r="L64" s="481">
        <v>10000</v>
      </c>
      <c r="M64" s="428">
        <f t="shared" si="0"/>
        <v>10000</v>
      </c>
      <c r="N64" s="429"/>
      <c r="O64" s="430"/>
      <c r="P64" s="440"/>
      <c r="Q64" s="435" t="s">
        <v>1995</v>
      </c>
      <c r="R64" s="424"/>
    </row>
    <row r="65" spans="1:18" s="441" customFormat="1" ht="56.25">
      <c r="A65" s="419" t="s">
        <v>1936</v>
      </c>
      <c r="B65" s="419">
        <v>60</v>
      </c>
      <c r="C65" s="420">
        <v>10870</v>
      </c>
      <c r="D65" s="421" t="s">
        <v>1937</v>
      </c>
      <c r="E65" s="438"/>
      <c r="F65" s="424"/>
      <c r="G65" s="422" t="s">
        <v>1938</v>
      </c>
      <c r="H65" s="424" t="s">
        <v>1944</v>
      </c>
      <c r="I65" s="424" t="s">
        <v>1905</v>
      </c>
      <c r="J65" s="448">
        <v>1</v>
      </c>
      <c r="K65" s="439"/>
      <c r="L65" s="481">
        <v>10000</v>
      </c>
      <c r="M65" s="428">
        <f t="shared" si="0"/>
        <v>10000</v>
      </c>
      <c r="N65" s="429"/>
      <c r="O65" s="430"/>
      <c r="P65" s="440"/>
      <c r="Q65" s="435" t="s">
        <v>1996</v>
      </c>
      <c r="R65" s="424"/>
    </row>
    <row r="66" spans="1:18" s="441" customFormat="1" ht="56.25">
      <c r="A66" s="419" t="s">
        <v>1936</v>
      </c>
      <c r="B66" s="419">
        <v>61</v>
      </c>
      <c r="C66" s="420">
        <v>10870</v>
      </c>
      <c r="D66" s="421" t="s">
        <v>1937</v>
      </c>
      <c r="E66" s="438"/>
      <c r="F66" s="424"/>
      <c r="G66" s="422" t="s">
        <v>1938</v>
      </c>
      <c r="H66" s="424" t="s">
        <v>1944</v>
      </c>
      <c r="I66" s="424" t="s">
        <v>1906</v>
      </c>
      <c r="J66" s="448">
        <v>1</v>
      </c>
      <c r="K66" s="439"/>
      <c r="L66" s="446">
        <v>5000</v>
      </c>
      <c r="M66" s="428">
        <f t="shared" si="0"/>
        <v>5000</v>
      </c>
      <c r="N66" s="429"/>
      <c r="O66" s="430"/>
      <c r="P66" s="440"/>
      <c r="Q66" s="435" t="s">
        <v>1997</v>
      </c>
      <c r="R66" s="424"/>
    </row>
    <row r="67" spans="1:18" s="441" customFormat="1" ht="37.5">
      <c r="A67" s="419" t="s">
        <v>1936</v>
      </c>
      <c r="B67" s="419">
        <v>62</v>
      </c>
      <c r="C67" s="420">
        <v>10870</v>
      </c>
      <c r="D67" s="421" t="s">
        <v>1937</v>
      </c>
      <c r="E67" s="438"/>
      <c r="F67" s="424"/>
      <c r="G67" s="424" t="s">
        <v>1998</v>
      </c>
      <c r="H67" s="424" t="s">
        <v>1944</v>
      </c>
      <c r="I67" s="424" t="s">
        <v>1907</v>
      </c>
      <c r="J67" s="448">
        <v>1</v>
      </c>
      <c r="K67" s="439"/>
      <c r="L67" s="481">
        <v>7700</v>
      </c>
      <c r="M67" s="428">
        <f t="shared" si="0"/>
        <v>7700</v>
      </c>
      <c r="N67" s="429"/>
      <c r="O67" s="430"/>
      <c r="P67" s="440"/>
      <c r="Q67" s="435" t="s">
        <v>1999</v>
      </c>
      <c r="R67" s="424"/>
    </row>
    <row r="68" spans="1:18" s="441" customFormat="1" ht="37.5">
      <c r="A68" s="419" t="s">
        <v>1936</v>
      </c>
      <c r="B68" s="419">
        <v>63</v>
      </c>
      <c r="C68" s="420">
        <v>10870</v>
      </c>
      <c r="D68" s="421" t="s">
        <v>1937</v>
      </c>
      <c r="E68" s="438"/>
      <c r="F68" s="424"/>
      <c r="G68" s="422" t="s">
        <v>2000</v>
      </c>
      <c r="H68" s="424" t="s">
        <v>1944</v>
      </c>
      <c r="I68" s="425" t="s">
        <v>1879</v>
      </c>
      <c r="J68" s="448">
        <v>2</v>
      </c>
      <c r="K68" s="439"/>
      <c r="L68" s="481">
        <v>3000</v>
      </c>
      <c r="M68" s="428">
        <f t="shared" si="0"/>
        <v>6000</v>
      </c>
      <c r="N68" s="429"/>
      <c r="O68" s="430"/>
      <c r="P68" s="440"/>
      <c r="Q68" s="435" t="s">
        <v>2001</v>
      </c>
      <c r="R68" s="424"/>
    </row>
    <row r="69" spans="1:18" s="441" customFormat="1" ht="37.5">
      <c r="A69" s="419" t="s">
        <v>1936</v>
      </c>
      <c r="B69" s="419">
        <v>64</v>
      </c>
      <c r="C69" s="420">
        <v>10870</v>
      </c>
      <c r="D69" s="421" t="s">
        <v>1937</v>
      </c>
      <c r="E69" s="438"/>
      <c r="F69" s="424"/>
      <c r="G69" s="422" t="s">
        <v>2000</v>
      </c>
      <c r="H69" s="424" t="s">
        <v>1944</v>
      </c>
      <c r="I69" s="424" t="s">
        <v>1908</v>
      </c>
      <c r="J69" s="448">
        <v>1</v>
      </c>
      <c r="K69" s="439"/>
      <c r="L69" s="481">
        <v>3000</v>
      </c>
      <c r="M69" s="428">
        <f t="shared" si="0"/>
        <v>3000</v>
      </c>
      <c r="N69" s="429"/>
      <c r="O69" s="430"/>
      <c r="P69" s="440"/>
      <c r="Q69" s="435" t="s">
        <v>2002</v>
      </c>
      <c r="R69" s="424"/>
    </row>
    <row r="70" spans="1:18" s="441" customFormat="1" ht="37.5">
      <c r="A70" s="419" t="s">
        <v>1936</v>
      </c>
      <c r="B70" s="419">
        <v>65</v>
      </c>
      <c r="C70" s="420">
        <v>10870</v>
      </c>
      <c r="D70" s="421" t="s">
        <v>1937</v>
      </c>
      <c r="E70" s="438"/>
      <c r="F70" s="424"/>
      <c r="G70" s="422" t="s">
        <v>1982</v>
      </c>
      <c r="H70" s="424" t="s">
        <v>1944</v>
      </c>
      <c r="I70" s="424" t="s">
        <v>1880</v>
      </c>
      <c r="J70" s="448">
        <v>1</v>
      </c>
      <c r="K70" s="439"/>
      <c r="L70" s="446">
        <v>10000</v>
      </c>
      <c r="M70" s="428">
        <f t="shared" si="0"/>
        <v>10000</v>
      </c>
      <c r="N70" s="429"/>
      <c r="O70" s="430"/>
      <c r="P70" s="440"/>
      <c r="Q70" s="435" t="s">
        <v>2003</v>
      </c>
      <c r="R70" s="424"/>
    </row>
    <row r="71" spans="1:18" s="441" customFormat="1" ht="37.5">
      <c r="A71" s="419" t="s">
        <v>1936</v>
      </c>
      <c r="B71" s="419">
        <v>66</v>
      </c>
      <c r="C71" s="420">
        <v>10870</v>
      </c>
      <c r="D71" s="421" t="s">
        <v>1937</v>
      </c>
      <c r="E71" s="438"/>
      <c r="F71" s="424"/>
      <c r="G71" s="422" t="s">
        <v>1982</v>
      </c>
      <c r="H71" s="424" t="s">
        <v>1944</v>
      </c>
      <c r="I71" s="424" t="s">
        <v>1881</v>
      </c>
      <c r="J71" s="448">
        <v>1</v>
      </c>
      <c r="K71" s="439"/>
      <c r="L71" s="446">
        <v>13000</v>
      </c>
      <c r="M71" s="428">
        <f aca="true" t="shared" si="1" ref="M71:M109">J71*L71</f>
        <v>13000</v>
      </c>
      <c r="N71" s="429"/>
      <c r="O71" s="430"/>
      <c r="P71" s="440"/>
      <c r="Q71" s="435" t="s">
        <v>2004</v>
      </c>
      <c r="R71" s="424"/>
    </row>
    <row r="72" spans="1:18" s="441" customFormat="1" ht="37.5">
      <c r="A72" s="419" t="s">
        <v>1936</v>
      </c>
      <c r="B72" s="419">
        <v>67</v>
      </c>
      <c r="C72" s="420">
        <v>10870</v>
      </c>
      <c r="D72" s="421" t="s">
        <v>1937</v>
      </c>
      <c r="E72" s="438"/>
      <c r="F72" s="424"/>
      <c r="G72" s="422" t="s">
        <v>1982</v>
      </c>
      <c r="H72" s="424" t="s">
        <v>1944</v>
      </c>
      <c r="I72" s="424" t="s">
        <v>1882</v>
      </c>
      <c r="J72" s="448">
        <v>1</v>
      </c>
      <c r="K72" s="439"/>
      <c r="L72" s="446">
        <v>13000</v>
      </c>
      <c r="M72" s="428">
        <f t="shared" si="1"/>
        <v>13000</v>
      </c>
      <c r="N72" s="429"/>
      <c r="O72" s="430"/>
      <c r="P72" s="440"/>
      <c r="Q72" s="435" t="s">
        <v>2005</v>
      </c>
      <c r="R72" s="424"/>
    </row>
    <row r="73" spans="1:18" s="441" customFormat="1" ht="37.5">
      <c r="A73" s="419" t="s">
        <v>1936</v>
      </c>
      <c r="B73" s="419">
        <v>68</v>
      </c>
      <c r="C73" s="420">
        <v>10870</v>
      </c>
      <c r="D73" s="421" t="s">
        <v>1937</v>
      </c>
      <c r="E73" s="438"/>
      <c r="F73" s="424"/>
      <c r="G73" s="422" t="s">
        <v>1938</v>
      </c>
      <c r="H73" s="424" t="s">
        <v>1944</v>
      </c>
      <c r="I73" s="425" t="s">
        <v>1883</v>
      </c>
      <c r="J73" s="482">
        <v>1</v>
      </c>
      <c r="K73" s="439"/>
      <c r="L73" s="483">
        <v>175200</v>
      </c>
      <c r="M73" s="428">
        <f>J73*L73</f>
        <v>175200</v>
      </c>
      <c r="N73" s="429"/>
      <c r="O73" s="430"/>
      <c r="P73" s="440"/>
      <c r="Q73" s="431" t="s">
        <v>2006</v>
      </c>
      <c r="R73" s="424"/>
    </row>
    <row r="74" spans="1:18" s="441" customFormat="1" ht="56.25">
      <c r="A74" s="419" t="s">
        <v>1936</v>
      </c>
      <c r="B74" s="419">
        <v>69</v>
      </c>
      <c r="C74" s="420">
        <v>10870</v>
      </c>
      <c r="D74" s="421" t="s">
        <v>1937</v>
      </c>
      <c r="E74" s="438"/>
      <c r="F74" s="424"/>
      <c r="G74" s="424" t="s">
        <v>1998</v>
      </c>
      <c r="H74" s="424" t="s">
        <v>1944</v>
      </c>
      <c r="I74" s="424" t="s">
        <v>1909</v>
      </c>
      <c r="J74" s="448">
        <v>2</v>
      </c>
      <c r="K74" s="439"/>
      <c r="L74" s="446">
        <v>4500</v>
      </c>
      <c r="M74" s="428">
        <f t="shared" si="1"/>
        <v>9000</v>
      </c>
      <c r="N74" s="429"/>
      <c r="O74" s="430"/>
      <c r="P74" s="440"/>
      <c r="Q74" s="435" t="s">
        <v>2007</v>
      </c>
      <c r="R74" s="424"/>
    </row>
    <row r="75" spans="1:18" s="441" customFormat="1" ht="75">
      <c r="A75" s="419" t="s">
        <v>1936</v>
      </c>
      <c r="B75" s="419">
        <v>70</v>
      </c>
      <c r="C75" s="420">
        <v>10870</v>
      </c>
      <c r="D75" s="421" t="s">
        <v>1937</v>
      </c>
      <c r="E75" s="438"/>
      <c r="F75" s="424"/>
      <c r="G75" s="424" t="s">
        <v>1998</v>
      </c>
      <c r="H75" s="424" t="s">
        <v>1944</v>
      </c>
      <c r="I75" s="424" t="s">
        <v>1910</v>
      </c>
      <c r="J75" s="448">
        <v>3</v>
      </c>
      <c r="K75" s="439"/>
      <c r="L75" s="446">
        <v>2500</v>
      </c>
      <c r="M75" s="428">
        <f>J75*L75</f>
        <v>7500</v>
      </c>
      <c r="N75" s="429"/>
      <c r="O75" s="430"/>
      <c r="P75" s="440"/>
      <c r="Q75" s="435" t="s">
        <v>2008</v>
      </c>
      <c r="R75" s="424"/>
    </row>
    <row r="76" spans="1:18" s="441" customFormat="1" ht="37.5">
      <c r="A76" s="419" t="s">
        <v>1936</v>
      </c>
      <c r="B76" s="419">
        <v>71</v>
      </c>
      <c r="C76" s="420">
        <v>10870</v>
      </c>
      <c r="D76" s="421" t="s">
        <v>1937</v>
      </c>
      <c r="E76" s="438"/>
      <c r="F76" s="424"/>
      <c r="G76" s="424" t="s">
        <v>1998</v>
      </c>
      <c r="H76" s="424" t="s">
        <v>1944</v>
      </c>
      <c r="I76" s="424" t="s">
        <v>1911</v>
      </c>
      <c r="J76" s="448">
        <v>1</v>
      </c>
      <c r="K76" s="439"/>
      <c r="L76" s="446">
        <v>3000</v>
      </c>
      <c r="M76" s="428">
        <f t="shared" si="1"/>
        <v>3000</v>
      </c>
      <c r="N76" s="429"/>
      <c r="O76" s="430"/>
      <c r="P76" s="440"/>
      <c r="Q76" s="435" t="s">
        <v>2009</v>
      </c>
      <c r="R76" s="424"/>
    </row>
    <row r="77" spans="1:18" s="441" customFormat="1" ht="37.5">
      <c r="A77" s="419" t="s">
        <v>1936</v>
      </c>
      <c r="B77" s="419">
        <v>72</v>
      </c>
      <c r="C77" s="420">
        <v>10870</v>
      </c>
      <c r="D77" s="421" t="s">
        <v>1937</v>
      </c>
      <c r="E77" s="438"/>
      <c r="F77" s="424"/>
      <c r="G77" s="424" t="s">
        <v>1998</v>
      </c>
      <c r="H77" s="424" t="s">
        <v>1944</v>
      </c>
      <c r="I77" s="424" t="s">
        <v>1912</v>
      </c>
      <c r="J77" s="448">
        <v>1</v>
      </c>
      <c r="K77" s="439"/>
      <c r="L77" s="446">
        <v>6500</v>
      </c>
      <c r="M77" s="428">
        <f t="shared" si="1"/>
        <v>6500</v>
      </c>
      <c r="N77" s="429"/>
      <c r="O77" s="430"/>
      <c r="P77" s="440"/>
      <c r="Q77" s="435" t="s">
        <v>2010</v>
      </c>
      <c r="R77" s="424"/>
    </row>
    <row r="78" spans="1:18" s="441" customFormat="1" ht="37.5">
      <c r="A78" s="419" t="s">
        <v>1936</v>
      </c>
      <c r="B78" s="419">
        <v>73</v>
      </c>
      <c r="C78" s="420">
        <v>10870</v>
      </c>
      <c r="D78" s="421" t="s">
        <v>1937</v>
      </c>
      <c r="E78" s="438"/>
      <c r="F78" s="424"/>
      <c r="G78" s="424" t="s">
        <v>2011</v>
      </c>
      <c r="H78" s="424" t="s">
        <v>1944</v>
      </c>
      <c r="I78" s="424" t="s">
        <v>1913</v>
      </c>
      <c r="J78" s="448">
        <v>1</v>
      </c>
      <c r="K78" s="439"/>
      <c r="L78" s="446">
        <v>11000</v>
      </c>
      <c r="M78" s="428">
        <f t="shared" si="1"/>
        <v>11000</v>
      </c>
      <c r="N78" s="429"/>
      <c r="O78" s="430"/>
      <c r="P78" s="440"/>
      <c r="Q78" s="435" t="s">
        <v>2012</v>
      </c>
      <c r="R78" s="424"/>
    </row>
    <row r="79" spans="1:18" s="441" customFormat="1" ht="37.5">
      <c r="A79" s="419" t="s">
        <v>1936</v>
      </c>
      <c r="B79" s="419">
        <v>74</v>
      </c>
      <c r="C79" s="420">
        <v>10870</v>
      </c>
      <c r="D79" s="421" t="s">
        <v>1937</v>
      </c>
      <c r="E79" s="438"/>
      <c r="F79" s="424"/>
      <c r="G79" s="424" t="s">
        <v>1938</v>
      </c>
      <c r="H79" s="424" t="s">
        <v>1944</v>
      </c>
      <c r="I79" s="425" t="s">
        <v>1884</v>
      </c>
      <c r="J79" s="482">
        <v>1</v>
      </c>
      <c r="K79" s="439"/>
      <c r="L79" s="483">
        <v>75000</v>
      </c>
      <c r="M79" s="428">
        <f t="shared" si="1"/>
        <v>75000</v>
      </c>
      <c r="N79" s="429"/>
      <c r="O79" s="430"/>
      <c r="P79" s="440"/>
      <c r="Q79" s="431" t="s">
        <v>2013</v>
      </c>
      <c r="R79" s="424"/>
    </row>
    <row r="80" spans="1:18" s="441" customFormat="1" ht="37.5">
      <c r="A80" s="419" t="s">
        <v>1936</v>
      </c>
      <c r="B80" s="419">
        <v>75</v>
      </c>
      <c r="C80" s="420">
        <v>10870</v>
      </c>
      <c r="D80" s="421" t="s">
        <v>1937</v>
      </c>
      <c r="E80" s="438"/>
      <c r="F80" s="424"/>
      <c r="G80" s="424" t="s">
        <v>1938</v>
      </c>
      <c r="H80" s="424" t="s">
        <v>1944</v>
      </c>
      <c r="I80" s="425" t="s">
        <v>1885</v>
      </c>
      <c r="J80" s="482">
        <v>1</v>
      </c>
      <c r="K80" s="439"/>
      <c r="L80" s="483">
        <v>22000</v>
      </c>
      <c r="M80" s="428">
        <f t="shared" si="1"/>
        <v>22000</v>
      </c>
      <c r="N80" s="429"/>
      <c r="O80" s="430"/>
      <c r="P80" s="440"/>
      <c r="Q80" s="431" t="s">
        <v>2014</v>
      </c>
      <c r="R80" s="424"/>
    </row>
    <row r="81" spans="1:18" s="441" customFormat="1" ht="37.5">
      <c r="A81" s="419" t="s">
        <v>1936</v>
      </c>
      <c r="B81" s="419">
        <v>76</v>
      </c>
      <c r="C81" s="420">
        <v>10870</v>
      </c>
      <c r="D81" s="421" t="s">
        <v>1937</v>
      </c>
      <c r="E81" s="438"/>
      <c r="F81" s="424"/>
      <c r="G81" s="424" t="s">
        <v>1938</v>
      </c>
      <c r="H81" s="424" t="s">
        <v>1944</v>
      </c>
      <c r="I81" s="425" t="s">
        <v>1886</v>
      </c>
      <c r="J81" s="482">
        <v>1</v>
      </c>
      <c r="K81" s="439"/>
      <c r="L81" s="483">
        <v>50000</v>
      </c>
      <c r="M81" s="428">
        <f t="shared" si="1"/>
        <v>50000</v>
      </c>
      <c r="N81" s="429"/>
      <c r="O81" s="430"/>
      <c r="P81" s="440"/>
      <c r="Q81" s="431" t="s">
        <v>2015</v>
      </c>
      <c r="R81" s="424"/>
    </row>
    <row r="82" spans="1:18" s="441" customFormat="1" ht="37.5">
      <c r="A82" s="419" t="s">
        <v>1936</v>
      </c>
      <c r="B82" s="419">
        <v>77</v>
      </c>
      <c r="C82" s="420">
        <v>10870</v>
      </c>
      <c r="D82" s="421" t="s">
        <v>1937</v>
      </c>
      <c r="E82" s="438"/>
      <c r="F82" s="424"/>
      <c r="G82" s="424" t="s">
        <v>1938</v>
      </c>
      <c r="H82" s="424" t="s">
        <v>1944</v>
      </c>
      <c r="I82" s="424" t="s">
        <v>1887</v>
      </c>
      <c r="J82" s="448">
        <v>1</v>
      </c>
      <c r="K82" s="439"/>
      <c r="L82" s="446">
        <v>20000</v>
      </c>
      <c r="M82" s="428">
        <f t="shared" si="1"/>
        <v>20000</v>
      </c>
      <c r="N82" s="429"/>
      <c r="O82" s="430"/>
      <c r="P82" s="440"/>
      <c r="Q82" s="435" t="s">
        <v>2016</v>
      </c>
      <c r="R82" s="424"/>
    </row>
    <row r="83" spans="1:18" s="441" customFormat="1" ht="37.5">
      <c r="A83" s="419" t="s">
        <v>1936</v>
      </c>
      <c r="B83" s="419">
        <v>78</v>
      </c>
      <c r="C83" s="420">
        <v>10870</v>
      </c>
      <c r="D83" s="421" t="s">
        <v>1937</v>
      </c>
      <c r="E83" s="438"/>
      <c r="F83" s="424"/>
      <c r="G83" s="424" t="s">
        <v>1938</v>
      </c>
      <c r="H83" s="424" t="s">
        <v>1944</v>
      </c>
      <c r="I83" s="424" t="s">
        <v>1888</v>
      </c>
      <c r="J83" s="448">
        <v>1</v>
      </c>
      <c r="K83" s="439"/>
      <c r="L83" s="446">
        <v>58000</v>
      </c>
      <c r="M83" s="428">
        <f t="shared" si="1"/>
        <v>58000</v>
      </c>
      <c r="N83" s="429"/>
      <c r="O83" s="430"/>
      <c r="P83" s="440"/>
      <c r="Q83" s="435" t="s">
        <v>2017</v>
      </c>
      <c r="R83" s="424"/>
    </row>
    <row r="84" spans="1:18" s="441" customFormat="1" ht="56.25">
      <c r="A84" s="419" t="s">
        <v>1936</v>
      </c>
      <c r="B84" s="419">
        <v>79</v>
      </c>
      <c r="C84" s="420">
        <v>10870</v>
      </c>
      <c r="D84" s="421" t="s">
        <v>1937</v>
      </c>
      <c r="E84" s="438"/>
      <c r="F84" s="424"/>
      <c r="G84" s="424" t="s">
        <v>1938</v>
      </c>
      <c r="H84" s="424" t="s">
        <v>1944</v>
      </c>
      <c r="I84" s="424" t="s">
        <v>2018</v>
      </c>
      <c r="J84" s="448">
        <v>5</v>
      </c>
      <c r="K84" s="439"/>
      <c r="L84" s="484">
        <v>70000</v>
      </c>
      <c r="M84" s="428">
        <f t="shared" si="1"/>
        <v>350000</v>
      </c>
      <c r="N84" s="429"/>
      <c r="O84" s="430"/>
      <c r="P84" s="440"/>
      <c r="Q84" s="485" t="s">
        <v>2019</v>
      </c>
      <c r="R84" s="424"/>
    </row>
    <row r="85" spans="1:18" s="441" customFormat="1" ht="37.5">
      <c r="A85" s="419" t="s">
        <v>1936</v>
      </c>
      <c r="B85" s="419">
        <v>80</v>
      </c>
      <c r="C85" s="420">
        <v>10870</v>
      </c>
      <c r="D85" s="421" t="s">
        <v>1937</v>
      </c>
      <c r="E85" s="438"/>
      <c r="F85" s="424"/>
      <c r="G85" s="424" t="s">
        <v>1938</v>
      </c>
      <c r="H85" s="424" t="s">
        <v>1944</v>
      </c>
      <c r="I85" s="424" t="s">
        <v>2020</v>
      </c>
      <c r="J85" s="448">
        <v>2</v>
      </c>
      <c r="K85" s="439"/>
      <c r="L85" s="484">
        <v>50000</v>
      </c>
      <c r="M85" s="428">
        <f t="shared" si="1"/>
        <v>100000</v>
      </c>
      <c r="N85" s="429"/>
      <c r="O85" s="430"/>
      <c r="P85" s="440"/>
      <c r="Q85" s="485" t="s">
        <v>2021</v>
      </c>
      <c r="R85" s="424"/>
    </row>
    <row r="86" spans="1:18" s="441" customFormat="1" ht="56.25">
      <c r="A86" s="419" t="s">
        <v>1936</v>
      </c>
      <c r="B86" s="419">
        <v>81</v>
      </c>
      <c r="C86" s="420">
        <v>10870</v>
      </c>
      <c r="D86" s="421" t="s">
        <v>1937</v>
      </c>
      <c r="E86" s="438"/>
      <c r="F86" s="424"/>
      <c r="G86" s="424" t="s">
        <v>1938</v>
      </c>
      <c r="H86" s="424" t="s">
        <v>1944</v>
      </c>
      <c r="I86" s="424" t="s">
        <v>1857</v>
      </c>
      <c r="J86" s="448">
        <v>5</v>
      </c>
      <c r="K86" s="439"/>
      <c r="L86" s="484">
        <v>10000</v>
      </c>
      <c r="M86" s="428">
        <f t="shared" si="1"/>
        <v>50000</v>
      </c>
      <c r="N86" s="429"/>
      <c r="O86" s="430"/>
      <c r="P86" s="440"/>
      <c r="Q86" s="485" t="s">
        <v>2022</v>
      </c>
      <c r="R86" s="424"/>
    </row>
    <row r="87" spans="1:18" s="441" customFormat="1" ht="56.25">
      <c r="A87" s="419" t="s">
        <v>1936</v>
      </c>
      <c r="B87" s="419">
        <v>82</v>
      </c>
      <c r="C87" s="420">
        <v>10870</v>
      </c>
      <c r="D87" s="421" t="s">
        <v>1937</v>
      </c>
      <c r="E87" s="438"/>
      <c r="F87" s="424"/>
      <c r="G87" s="424" t="s">
        <v>1938</v>
      </c>
      <c r="H87" s="424" t="s">
        <v>1944</v>
      </c>
      <c r="I87" s="424" t="s">
        <v>1845</v>
      </c>
      <c r="J87" s="448">
        <v>2</v>
      </c>
      <c r="K87" s="439"/>
      <c r="L87" s="484">
        <v>60000</v>
      </c>
      <c r="M87" s="428">
        <f t="shared" si="1"/>
        <v>120000</v>
      </c>
      <c r="N87" s="429"/>
      <c r="O87" s="430"/>
      <c r="P87" s="440"/>
      <c r="Q87" s="485" t="s">
        <v>2023</v>
      </c>
      <c r="R87" s="424"/>
    </row>
    <row r="88" spans="1:18" s="441" customFormat="1" ht="37.5">
      <c r="A88" s="419" t="s">
        <v>1936</v>
      </c>
      <c r="B88" s="419">
        <v>83</v>
      </c>
      <c r="C88" s="420">
        <v>10870</v>
      </c>
      <c r="D88" s="421" t="s">
        <v>1937</v>
      </c>
      <c r="E88" s="438"/>
      <c r="F88" s="424"/>
      <c r="G88" s="424" t="s">
        <v>1938</v>
      </c>
      <c r="H88" s="424" t="s">
        <v>1944</v>
      </c>
      <c r="I88" s="424" t="s">
        <v>2024</v>
      </c>
      <c r="J88" s="448">
        <v>20</v>
      </c>
      <c r="K88" s="439"/>
      <c r="L88" s="484">
        <v>65000</v>
      </c>
      <c r="M88" s="428">
        <f t="shared" si="1"/>
        <v>1300000</v>
      </c>
      <c r="N88" s="429"/>
      <c r="O88" s="430"/>
      <c r="P88" s="440"/>
      <c r="Q88" s="485" t="s">
        <v>2025</v>
      </c>
      <c r="R88" s="424"/>
    </row>
    <row r="89" spans="1:18" s="441" customFormat="1" ht="75">
      <c r="A89" s="419" t="s">
        <v>1936</v>
      </c>
      <c r="B89" s="419">
        <v>84</v>
      </c>
      <c r="C89" s="420">
        <v>10870</v>
      </c>
      <c r="D89" s="421" t="s">
        <v>1937</v>
      </c>
      <c r="E89" s="438"/>
      <c r="F89" s="424"/>
      <c r="G89" s="424" t="s">
        <v>1938</v>
      </c>
      <c r="H89" s="424" t="s">
        <v>1944</v>
      </c>
      <c r="I89" s="424" t="s">
        <v>2026</v>
      </c>
      <c r="J89" s="448">
        <v>11</v>
      </c>
      <c r="K89" s="439"/>
      <c r="L89" s="446">
        <v>21000</v>
      </c>
      <c r="M89" s="428">
        <f t="shared" si="1"/>
        <v>231000</v>
      </c>
      <c r="N89" s="429"/>
      <c r="O89" s="430"/>
      <c r="P89" s="440"/>
      <c r="Q89" s="447" t="s">
        <v>2027</v>
      </c>
      <c r="R89" s="424"/>
    </row>
    <row r="90" spans="1:18" s="441" customFormat="1" ht="93.75">
      <c r="A90" s="419" t="s">
        <v>1936</v>
      </c>
      <c r="B90" s="419">
        <v>85</v>
      </c>
      <c r="C90" s="420">
        <v>10870</v>
      </c>
      <c r="D90" s="421" t="s">
        <v>1937</v>
      </c>
      <c r="E90" s="438"/>
      <c r="F90" s="424"/>
      <c r="G90" s="422" t="s">
        <v>2000</v>
      </c>
      <c r="H90" s="424" t="s">
        <v>1944</v>
      </c>
      <c r="I90" s="424" t="s">
        <v>2028</v>
      </c>
      <c r="J90" s="448">
        <v>10</v>
      </c>
      <c r="K90" s="439"/>
      <c r="L90" s="446">
        <v>8000</v>
      </c>
      <c r="M90" s="428">
        <f t="shared" si="1"/>
        <v>80000</v>
      </c>
      <c r="N90" s="429"/>
      <c r="O90" s="430"/>
      <c r="P90" s="440"/>
      <c r="Q90" s="447" t="s">
        <v>2029</v>
      </c>
      <c r="R90" s="424"/>
    </row>
    <row r="91" spans="1:18" s="441" customFormat="1" ht="49.5" customHeight="1">
      <c r="A91" s="419" t="s">
        <v>1936</v>
      </c>
      <c r="B91" s="419">
        <v>86</v>
      </c>
      <c r="C91" s="420">
        <v>10870</v>
      </c>
      <c r="D91" s="421" t="s">
        <v>1937</v>
      </c>
      <c r="E91" s="438"/>
      <c r="F91" s="424"/>
      <c r="G91" s="424" t="s">
        <v>2030</v>
      </c>
      <c r="H91" s="424" t="s">
        <v>1944</v>
      </c>
      <c r="I91" s="486" t="s">
        <v>1889</v>
      </c>
      <c r="J91" s="487">
        <v>5</v>
      </c>
      <c r="K91" s="448" t="s">
        <v>2031</v>
      </c>
      <c r="L91" s="488">
        <v>16000</v>
      </c>
      <c r="M91" s="428">
        <f t="shared" si="1"/>
        <v>80000</v>
      </c>
      <c r="N91" s="429"/>
      <c r="O91" s="430"/>
      <c r="P91" s="440"/>
      <c r="Q91" s="489" t="s">
        <v>2032</v>
      </c>
      <c r="R91" s="424"/>
    </row>
    <row r="92" spans="1:18" s="441" customFormat="1" ht="56.25">
      <c r="A92" s="419" t="s">
        <v>1936</v>
      </c>
      <c r="B92" s="419">
        <v>87</v>
      </c>
      <c r="C92" s="420">
        <v>10870</v>
      </c>
      <c r="D92" s="421" t="s">
        <v>1937</v>
      </c>
      <c r="E92" s="438"/>
      <c r="F92" s="424"/>
      <c r="G92" s="424" t="s">
        <v>2030</v>
      </c>
      <c r="H92" s="424" t="s">
        <v>1944</v>
      </c>
      <c r="I92" s="486" t="s">
        <v>1914</v>
      </c>
      <c r="J92" s="487">
        <v>3</v>
      </c>
      <c r="K92" s="448" t="s">
        <v>2031</v>
      </c>
      <c r="L92" s="488">
        <v>16000</v>
      </c>
      <c r="M92" s="428">
        <f t="shared" si="1"/>
        <v>48000</v>
      </c>
      <c r="N92" s="429"/>
      <c r="O92" s="430"/>
      <c r="P92" s="440"/>
      <c r="Q92" s="489" t="s">
        <v>2033</v>
      </c>
      <c r="R92" s="424"/>
    </row>
    <row r="93" spans="1:18" s="441" customFormat="1" ht="56.25">
      <c r="A93" s="419" t="s">
        <v>1936</v>
      </c>
      <c r="B93" s="419">
        <v>88</v>
      </c>
      <c r="C93" s="420">
        <v>10870</v>
      </c>
      <c r="D93" s="421" t="s">
        <v>1937</v>
      </c>
      <c r="E93" s="438"/>
      <c r="F93" s="424"/>
      <c r="G93" s="424" t="s">
        <v>2030</v>
      </c>
      <c r="H93" s="424" t="s">
        <v>1944</v>
      </c>
      <c r="I93" s="486" t="s">
        <v>1890</v>
      </c>
      <c r="J93" s="490">
        <v>5</v>
      </c>
      <c r="K93" s="448" t="s">
        <v>2031</v>
      </c>
      <c r="L93" s="428">
        <v>9000</v>
      </c>
      <c r="M93" s="428">
        <f t="shared" si="1"/>
        <v>45000</v>
      </c>
      <c r="N93" s="429"/>
      <c r="O93" s="430"/>
      <c r="P93" s="440"/>
      <c r="Q93" s="489" t="s">
        <v>2034</v>
      </c>
      <c r="R93" s="424"/>
    </row>
    <row r="94" spans="1:18" s="441" customFormat="1" ht="56.25">
      <c r="A94" s="419" t="s">
        <v>1936</v>
      </c>
      <c r="B94" s="419">
        <v>89</v>
      </c>
      <c r="C94" s="420">
        <v>10870</v>
      </c>
      <c r="D94" s="421" t="s">
        <v>1937</v>
      </c>
      <c r="E94" s="438"/>
      <c r="F94" s="424"/>
      <c r="G94" s="424" t="s">
        <v>2030</v>
      </c>
      <c r="H94" s="424" t="s">
        <v>1944</v>
      </c>
      <c r="I94" s="486" t="s">
        <v>1915</v>
      </c>
      <c r="J94" s="490">
        <v>5</v>
      </c>
      <c r="K94" s="448" t="s">
        <v>2031</v>
      </c>
      <c r="L94" s="428">
        <v>3300</v>
      </c>
      <c r="M94" s="428">
        <f t="shared" si="1"/>
        <v>16500</v>
      </c>
      <c r="N94" s="429"/>
      <c r="O94" s="430"/>
      <c r="P94" s="440"/>
      <c r="Q94" s="489" t="s">
        <v>2035</v>
      </c>
      <c r="R94" s="424"/>
    </row>
    <row r="95" spans="1:18" s="441" customFormat="1" ht="37.5">
      <c r="A95" s="419" t="s">
        <v>1936</v>
      </c>
      <c r="B95" s="419">
        <v>90</v>
      </c>
      <c r="C95" s="420">
        <v>10870</v>
      </c>
      <c r="D95" s="421" t="s">
        <v>1937</v>
      </c>
      <c r="E95" s="438"/>
      <c r="F95" s="424"/>
      <c r="G95" s="424" t="s">
        <v>1938</v>
      </c>
      <c r="H95" s="424" t="s">
        <v>1944</v>
      </c>
      <c r="I95" s="491" t="s">
        <v>2036</v>
      </c>
      <c r="J95" s="492">
        <v>1</v>
      </c>
      <c r="K95" s="439"/>
      <c r="L95" s="428">
        <v>8000</v>
      </c>
      <c r="M95" s="428">
        <f t="shared" si="1"/>
        <v>8000</v>
      </c>
      <c r="N95" s="429"/>
      <c r="O95" s="430"/>
      <c r="P95" s="440"/>
      <c r="Q95" s="493" t="s">
        <v>2037</v>
      </c>
      <c r="R95" s="424"/>
    </row>
    <row r="96" spans="1:18" s="477" customFormat="1" ht="56.25">
      <c r="A96" s="426" t="s">
        <v>1936</v>
      </c>
      <c r="B96" s="426">
        <v>91</v>
      </c>
      <c r="C96" s="466">
        <v>10870</v>
      </c>
      <c r="D96" s="467" t="s">
        <v>1937</v>
      </c>
      <c r="E96" s="468"/>
      <c r="F96" s="425"/>
      <c r="G96" s="425" t="s">
        <v>1998</v>
      </c>
      <c r="H96" s="425" t="s">
        <v>1944</v>
      </c>
      <c r="I96" s="494" t="s">
        <v>2038</v>
      </c>
      <c r="J96" s="495">
        <v>2</v>
      </c>
      <c r="K96" s="450"/>
      <c r="L96" s="473">
        <v>4000</v>
      </c>
      <c r="M96" s="473">
        <f t="shared" si="1"/>
        <v>8000</v>
      </c>
      <c r="N96" s="474"/>
      <c r="O96" s="475"/>
      <c r="P96" s="449"/>
      <c r="Q96" s="496" t="s">
        <v>2039</v>
      </c>
      <c r="R96" s="425"/>
    </row>
    <row r="97" spans="1:18" s="441" customFormat="1" ht="56.25">
      <c r="A97" s="419" t="s">
        <v>1936</v>
      </c>
      <c r="B97" s="419">
        <v>92</v>
      </c>
      <c r="C97" s="420">
        <v>10870</v>
      </c>
      <c r="D97" s="421" t="s">
        <v>1937</v>
      </c>
      <c r="E97" s="438"/>
      <c r="F97" s="424"/>
      <c r="G97" s="424" t="s">
        <v>1998</v>
      </c>
      <c r="H97" s="424" t="s">
        <v>1944</v>
      </c>
      <c r="I97" s="497" t="s">
        <v>2040</v>
      </c>
      <c r="J97" s="498">
        <v>2</v>
      </c>
      <c r="K97" s="439"/>
      <c r="L97" s="428">
        <v>3000</v>
      </c>
      <c r="M97" s="428">
        <f t="shared" si="1"/>
        <v>6000</v>
      </c>
      <c r="N97" s="429"/>
      <c r="O97" s="430"/>
      <c r="P97" s="440"/>
      <c r="Q97" s="499" t="s">
        <v>2041</v>
      </c>
      <c r="R97" s="424"/>
    </row>
    <row r="98" spans="1:18" s="441" customFormat="1" ht="37.5">
      <c r="A98" s="419" t="s">
        <v>1936</v>
      </c>
      <c r="B98" s="419">
        <v>93</v>
      </c>
      <c r="C98" s="420">
        <v>10870</v>
      </c>
      <c r="D98" s="421" t="s">
        <v>1937</v>
      </c>
      <c r="E98" s="438"/>
      <c r="F98" s="424"/>
      <c r="G98" s="424" t="s">
        <v>1998</v>
      </c>
      <c r="H98" s="424" t="s">
        <v>1944</v>
      </c>
      <c r="I98" s="491" t="s">
        <v>2042</v>
      </c>
      <c r="J98" s="500">
        <v>1</v>
      </c>
      <c r="K98" s="439"/>
      <c r="L98" s="428">
        <v>12000</v>
      </c>
      <c r="M98" s="428">
        <f t="shared" si="1"/>
        <v>12000</v>
      </c>
      <c r="N98" s="429"/>
      <c r="O98" s="430"/>
      <c r="P98" s="440"/>
      <c r="Q98" s="489" t="s">
        <v>2043</v>
      </c>
      <c r="R98" s="424"/>
    </row>
    <row r="99" spans="1:18" s="441" customFormat="1" ht="56.25">
      <c r="A99" s="419" t="s">
        <v>1936</v>
      </c>
      <c r="B99" s="419">
        <v>94</v>
      </c>
      <c r="C99" s="420">
        <v>10870</v>
      </c>
      <c r="D99" s="421" t="s">
        <v>1937</v>
      </c>
      <c r="E99" s="438"/>
      <c r="F99" s="424"/>
      <c r="G99" s="424" t="s">
        <v>1938</v>
      </c>
      <c r="H99" s="424" t="s">
        <v>1944</v>
      </c>
      <c r="I99" s="501" t="s">
        <v>2044</v>
      </c>
      <c r="J99" s="498">
        <v>3</v>
      </c>
      <c r="K99" s="439"/>
      <c r="L99" s="428">
        <v>5000</v>
      </c>
      <c r="M99" s="428">
        <f t="shared" si="1"/>
        <v>15000</v>
      </c>
      <c r="N99" s="429"/>
      <c r="O99" s="430"/>
      <c r="P99" s="440"/>
      <c r="Q99" s="489" t="s">
        <v>2045</v>
      </c>
      <c r="R99" s="424"/>
    </row>
    <row r="100" spans="1:18" s="441" customFormat="1" ht="56.25">
      <c r="A100" s="419" t="s">
        <v>1936</v>
      </c>
      <c r="B100" s="419">
        <v>95</v>
      </c>
      <c r="C100" s="420">
        <v>10870</v>
      </c>
      <c r="D100" s="421" t="s">
        <v>1937</v>
      </c>
      <c r="E100" s="438"/>
      <c r="F100" s="424"/>
      <c r="G100" s="424" t="s">
        <v>1982</v>
      </c>
      <c r="H100" s="424" t="s">
        <v>1944</v>
      </c>
      <c r="I100" s="491" t="s">
        <v>1873</v>
      </c>
      <c r="J100" s="500">
        <v>10</v>
      </c>
      <c r="K100" s="439"/>
      <c r="L100" s="428">
        <v>5000</v>
      </c>
      <c r="M100" s="428">
        <f t="shared" si="1"/>
        <v>50000</v>
      </c>
      <c r="N100" s="429"/>
      <c r="O100" s="430"/>
      <c r="P100" s="440"/>
      <c r="Q100" s="489" t="s">
        <v>2046</v>
      </c>
      <c r="R100" s="424"/>
    </row>
    <row r="101" spans="1:18" s="441" customFormat="1" ht="93.75">
      <c r="A101" s="419" t="s">
        <v>1936</v>
      </c>
      <c r="B101" s="419">
        <v>96</v>
      </c>
      <c r="C101" s="420">
        <v>10870</v>
      </c>
      <c r="D101" s="421" t="s">
        <v>1937</v>
      </c>
      <c r="E101" s="438"/>
      <c r="F101" s="424"/>
      <c r="G101" s="424" t="s">
        <v>1938</v>
      </c>
      <c r="H101" s="424" t="s">
        <v>1944</v>
      </c>
      <c r="I101" s="502" t="s">
        <v>2047</v>
      </c>
      <c r="J101" s="503">
        <v>8</v>
      </c>
      <c r="K101" s="439"/>
      <c r="L101" s="504">
        <v>40000</v>
      </c>
      <c r="M101" s="504">
        <f t="shared" si="1"/>
        <v>320000</v>
      </c>
      <c r="N101" s="505"/>
      <c r="O101" s="506"/>
      <c r="P101" s="440"/>
      <c r="Q101" s="507" t="s">
        <v>2048</v>
      </c>
      <c r="R101" s="508"/>
    </row>
    <row r="102" spans="1:18" s="441" customFormat="1" ht="37.5">
      <c r="A102" s="509" t="s">
        <v>1936</v>
      </c>
      <c r="B102" s="509">
        <v>97</v>
      </c>
      <c r="C102" s="420">
        <v>10870</v>
      </c>
      <c r="D102" s="421" t="s">
        <v>1937</v>
      </c>
      <c r="E102" s="438"/>
      <c r="F102" s="508"/>
      <c r="G102" s="508" t="s">
        <v>1938</v>
      </c>
      <c r="H102" s="508" t="s">
        <v>1944</v>
      </c>
      <c r="I102" s="491" t="s">
        <v>2049</v>
      </c>
      <c r="J102" s="510">
        <v>1</v>
      </c>
      <c r="K102" s="439"/>
      <c r="L102" s="504">
        <v>14000</v>
      </c>
      <c r="M102" s="504">
        <f t="shared" si="1"/>
        <v>14000</v>
      </c>
      <c r="N102" s="505"/>
      <c r="O102" s="506"/>
      <c r="P102" s="440"/>
      <c r="Q102" s="507" t="s">
        <v>2050</v>
      </c>
      <c r="R102" s="508"/>
    </row>
    <row r="103" spans="1:18" s="441" customFormat="1" ht="37.5">
      <c r="A103" s="509" t="s">
        <v>1936</v>
      </c>
      <c r="B103" s="509">
        <v>98</v>
      </c>
      <c r="C103" s="420">
        <v>10870</v>
      </c>
      <c r="D103" s="421" t="s">
        <v>1937</v>
      </c>
      <c r="E103" s="438"/>
      <c r="F103" s="508"/>
      <c r="G103" s="508" t="s">
        <v>1938</v>
      </c>
      <c r="H103" s="508" t="s">
        <v>1944</v>
      </c>
      <c r="I103" s="491" t="s">
        <v>1895</v>
      </c>
      <c r="J103" s="510">
        <v>1</v>
      </c>
      <c r="K103" s="439"/>
      <c r="L103" s="504">
        <v>15000</v>
      </c>
      <c r="M103" s="504">
        <f t="shared" si="1"/>
        <v>15000</v>
      </c>
      <c r="N103" s="505"/>
      <c r="O103" s="506"/>
      <c r="P103" s="440"/>
      <c r="Q103" s="511" t="s">
        <v>2051</v>
      </c>
      <c r="R103" s="508"/>
    </row>
    <row r="104" spans="1:18" s="441" customFormat="1" ht="37.5">
      <c r="A104" s="509" t="s">
        <v>1936</v>
      </c>
      <c r="B104" s="509">
        <v>99</v>
      </c>
      <c r="C104" s="420">
        <v>10870</v>
      </c>
      <c r="D104" s="421" t="s">
        <v>1937</v>
      </c>
      <c r="E104" s="438"/>
      <c r="F104" s="508"/>
      <c r="G104" s="508" t="s">
        <v>1938</v>
      </c>
      <c r="H104" s="508" t="s">
        <v>1944</v>
      </c>
      <c r="I104" s="491" t="s">
        <v>2052</v>
      </c>
      <c r="J104" s="510">
        <v>1</v>
      </c>
      <c r="K104" s="439"/>
      <c r="L104" s="504">
        <v>8500</v>
      </c>
      <c r="M104" s="504">
        <f t="shared" si="1"/>
        <v>8500</v>
      </c>
      <c r="N104" s="505"/>
      <c r="O104" s="506"/>
      <c r="P104" s="440"/>
      <c r="Q104" s="511" t="s">
        <v>2053</v>
      </c>
      <c r="R104" s="508"/>
    </row>
    <row r="105" spans="1:18" s="441" customFormat="1" ht="37.5">
      <c r="A105" s="509" t="s">
        <v>1936</v>
      </c>
      <c r="B105" s="509">
        <v>100</v>
      </c>
      <c r="C105" s="420">
        <v>10870</v>
      </c>
      <c r="D105" s="421" t="s">
        <v>1937</v>
      </c>
      <c r="E105" s="438"/>
      <c r="F105" s="508"/>
      <c r="G105" s="508" t="s">
        <v>1938</v>
      </c>
      <c r="H105" s="508" t="s">
        <v>1944</v>
      </c>
      <c r="I105" s="512" t="s">
        <v>2054</v>
      </c>
      <c r="J105" s="510">
        <v>1</v>
      </c>
      <c r="K105" s="439"/>
      <c r="L105" s="504">
        <v>15000</v>
      </c>
      <c r="M105" s="504">
        <f t="shared" si="1"/>
        <v>15000</v>
      </c>
      <c r="N105" s="505"/>
      <c r="O105" s="506"/>
      <c r="P105" s="440"/>
      <c r="Q105" s="507" t="s">
        <v>2055</v>
      </c>
      <c r="R105" s="508"/>
    </row>
    <row r="106" spans="1:18" s="441" customFormat="1" ht="37.5">
      <c r="A106" s="509" t="s">
        <v>1936</v>
      </c>
      <c r="B106" s="509">
        <v>101</v>
      </c>
      <c r="C106" s="420">
        <v>10870</v>
      </c>
      <c r="D106" s="421" t="s">
        <v>1937</v>
      </c>
      <c r="E106" s="438"/>
      <c r="F106" s="508"/>
      <c r="G106" s="508" t="s">
        <v>1938</v>
      </c>
      <c r="H106" s="508" t="s">
        <v>1944</v>
      </c>
      <c r="I106" s="513" t="s">
        <v>2056</v>
      </c>
      <c r="J106" s="510">
        <v>1</v>
      </c>
      <c r="K106" s="439"/>
      <c r="L106" s="504">
        <v>5500</v>
      </c>
      <c r="M106" s="504">
        <f t="shared" si="1"/>
        <v>5500</v>
      </c>
      <c r="N106" s="505"/>
      <c r="O106" s="506"/>
      <c r="P106" s="440"/>
      <c r="Q106" s="507" t="s">
        <v>2057</v>
      </c>
      <c r="R106" s="508"/>
    </row>
    <row r="107" spans="1:18" s="441" customFormat="1" ht="37.5">
      <c r="A107" s="509" t="s">
        <v>1936</v>
      </c>
      <c r="B107" s="509">
        <v>102</v>
      </c>
      <c r="C107" s="420">
        <v>10870</v>
      </c>
      <c r="D107" s="421" t="s">
        <v>1937</v>
      </c>
      <c r="E107" s="438"/>
      <c r="F107" s="508"/>
      <c r="G107" s="508" t="s">
        <v>1938</v>
      </c>
      <c r="H107" s="508" t="s">
        <v>1944</v>
      </c>
      <c r="I107" s="513" t="s">
        <v>2058</v>
      </c>
      <c r="J107" s="514">
        <v>1</v>
      </c>
      <c r="K107" s="439"/>
      <c r="L107" s="504">
        <v>20000</v>
      </c>
      <c r="M107" s="504">
        <f t="shared" si="1"/>
        <v>20000</v>
      </c>
      <c r="N107" s="505"/>
      <c r="O107" s="506"/>
      <c r="P107" s="440"/>
      <c r="Q107" s="507" t="s">
        <v>2059</v>
      </c>
      <c r="R107" s="508"/>
    </row>
    <row r="108" spans="1:18" s="441" customFormat="1" ht="75">
      <c r="A108" s="509" t="s">
        <v>1936</v>
      </c>
      <c r="B108" s="509">
        <v>103</v>
      </c>
      <c r="C108" s="420">
        <v>10870</v>
      </c>
      <c r="D108" s="421" t="s">
        <v>1937</v>
      </c>
      <c r="E108" s="438"/>
      <c r="F108" s="508"/>
      <c r="G108" s="508" t="s">
        <v>1998</v>
      </c>
      <c r="H108" s="508" t="s">
        <v>1944</v>
      </c>
      <c r="I108" s="515" t="s">
        <v>2060</v>
      </c>
      <c r="J108" s="439">
        <v>2</v>
      </c>
      <c r="K108" s="439"/>
      <c r="L108" s="455">
        <v>42300</v>
      </c>
      <c r="M108" s="504">
        <f t="shared" si="1"/>
        <v>84600</v>
      </c>
      <c r="N108" s="505"/>
      <c r="O108" s="506"/>
      <c r="P108" s="440"/>
      <c r="Q108" s="486" t="s">
        <v>2061</v>
      </c>
      <c r="R108" s="508"/>
    </row>
    <row r="109" spans="1:18" s="441" customFormat="1" ht="93.75">
      <c r="A109" s="509" t="s">
        <v>1936</v>
      </c>
      <c r="B109" s="509">
        <v>104</v>
      </c>
      <c r="C109" s="420">
        <v>10870</v>
      </c>
      <c r="D109" s="421" t="s">
        <v>1937</v>
      </c>
      <c r="E109" s="438"/>
      <c r="F109" s="508"/>
      <c r="G109" s="508" t="s">
        <v>1998</v>
      </c>
      <c r="H109" s="508" t="s">
        <v>1944</v>
      </c>
      <c r="I109" s="515" t="s">
        <v>2062</v>
      </c>
      <c r="J109" s="439">
        <v>3</v>
      </c>
      <c r="K109" s="439"/>
      <c r="L109" s="455">
        <v>28000</v>
      </c>
      <c r="M109" s="504">
        <f t="shared" si="1"/>
        <v>84000</v>
      </c>
      <c r="N109" s="505"/>
      <c r="O109" s="506"/>
      <c r="P109" s="440"/>
      <c r="Q109" s="486" t="s">
        <v>2063</v>
      </c>
      <c r="R109" s="508" t="s">
        <v>2066</v>
      </c>
    </row>
    <row r="110" spans="1:18" s="441" customFormat="1" ht="18.75">
      <c r="A110" s="509"/>
      <c r="B110" s="509"/>
      <c r="C110" s="516"/>
      <c r="D110" s="440"/>
      <c r="E110" s="438"/>
      <c r="F110" s="508"/>
      <c r="G110" s="508"/>
      <c r="H110" s="508"/>
      <c r="I110" s="509" t="s">
        <v>666</v>
      </c>
      <c r="J110" s="439">
        <f>SUM(J6:J109)</f>
        <v>212</v>
      </c>
      <c r="K110" s="439"/>
      <c r="L110" s="517"/>
      <c r="M110" s="518">
        <f>SUM(M1:M109)</f>
        <v>5544513</v>
      </c>
      <c r="N110" s="505"/>
      <c r="O110" s="506"/>
      <c r="P110" s="440"/>
      <c r="Q110" s="508"/>
      <c r="R110" s="508"/>
    </row>
    <row r="111" spans="1:18" s="441" customFormat="1" ht="18.75">
      <c r="A111" s="509"/>
      <c r="B111" s="509"/>
      <c r="C111" s="516"/>
      <c r="D111" s="440"/>
      <c r="E111" s="438"/>
      <c r="F111" s="508"/>
      <c r="G111" s="508"/>
      <c r="H111" s="508"/>
      <c r="I111" s="509" t="s">
        <v>789</v>
      </c>
      <c r="J111" s="439"/>
      <c r="K111" s="439"/>
      <c r="L111" s="517"/>
      <c r="M111" s="518">
        <v>5509163.49</v>
      </c>
      <c r="N111" s="505"/>
      <c r="O111" s="506"/>
      <c r="P111" s="440"/>
      <c r="Q111" s="508"/>
      <c r="R111" s="508"/>
    </row>
    <row r="112" spans="1:18" s="441" customFormat="1" ht="18.75">
      <c r="A112" s="509"/>
      <c r="B112" s="509"/>
      <c r="C112" s="516"/>
      <c r="D112" s="440"/>
      <c r="E112" s="438"/>
      <c r="F112" s="508"/>
      <c r="G112" s="508"/>
      <c r="H112" s="508"/>
      <c r="I112" s="509" t="s">
        <v>2064</v>
      </c>
      <c r="J112" s="439"/>
      <c r="K112" s="439"/>
      <c r="L112" s="517"/>
      <c r="M112" s="518">
        <f>+M110-M111</f>
        <v>35349.50999999978</v>
      </c>
      <c r="N112" s="505"/>
      <c r="O112" s="506"/>
      <c r="P112" s="440"/>
      <c r="Q112" s="508"/>
      <c r="R112" s="508"/>
    </row>
    <row r="113" spans="1:18" s="441" customFormat="1" ht="18.75">
      <c r="A113" s="509"/>
      <c r="B113" s="509"/>
      <c r="C113" s="516"/>
      <c r="D113" s="440"/>
      <c r="E113" s="438"/>
      <c r="F113" s="508"/>
      <c r="G113" s="508"/>
      <c r="H113" s="508"/>
      <c r="I113" s="508"/>
      <c r="J113" s="439"/>
      <c r="K113" s="439"/>
      <c r="L113" s="517"/>
      <c r="M113" s="505"/>
      <c r="N113" s="505"/>
      <c r="O113" s="506"/>
      <c r="P113" s="440"/>
      <c r="Q113" s="508"/>
      <c r="R113" s="508"/>
    </row>
    <row r="114" spans="1:18" s="441" customFormat="1" ht="18.75">
      <c r="A114" s="509"/>
      <c r="B114" s="509"/>
      <c r="C114" s="516"/>
      <c r="D114" s="440"/>
      <c r="E114" s="438"/>
      <c r="F114" s="508"/>
      <c r="G114" s="508"/>
      <c r="H114" s="508"/>
      <c r="I114" s="508"/>
      <c r="J114" s="439"/>
      <c r="K114" s="439"/>
      <c r="L114" s="517"/>
      <c r="M114" s="505"/>
      <c r="N114" s="505"/>
      <c r="O114" s="506"/>
      <c r="P114" s="440"/>
      <c r="Q114" s="508"/>
      <c r="R114" s="508"/>
    </row>
    <row r="115" spans="1:18" s="441" customFormat="1" ht="18.75">
      <c r="A115" s="509"/>
      <c r="B115" s="509"/>
      <c r="C115" s="516"/>
      <c r="D115" s="440"/>
      <c r="E115" s="438"/>
      <c r="F115" s="508"/>
      <c r="G115" s="508"/>
      <c r="H115" s="508"/>
      <c r="I115" s="508"/>
      <c r="J115" s="439"/>
      <c r="K115" s="439"/>
      <c r="L115" s="517"/>
      <c r="M115" s="505"/>
      <c r="N115" s="505"/>
      <c r="O115" s="506"/>
      <c r="P115" s="440"/>
      <c r="Q115" s="508"/>
      <c r="R115" s="508"/>
    </row>
    <row r="116" spans="1:18" s="441" customFormat="1" ht="18.75">
      <c r="A116" s="509"/>
      <c r="B116" s="509"/>
      <c r="C116" s="516"/>
      <c r="D116" s="440"/>
      <c r="E116" s="438"/>
      <c r="F116" s="508"/>
      <c r="G116" s="508"/>
      <c r="H116" s="508"/>
      <c r="I116" s="508"/>
      <c r="J116" s="439"/>
      <c r="K116" s="439"/>
      <c r="L116" s="517"/>
      <c r="M116" s="505"/>
      <c r="N116" s="505"/>
      <c r="O116" s="506"/>
      <c r="P116" s="440"/>
      <c r="Q116" s="508"/>
      <c r="R116" s="508"/>
    </row>
    <row r="117" spans="1:18" s="441" customFormat="1" ht="18.75">
      <c r="A117" s="509"/>
      <c r="B117" s="509"/>
      <c r="C117" s="516"/>
      <c r="D117" s="440"/>
      <c r="E117" s="438"/>
      <c r="F117" s="508"/>
      <c r="G117" s="508"/>
      <c r="H117" s="508"/>
      <c r="I117" s="508"/>
      <c r="J117" s="439"/>
      <c r="K117" s="439"/>
      <c r="L117" s="517"/>
      <c r="M117" s="505"/>
      <c r="N117" s="505"/>
      <c r="O117" s="506"/>
      <c r="P117" s="440"/>
      <c r="Q117" s="508"/>
      <c r="R117" s="508"/>
    </row>
    <row r="118" spans="1:18" s="441" customFormat="1" ht="18.75">
      <c r="A118" s="509"/>
      <c r="B118" s="509"/>
      <c r="C118" s="516"/>
      <c r="D118" s="440"/>
      <c r="E118" s="438"/>
      <c r="F118" s="508"/>
      <c r="G118" s="508"/>
      <c r="H118" s="508"/>
      <c r="I118" s="508"/>
      <c r="J118" s="439"/>
      <c r="K118" s="439"/>
      <c r="L118" s="517"/>
      <c r="M118" s="505"/>
      <c r="N118" s="505"/>
      <c r="O118" s="506"/>
      <c r="P118" s="440"/>
      <c r="Q118" s="508"/>
      <c r="R118" s="508"/>
    </row>
    <row r="119" spans="1:18" s="441" customFormat="1" ht="18.75">
      <c r="A119" s="509"/>
      <c r="B119" s="509"/>
      <c r="C119" s="516"/>
      <c r="D119" s="440"/>
      <c r="E119" s="438"/>
      <c r="F119" s="508"/>
      <c r="G119" s="508"/>
      <c r="H119" s="508"/>
      <c r="I119" s="508"/>
      <c r="J119" s="439"/>
      <c r="K119" s="439"/>
      <c r="L119" s="517"/>
      <c r="M119" s="505"/>
      <c r="N119" s="505"/>
      <c r="O119" s="506"/>
      <c r="P119" s="440"/>
      <c r="Q119" s="508"/>
      <c r="R119" s="508"/>
    </row>
    <row r="120" spans="1:18" s="441" customFormat="1" ht="18.75">
      <c r="A120" s="509"/>
      <c r="B120" s="509"/>
      <c r="C120" s="516"/>
      <c r="D120" s="440"/>
      <c r="E120" s="438"/>
      <c r="F120" s="508"/>
      <c r="G120" s="508"/>
      <c r="H120" s="508"/>
      <c r="I120" s="508"/>
      <c r="J120" s="439"/>
      <c r="K120" s="439"/>
      <c r="L120" s="517"/>
      <c r="M120" s="505"/>
      <c r="N120" s="505"/>
      <c r="O120" s="506"/>
      <c r="P120" s="440"/>
      <c r="Q120" s="508"/>
      <c r="R120" s="508"/>
    </row>
    <row r="121" spans="1:18" s="441" customFormat="1" ht="18.75">
      <c r="A121" s="509"/>
      <c r="B121" s="509"/>
      <c r="C121" s="516"/>
      <c r="D121" s="440"/>
      <c r="E121" s="438"/>
      <c r="F121" s="508"/>
      <c r="G121" s="508"/>
      <c r="H121" s="508"/>
      <c r="I121" s="508"/>
      <c r="J121" s="439"/>
      <c r="K121" s="439"/>
      <c r="L121" s="517"/>
      <c r="M121" s="505"/>
      <c r="N121" s="505"/>
      <c r="O121" s="506"/>
      <c r="P121" s="440"/>
      <c r="Q121" s="508"/>
      <c r="R121" s="508"/>
    </row>
    <row r="122" spans="1:18" s="441" customFormat="1" ht="18.75">
      <c r="A122" s="509"/>
      <c r="B122" s="509"/>
      <c r="C122" s="516"/>
      <c r="D122" s="440"/>
      <c r="E122" s="438"/>
      <c r="F122" s="508"/>
      <c r="G122" s="508"/>
      <c r="H122" s="508"/>
      <c r="I122" s="508"/>
      <c r="J122" s="439"/>
      <c r="K122" s="439"/>
      <c r="L122" s="517"/>
      <c r="M122" s="505"/>
      <c r="N122" s="505"/>
      <c r="O122" s="506"/>
      <c r="P122" s="440"/>
      <c r="Q122" s="508"/>
      <c r="R122" s="508"/>
    </row>
    <row r="123" spans="1:18" s="441" customFormat="1" ht="18.75">
      <c r="A123" s="509"/>
      <c r="B123" s="509"/>
      <c r="C123" s="516"/>
      <c r="D123" s="440"/>
      <c r="E123" s="438"/>
      <c r="F123" s="508"/>
      <c r="G123" s="508"/>
      <c r="H123" s="508"/>
      <c r="I123" s="508"/>
      <c r="J123" s="439"/>
      <c r="K123" s="439"/>
      <c r="L123" s="517"/>
      <c r="M123" s="505"/>
      <c r="N123" s="505"/>
      <c r="O123" s="506"/>
      <c r="P123" s="440"/>
      <c r="Q123" s="508"/>
      <c r="R123" s="508"/>
    </row>
    <row r="124" spans="1:18" s="441" customFormat="1" ht="18.75">
      <c r="A124" s="509"/>
      <c r="B124" s="509"/>
      <c r="C124" s="516"/>
      <c r="D124" s="440"/>
      <c r="E124" s="438"/>
      <c r="F124" s="508"/>
      <c r="G124" s="508"/>
      <c r="H124" s="508"/>
      <c r="I124" s="508"/>
      <c r="J124" s="439"/>
      <c r="K124" s="439"/>
      <c r="L124" s="517"/>
      <c r="M124" s="505"/>
      <c r="N124" s="505"/>
      <c r="O124" s="506"/>
      <c r="P124" s="440"/>
      <c r="Q124" s="508"/>
      <c r="R124" s="508"/>
    </row>
    <row r="125" spans="1:18" s="441" customFormat="1" ht="18.75">
      <c r="A125" s="509"/>
      <c r="B125" s="509"/>
      <c r="C125" s="516"/>
      <c r="D125" s="440"/>
      <c r="E125" s="438"/>
      <c r="F125" s="508"/>
      <c r="G125" s="508"/>
      <c r="H125" s="508"/>
      <c r="I125" s="508"/>
      <c r="J125" s="439"/>
      <c r="K125" s="439"/>
      <c r="L125" s="517"/>
      <c r="M125" s="505"/>
      <c r="N125" s="505"/>
      <c r="O125" s="506"/>
      <c r="P125" s="440"/>
      <c r="Q125" s="508"/>
      <c r="R125" s="508"/>
    </row>
    <row r="126" spans="1:18" s="441" customFormat="1" ht="18.75">
      <c r="A126" s="509"/>
      <c r="B126" s="509"/>
      <c r="C126" s="516"/>
      <c r="D126" s="440"/>
      <c r="E126" s="438"/>
      <c r="F126" s="508"/>
      <c r="G126" s="508"/>
      <c r="H126" s="508"/>
      <c r="I126" s="508"/>
      <c r="J126" s="439"/>
      <c r="K126" s="439"/>
      <c r="L126" s="517"/>
      <c r="M126" s="505"/>
      <c r="N126" s="505"/>
      <c r="O126" s="506"/>
      <c r="P126" s="440"/>
      <c r="Q126" s="508"/>
      <c r="R126" s="508"/>
    </row>
    <row r="127" spans="1:18" s="441" customFormat="1" ht="18.75">
      <c r="A127" s="509"/>
      <c r="B127" s="509"/>
      <c r="C127" s="516"/>
      <c r="D127" s="440"/>
      <c r="E127" s="438"/>
      <c r="F127" s="508"/>
      <c r="G127" s="508"/>
      <c r="H127" s="508"/>
      <c r="I127" s="508"/>
      <c r="J127" s="439"/>
      <c r="K127" s="439"/>
      <c r="L127" s="517"/>
      <c r="M127" s="505"/>
      <c r="N127" s="505"/>
      <c r="O127" s="506"/>
      <c r="P127" s="440"/>
      <c r="Q127" s="508"/>
      <c r="R127" s="508"/>
    </row>
    <row r="128" spans="1:18" s="441" customFormat="1" ht="18.75">
      <c r="A128" s="509"/>
      <c r="B128" s="509"/>
      <c r="C128" s="516"/>
      <c r="D128" s="440"/>
      <c r="E128" s="438"/>
      <c r="F128" s="508"/>
      <c r="G128" s="508"/>
      <c r="H128" s="508"/>
      <c r="I128" s="508"/>
      <c r="J128" s="439"/>
      <c r="K128" s="439"/>
      <c r="L128" s="517"/>
      <c r="M128" s="505"/>
      <c r="N128" s="505"/>
      <c r="O128" s="506"/>
      <c r="P128" s="440"/>
      <c r="Q128" s="508"/>
      <c r="R128" s="508"/>
    </row>
    <row r="129" spans="1:18" s="441" customFormat="1" ht="18.75">
      <c r="A129" s="509"/>
      <c r="B129" s="509"/>
      <c r="C129" s="516"/>
      <c r="D129" s="440"/>
      <c r="E129" s="438"/>
      <c r="F129" s="508"/>
      <c r="G129" s="508"/>
      <c r="H129" s="508"/>
      <c r="I129" s="508"/>
      <c r="J129" s="439"/>
      <c r="K129" s="439"/>
      <c r="L129" s="517"/>
      <c r="M129" s="505"/>
      <c r="N129" s="505"/>
      <c r="O129" s="506"/>
      <c r="P129" s="440"/>
      <c r="Q129" s="508"/>
      <c r="R129" s="508"/>
    </row>
    <row r="130" spans="1:18" s="441" customFormat="1" ht="18.75">
      <c r="A130" s="509"/>
      <c r="B130" s="509"/>
      <c r="C130" s="516"/>
      <c r="D130" s="440"/>
      <c r="E130" s="438"/>
      <c r="F130" s="508"/>
      <c r="G130" s="508"/>
      <c r="H130" s="508"/>
      <c r="I130" s="508"/>
      <c r="J130" s="439"/>
      <c r="K130" s="439"/>
      <c r="L130" s="517"/>
      <c r="M130" s="505"/>
      <c r="N130" s="505"/>
      <c r="O130" s="506"/>
      <c r="P130" s="440"/>
      <c r="Q130" s="508"/>
      <c r="R130" s="508"/>
    </row>
    <row r="131" spans="1:18" s="441" customFormat="1" ht="18.75">
      <c r="A131" s="509"/>
      <c r="B131" s="509"/>
      <c r="C131" s="516"/>
      <c r="D131" s="440"/>
      <c r="E131" s="438"/>
      <c r="F131" s="508"/>
      <c r="G131" s="508"/>
      <c r="H131" s="508"/>
      <c r="I131" s="508"/>
      <c r="J131" s="439"/>
      <c r="K131" s="439"/>
      <c r="L131" s="517"/>
      <c r="M131" s="505"/>
      <c r="N131" s="505"/>
      <c r="O131" s="506"/>
      <c r="P131" s="440"/>
      <c r="Q131" s="508"/>
      <c r="R131" s="508"/>
    </row>
    <row r="132" spans="1:18" s="441" customFormat="1" ht="18.75">
      <c r="A132" s="509"/>
      <c r="B132" s="509"/>
      <c r="C132" s="516"/>
      <c r="D132" s="440"/>
      <c r="E132" s="438"/>
      <c r="F132" s="508"/>
      <c r="G132" s="508"/>
      <c r="H132" s="508"/>
      <c r="I132" s="508"/>
      <c r="J132" s="439"/>
      <c r="K132" s="439"/>
      <c r="L132" s="517"/>
      <c r="M132" s="505"/>
      <c r="N132" s="505"/>
      <c r="O132" s="506"/>
      <c r="P132" s="440"/>
      <c r="Q132" s="508"/>
      <c r="R132" s="508"/>
    </row>
    <row r="133" spans="1:18" s="441" customFormat="1" ht="18.75">
      <c r="A133" s="509"/>
      <c r="B133" s="509"/>
      <c r="C133" s="516"/>
      <c r="D133" s="440"/>
      <c r="E133" s="438"/>
      <c r="F133" s="508"/>
      <c r="G133" s="508"/>
      <c r="H133" s="508"/>
      <c r="I133" s="508"/>
      <c r="J133" s="439"/>
      <c r="K133" s="439"/>
      <c r="L133" s="517"/>
      <c r="M133" s="505"/>
      <c r="N133" s="505"/>
      <c r="O133" s="506"/>
      <c r="P133" s="440"/>
      <c r="Q133" s="508"/>
      <c r="R133" s="508"/>
    </row>
    <row r="134" spans="1:18" s="441" customFormat="1" ht="18.75">
      <c r="A134" s="509"/>
      <c r="B134" s="509"/>
      <c r="C134" s="516"/>
      <c r="D134" s="440"/>
      <c r="E134" s="438"/>
      <c r="F134" s="508"/>
      <c r="G134" s="508"/>
      <c r="H134" s="508"/>
      <c r="I134" s="508"/>
      <c r="J134" s="439"/>
      <c r="K134" s="439"/>
      <c r="L134" s="517"/>
      <c r="M134" s="505"/>
      <c r="N134" s="505"/>
      <c r="O134" s="506"/>
      <c r="P134" s="440"/>
      <c r="Q134" s="508"/>
      <c r="R134" s="508"/>
    </row>
    <row r="135" spans="1:18" s="441" customFormat="1" ht="18.75">
      <c r="A135" s="509"/>
      <c r="B135" s="509"/>
      <c r="C135" s="516"/>
      <c r="D135" s="440"/>
      <c r="E135" s="438"/>
      <c r="F135" s="508"/>
      <c r="G135" s="508"/>
      <c r="H135" s="508"/>
      <c r="I135" s="508"/>
      <c r="J135" s="439"/>
      <c r="K135" s="439"/>
      <c r="L135" s="517"/>
      <c r="M135" s="505"/>
      <c r="N135" s="505"/>
      <c r="O135" s="506"/>
      <c r="P135" s="440"/>
      <c r="Q135" s="508"/>
      <c r="R135" s="508"/>
    </row>
    <row r="136" spans="1:18" s="441" customFormat="1" ht="18.75">
      <c r="A136" s="509"/>
      <c r="B136" s="509"/>
      <c r="C136" s="516"/>
      <c r="D136" s="440"/>
      <c r="E136" s="438"/>
      <c r="F136" s="508"/>
      <c r="G136" s="508"/>
      <c r="H136" s="508"/>
      <c r="I136" s="508"/>
      <c r="J136" s="439"/>
      <c r="K136" s="439"/>
      <c r="L136" s="517"/>
      <c r="M136" s="505"/>
      <c r="N136" s="505"/>
      <c r="O136" s="506"/>
      <c r="P136" s="440"/>
      <c r="Q136" s="508"/>
      <c r="R136" s="508"/>
    </row>
    <row r="137" spans="1:18" s="441" customFormat="1" ht="18.75">
      <c r="A137" s="509"/>
      <c r="B137" s="509"/>
      <c r="C137" s="516"/>
      <c r="D137" s="440"/>
      <c r="E137" s="438"/>
      <c r="F137" s="508"/>
      <c r="G137" s="508"/>
      <c r="H137" s="508"/>
      <c r="I137" s="508"/>
      <c r="J137" s="439"/>
      <c r="K137" s="439"/>
      <c r="L137" s="517"/>
      <c r="M137" s="505"/>
      <c r="N137" s="505"/>
      <c r="O137" s="506"/>
      <c r="P137" s="440"/>
      <c r="Q137" s="508"/>
      <c r="R137" s="508"/>
    </row>
    <row r="138" spans="1:18" s="441" customFormat="1" ht="18.75">
      <c r="A138" s="509"/>
      <c r="B138" s="509"/>
      <c r="C138" s="516"/>
      <c r="D138" s="440"/>
      <c r="E138" s="438"/>
      <c r="F138" s="508"/>
      <c r="G138" s="508"/>
      <c r="H138" s="508"/>
      <c r="I138" s="508"/>
      <c r="J138" s="439"/>
      <c r="K138" s="439"/>
      <c r="L138" s="517"/>
      <c r="M138" s="505"/>
      <c r="N138" s="505"/>
      <c r="O138" s="506"/>
      <c r="P138" s="440"/>
      <c r="Q138" s="508"/>
      <c r="R138" s="508"/>
    </row>
    <row r="139" spans="1:18" s="441" customFormat="1" ht="18.75">
      <c r="A139" s="509"/>
      <c r="B139" s="509"/>
      <c r="C139" s="516"/>
      <c r="D139" s="440"/>
      <c r="E139" s="438"/>
      <c r="F139" s="508"/>
      <c r="G139" s="508"/>
      <c r="H139" s="508"/>
      <c r="I139" s="508"/>
      <c r="J139" s="439"/>
      <c r="K139" s="439"/>
      <c r="L139" s="517"/>
      <c r="M139" s="505"/>
      <c r="N139" s="505"/>
      <c r="O139" s="506"/>
      <c r="P139" s="440"/>
      <c r="Q139" s="508"/>
      <c r="R139" s="508"/>
    </row>
    <row r="140" spans="1:18" s="441" customFormat="1" ht="18.75">
      <c r="A140" s="509"/>
      <c r="B140" s="509"/>
      <c r="C140" s="516"/>
      <c r="D140" s="440"/>
      <c r="E140" s="438"/>
      <c r="F140" s="508"/>
      <c r="G140" s="508"/>
      <c r="H140" s="508"/>
      <c r="I140" s="508"/>
      <c r="J140" s="439"/>
      <c r="K140" s="439"/>
      <c r="L140" s="517"/>
      <c r="M140" s="505"/>
      <c r="N140" s="505"/>
      <c r="O140" s="506"/>
      <c r="P140" s="440"/>
      <c r="Q140" s="508"/>
      <c r="R140" s="508"/>
    </row>
    <row r="141" spans="1:18" s="441" customFormat="1" ht="18.75">
      <c r="A141" s="509"/>
      <c r="B141" s="509"/>
      <c r="C141" s="516"/>
      <c r="D141" s="440"/>
      <c r="E141" s="438"/>
      <c r="F141" s="508"/>
      <c r="G141" s="508"/>
      <c r="H141" s="508"/>
      <c r="I141" s="508"/>
      <c r="J141" s="439"/>
      <c r="K141" s="439"/>
      <c r="L141" s="517"/>
      <c r="M141" s="505"/>
      <c r="N141" s="505"/>
      <c r="O141" s="506"/>
      <c r="P141" s="440"/>
      <c r="Q141" s="508"/>
      <c r="R141" s="508"/>
    </row>
    <row r="142" spans="1:18" s="441" customFormat="1" ht="18.75">
      <c r="A142" s="509"/>
      <c r="B142" s="509"/>
      <c r="C142" s="516"/>
      <c r="D142" s="440"/>
      <c r="E142" s="438"/>
      <c r="F142" s="508"/>
      <c r="G142" s="508"/>
      <c r="H142" s="508"/>
      <c r="I142" s="508"/>
      <c r="J142" s="439"/>
      <c r="K142" s="439"/>
      <c r="L142" s="517"/>
      <c r="M142" s="505"/>
      <c r="N142" s="505"/>
      <c r="O142" s="506"/>
      <c r="P142" s="440"/>
      <c r="Q142" s="508"/>
      <c r="R142" s="508"/>
    </row>
    <row r="143" spans="1:18" s="441" customFormat="1" ht="18.75">
      <c r="A143" s="509"/>
      <c r="B143" s="509"/>
      <c r="C143" s="516"/>
      <c r="D143" s="440"/>
      <c r="E143" s="438"/>
      <c r="F143" s="508"/>
      <c r="G143" s="508"/>
      <c r="H143" s="508"/>
      <c r="I143" s="508"/>
      <c r="J143" s="439"/>
      <c r="K143" s="439"/>
      <c r="L143" s="517"/>
      <c r="M143" s="505"/>
      <c r="N143" s="505"/>
      <c r="O143" s="506"/>
      <c r="P143" s="440"/>
      <c r="Q143" s="508"/>
      <c r="R143" s="508"/>
    </row>
    <row r="144" spans="1:18" s="441" customFormat="1" ht="18.75">
      <c r="A144" s="509"/>
      <c r="B144" s="509"/>
      <c r="C144" s="516"/>
      <c r="D144" s="440"/>
      <c r="E144" s="438"/>
      <c r="F144" s="508"/>
      <c r="G144" s="508"/>
      <c r="H144" s="508"/>
      <c r="I144" s="508"/>
      <c r="J144" s="439"/>
      <c r="K144" s="439"/>
      <c r="L144" s="517"/>
      <c r="M144" s="505"/>
      <c r="N144" s="505"/>
      <c r="O144" s="506"/>
      <c r="P144" s="440"/>
      <c r="Q144" s="508"/>
      <c r="R144" s="508"/>
    </row>
    <row r="145" spans="1:18" s="441" customFormat="1" ht="18.75">
      <c r="A145" s="509"/>
      <c r="B145" s="509"/>
      <c r="C145" s="516"/>
      <c r="D145" s="440"/>
      <c r="E145" s="438"/>
      <c r="F145" s="508"/>
      <c r="G145" s="508"/>
      <c r="H145" s="508"/>
      <c r="I145" s="508"/>
      <c r="J145" s="439"/>
      <c r="K145" s="439"/>
      <c r="L145" s="517"/>
      <c r="M145" s="505"/>
      <c r="N145" s="505"/>
      <c r="O145" s="506"/>
      <c r="P145" s="440"/>
      <c r="Q145" s="508"/>
      <c r="R145" s="508"/>
    </row>
    <row r="146" spans="1:18" s="441" customFormat="1" ht="18.75">
      <c r="A146" s="509"/>
      <c r="B146" s="509"/>
      <c r="C146" s="516"/>
      <c r="D146" s="440"/>
      <c r="E146" s="438"/>
      <c r="F146" s="508"/>
      <c r="G146" s="508"/>
      <c r="H146" s="508"/>
      <c r="I146" s="508"/>
      <c r="J146" s="439"/>
      <c r="K146" s="439"/>
      <c r="L146" s="517"/>
      <c r="M146" s="505"/>
      <c r="N146" s="505"/>
      <c r="O146" s="506"/>
      <c r="P146" s="440"/>
      <c r="Q146" s="508"/>
      <c r="R146" s="508"/>
    </row>
    <row r="147" spans="1:18" s="441" customFormat="1" ht="18.75">
      <c r="A147" s="509"/>
      <c r="B147" s="509"/>
      <c r="C147" s="516"/>
      <c r="D147" s="440"/>
      <c r="E147" s="438"/>
      <c r="F147" s="508"/>
      <c r="G147" s="508"/>
      <c r="H147" s="508"/>
      <c r="I147" s="508"/>
      <c r="J147" s="439"/>
      <c r="K147" s="439"/>
      <c r="L147" s="517"/>
      <c r="M147" s="505"/>
      <c r="N147" s="505"/>
      <c r="O147" s="506"/>
      <c r="P147" s="440"/>
      <c r="Q147" s="508"/>
      <c r="R147" s="508"/>
    </row>
    <row r="148" spans="1:18" s="441" customFormat="1" ht="18.75">
      <c r="A148" s="509"/>
      <c r="B148" s="509"/>
      <c r="C148" s="516"/>
      <c r="D148" s="440"/>
      <c r="E148" s="438"/>
      <c r="F148" s="508"/>
      <c r="G148" s="508"/>
      <c r="H148" s="508"/>
      <c r="I148" s="508"/>
      <c r="J148" s="439"/>
      <c r="K148" s="439"/>
      <c r="L148" s="517"/>
      <c r="M148" s="505"/>
      <c r="N148" s="505"/>
      <c r="O148" s="506"/>
      <c r="P148" s="440"/>
      <c r="Q148" s="508"/>
      <c r="R148" s="508"/>
    </row>
    <row r="149" spans="1:18" s="441" customFormat="1" ht="18.75">
      <c r="A149" s="509"/>
      <c r="B149" s="509"/>
      <c r="C149" s="516"/>
      <c r="D149" s="440"/>
      <c r="E149" s="438"/>
      <c r="F149" s="508"/>
      <c r="G149" s="508"/>
      <c r="H149" s="508"/>
      <c r="I149" s="508"/>
      <c r="J149" s="439"/>
      <c r="K149" s="439"/>
      <c r="L149" s="517"/>
      <c r="M149" s="505"/>
      <c r="N149" s="505"/>
      <c r="O149" s="506"/>
      <c r="P149" s="440"/>
      <c r="Q149" s="508"/>
      <c r="R149" s="508"/>
    </row>
    <row r="150" spans="1:18" s="441" customFormat="1" ht="18.75">
      <c r="A150" s="509"/>
      <c r="B150" s="509"/>
      <c r="C150" s="516"/>
      <c r="D150" s="440"/>
      <c r="E150" s="438"/>
      <c r="F150" s="508"/>
      <c r="G150" s="508"/>
      <c r="H150" s="508"/>
      <c r="I150" s="508"/>
      <c r="J150" s="439"/>
      <c r="K150" s="439"/>
      <c r="L150" s="517"/>
      <c r="M150" s="505"/>
      <c r="N150" s="505"/>
      <c r="O150" s="506"/>
      <c r="P150" s="440"/>
      <c r="Q150" s="508"/>
      <c r="R150" s="508"/>
    </row>
    <row r="151" spans="1:18" s="441" customFormat="1" ht="18.75">
      <c r="A151" s="509"/>
      <c r="B151" s="509"/>
      <c r="C151" s="516"/>
      <c r="D151" s="440"/>
      <c r="E151" s="438"/>
      <c r="F151" s="508"/>
      <c r="G151" s="508"/>
      <c r="H151" s="508"/>
      <c r="I151" s="508"/>
      <c r="J151" s="439"/>
      <c r="K151" s="439"/>
      <c r="L151" s="517"/>
      <c r="M151" s="505"/>
      <c r="N151" s="505"/>
      <c r="O151" s="506"/>
      <c r="P151" s="440"/>
      <c r="Q151" s="508"/>
      <c r="R151" s="508"/>
    </row>
    <row r="152" spans="1:18" s="441" customFormat="1" ht="18.75">
      <c r="A152" s="509"/>
      <c r="B152" s="509"/>
      <c r="C152" s="516"/>
      <c r="D152" s="440"/>
      <c r="E152" s="438"/>
      <c r="F152" s="508"/>
      <c r="G152" s="508"/>
      <c r="H152" s="508"/>
      <c r="I152" s="508"/>
      <c r="J152" s="439"/>
      <c r="K152" s="439"/>
      <c r="L152" s="517"/>
      <c r="M152" s="505"/>
      <c r="N152" s="505"/>
      <c r="O152" s="506"/>
      <c r="P152" s="440"/>
      <c r="Q152" s="508"/>
      <c r="R152" s="508"/>
    </row>
    <row r="153" spans="1:18" s="441" customFormat="1" ht="18.75">
      <c r="A153" s="509"/>
      <c r="B153" s="509"/>
      <c r="C153" s="516"/>
      <c r="D153" s="440"/>
      <c r="E153" s="438"/>
      <c r="F153" s="508"/>
      <c r="G153" s="508"/>
      <c r="H153" s="508"/>
      <c r="I153" s="508"/>
      <c r="J153" s="439"/>
      <c r="K153" s="439"/>
      <c r="L153" s="517"/>
      <c r="M153" s="505"/>
      <c r="N153" s="505"/>
      <c r="O153" s="506"/>
      <c r="P153" s="440"/>
      <c r="Q153" s="508"/>
      <c r="R153" s="508"/>
    </row>
    <row r="154" spans="1:18" s="441" customFormat="1" ht="18.75">
      <c r="A154" s="509"/>
      <c r="B154" s="509"/>
      <c r="C154" s="516"/>
      <c r="D154" s="440"/>
      <c r="E154" s="438"/>
      <c r="F154" s="508"/>
      <c r="G154" s="508"/>
      <c r="H154" s="508"/>
      <c r="I154" s="508"/>
      <c r="J154" s="439"/>
      <c r="K154" s="439"/>
      <c r="L154" s="517"/>
      <c r="M154" s="505"/>
      <c r="N154" s="505"/>
      <c r="O154" s="506"/>
      <c r="P154" s="440"/>
      <c r="Q154" s="508"/>
      <c r="R154" s="508"/>
    </row>
    <row r="155" spans="1:18" s="441" customFormat="1" ht="18.75">
      <c r="A155" s="509"/>
      <c r="B155" s="509"/>
      <c r="C155" s="516"/>
      <c r="D155" s="440"/>
      <c r="E155" s="438"/>
      <c r="F155" s="508"/>
      <c r="G155" s="508"/>
      <c r="H155" s="508"/>
      <c r="I155" s="508"/>
      <c r="J155" s="439"/>
      <c r="K155" s="439"/>
      <c r="L155" s="517"/>
      <c r="M155" s="505"/>
      <c r="N155" s="505"/>
      <c r="O155" s="506"/>
      <c r="P155" s="440"/>
      <c r="Q155" s="508"/>
      <c r="R155" s="508"/>
    </row>
    <row r="156" spans="1:18" s="441" customFormat="1" ht="18.75">
      <c r="A156" s="509"/>
      <c r="B156" s="509"/>
      <c r="C156" s="516"/>
      <c r="D156" s="440"/>
      <c r="E156" s="438"/>
      <c r="F156" s="508"/>
      <c r="G156" s="508"/>
      <c r="H156" s="508"/>
      <c r="I156" s="508"/>
      <c r="J156" s="439"/>
      <c r="K156" s="439"/>
      <c r="L156" s="517"/>
      <c r="M156" s="505"/>
      <c r="N156" s="505"/>
      <c r="O156" s="506"/>
      <c r="P156" s="440"/>
      <c r="Q156" s="508"/>
      <c r="R156" s="508"/>
    </row>
    <row r="157" spans="1:18" s="441" customFormat="1" ht="18.75">
      <c r="A157" s="509"/>
      <c r="B157" s="509"/>
      <c r="C157" s="516"/>
      <c r="D157" s="440"/>
      <c r="E157" s="438"/>
      <c r="F157" s="508"/>
      <c r="G157" s="508"/>
      <c r="H157" s="508"/>
      <c r="I157" s="508"/>
      <c r="J157" s="439"/>
      <c r="K157" s="439"/>
      <c r="L157" s="517"/>
      <c r="M157" s="505"/>
      <c r="N157" s="505"/>
      <c r="O157" s="506"/>
      <c r="P157" s="440"/>
      <c r="Q157" s="508"/>
      <c r="R157" s="508"/>
    </row>
    <row r="158" spans="1:18" s="441" customFormat="1" ht="18.75">
      <c r="A158" s="509"/>
      <c r="B158" s="509"/>
      <c r="C158" s="516"/>
      <c r="D158" s="440"/>
      <c r="E158" s="438"/>
      <c r="F158" s="508"/>
      <c r="G158" s="508"/>
      <c r="H158" s="508"/>
      <c r="I158" s="508"/>
      <c r="J158" s="439"/>
      <c r="K158" s="439"/>
      <c r="L158" s="517"/>
      <c r="M158" s="505"/>
      <c r="N158" s="505"/>
      <c r="O158" s="506"/>
      <c r="P158" s="440"/>
      <c r="Q158" s="508"/>
      <c r="R158" s="508"/>
    </row>
    <row r="159" spans="1:18" s="441" customFormat="1" ht="18.75">
      <c r="A159" s="509"/>
      <c r="B159" s="509"/>
      <c r="C159" s="516"/>
      <c r="D159" s="440"/>
      <c r="E159" s="438"/>
      <c r="F159" s="508"/>
      <c r="G159" s="508"/>
      <c r="H159" s="508"/>
      <c r="I159" s="508"/>
      <c r="J159" s="439"/>
      <c r="K159" s="439"/>
      <c r="L159" s="517"/>
      <c r="M159" s="505"/>
      <c r="N159" s="505"/>
      <c r="O159" s="506"/>
      <c r="P159" s="440"/>
      <c r="Q159" s="508"/>
      <c r="R159" s="508"/>
    </row>
    <row r="160" spans="1:18" s="441" customFormat="1" ht="18.75">
      <c r="A160" s="509"/>
      <c r="B160" s="509"/>
      <c r="C160" s="516"/>
      <c r="D160" s="440"/>
      <c r="E160" s="438"/>
      <c r="F160" s="508"/>
      <c r="G160" s="508"/>
      <c r="H160" s="508"/>
      <c r="I160" s="508"/>
      <c r="J160" s="439"/>
      <c r="K160" s="439"/>
      <c r="L160" s="517"/>
      <c r="M160" s="505"/>
      <c r="N160" s="505"/>
      <c r="O160" s="506"/>
      <c r="P160" s="440"/>
      <c r="Q160" s="508"/>
      <c r="R160" s="508"/>
    </row>
    <row r="161" spans="1:18" s="441" customFormat="1" ht="18.75">
      <c r="A161" s="509"/>
      <c r="B161" s="509"/>
      <c r="C161" s="516"/>
      <c r="D161" s="440"/>
      <c r="E161" s="438"/>
      <c r="F161" s="508"/>
      <c r="G161" s="508"/>
      <c r="H161" s="508"/>
      <c r="I161" s="508"/>
      <c r="J161" s="439"/>
      <c r="K161" s="439"/>
      <c r="L161" s="517"/>
      <c r="M161" s="505"/>
      <c r="N161" s="505"/>
      <c r="O161" s="506"/>
      <c r="P161" s="440"/>
      <c r="Q161" s="508"/>
      <c r="R161" s="508"/>
    </row>
    <row r="162" spans="1:18" s="441" customFormat="1" ht="18.75">
      <c r="A162" s="509"/>
      <c r="B162" s="509"/>
      <c r="C162" s="516"/>
      <c r="D162" s="440"/>
      <c r="E162" s="438"/>
      <c r="F162" s="508"/>
      <c r="G162" s="508"/>
      <c r="H162" s="508"/>
      <c r="I162" s="508"/>
      <c r="J162" s="439"/>
      <c r="K162" s="439"/>
      <c r="L162" s="517"/>
      <c r="M162" s="505"/>
      <c r="N162" s="505"/>
      <c r="O162" s="506"/>
      <c r="P162" s="440"/>
      <c r="Q162" s="508"/>
      <c r="R162" s="508"/>
    </row>
    <row r="163" spans="1:18" s="441" customFormat="1" ht="18.75">
      <c r="A163" s="509"/>
      <c r="B163" s="509"/>
      <c r="C163" s="516"/>
      <c r="D163" s="440"/>
      <c r="E163" s="438"/>
      <c r="F163" s="508"/>
      <c r="G163" s="508"/>
      <c r="H163" s="508"/>
      <c r="I163" s="508"/>
      <c r="J163" s="439"/>
      <c r="K163" s="439"/>
      <c r="L163" s="517"/>
      <c r="M163" s="505"/>
      <c r="N163" s="505"/>
      <c r="O163" s="506"/>
      <c r="P163" s="440"/>
      <c r="Q163" s="508"/>
      <c r="R163" s="508"/>
    </row>
    <row r="164" spans="1:18" s="441" customFormat="1" ht="18.75">
      <c r="A164" s="509"/>
      <c r="B164" s="509"/>
      <c r="C164" s="516"/>
      <c r="D164" s="440"/>
      <c r="E164" s="438"/>
      <c r="F164" s="508"/>
      <c r="G164" s="508"/>
      <c r="H164" s="508"/>
      <c r="I164" s="508"/>
      <c r="J164" s="439"/>
      <c r="K164" s="439"/>
      <c r="L164" s="517"/>
      <c r="M164" s="505"/>
      <c r="N164" s="505"/>
      <c r="O164" s="506"/>
      <c r="P164" s="440"/>
      <c r="Q164" s="508"/>
      <c r="R164" s="508"/>
    </row>
    <row r="165" spans="1:18" s="441" customFormat="1" ht="18.75">
      <c r="A165" s="509"/>
      <c r="B165" s="509"/>
      <c r="C165" s="516"/>
      <c r="D165" s="440"/>
      <c r="E165" s="438"/>
      <c r="F165" s="508"/>
      <c r="G165" s="508"/>
      <c r="H165" s="508"/>
      <c r="I165" s="508"/>
      <c r="J165" s="439"/>
      <c r="K165" s="439"/>
      <c r="L165" s="517"/>
      <c r="M165" s="505"/>
      <c r="N165" s="505"/>
      <c r="O165" s="506"/>
      <c r="P165" s="440"/>
      <c r="Q165" s="508"/>
      <c r="R165" s="508"/>
    </row>
    <row r="166" spans="1:18" s="441" customFormat="1" ht="18.75">
      <c r="A166" s="509"/>
      <c r="B166" s="509"/>
      <c r="C166" s="516"/>
      <c r="D166" s="440"/>
      <c r="E166" s="438"/>
      <c r="F166" s="508"/>
      <c r="G166" s="508"/>
      <c r="H166" s="508"/>
      <c r="I166" s="508"/>
      <c r="J166" s="439"/>
      <c r="K166" s="439"/>
      <c r="L166" s="517"/>
      <c r="M166" s="505"/>
      <c r="N166" s="505"/>
      <c r="O166" s="506"/>
      <c r="P166" s="440"/>
      <c r="Q166" s="508"/>
      <c r="R166" s="508"/>
    </row>
    <row r="167" spans="1:18" s="441" customFormat="1" ht="18.75">
      <c r="A167" s="509"/>
      <c r="B167" s="509"/>
      <c r="C167" s="516"/>
      <c r="D167" s="440"/>
      <c r="E167" s="438"/>
      <c r="F167" s="508"/>
      <c r="G167" s="508"/>
      <c r="H167" s="508"/>
      <c r="I167" s="508"/>
      <c r="J167" s="439"/>
      <c r="K167" s="439"/>
      <c r="L167" s="517"/>
      <c r="M167" s="505"/>
      <c r="N167" s="505"/>
      <c r="O167" s="506"/>
      <c r="P167" s="440"/>
      <c r="Q167" s="508"/>
      <c r="R167" s="508"/>
    </row>
    <row r="168" spans="1:18" s="441" customFormat="1" ht="18.75">
      <c r="A168" s="509"/>
      <c r="B168" s="509"/>
      <c r="C168" s="516"/>
      <c r="D168" s="440"/>
      <c r="E168" s="438"/>
      <c r="F168" s="508"/>
      <c r="G168" s="508"/>
      <c r="H168" s="508"/>
      <c r="I168" s="508"/>
      <c r="J168" s="439"/>
      <c r="K168" s="439"/>
      <c r="L168" s="517"/>
      <c r="M168" s="505"/>
      <c r="N168" s="505"/>
      <c r="O168" s="506"/>
      <c r="P168" s="440"/>
      <c r="Q168" s="508"/>
      <c r="R168" s="508"/>
    </row>
    <row r="169" spans="1:18" s="441" customFormat="1" ht="18.75">
      <c r="A169" s="509"/>
      <c r="B169" s="509"/>
      <c r="C169" s="516"/>
      <c r="D169" s="440"/>
      <c r="E169" s="438"/>
      <c r="F169" s="508"/>
      <c r="G169" s="508"/>
      <c r="H169" s="508"/>
      <c r="I169" s="508"/>
      <c r="J169" s="439"/>
      <c r="K169" s="439"/>
      <c r="L169" s="517"/>
      <c r="M169" s="505"/>
      <c r="N169" s="505"/>
      <c r="O169" s="506"/>
      <c r="P169" s="440"/>
      <c r="Q169" s="508"/>
      <c r="R169" s="508"/>
    </row>
    <row r="170" spans="1:18" s="441" customFormat="1" ht="18.75">
      <c r="A170" s="509"/>
      <c r="B170" s="509"/>
      <c r="C170" s="516"/>
      <c r="D170" s="440"/>
      <c r="E170" s="438"/>
      <c r="F170" s="508"/>
      <c r="G170" s="508"/>
      <c r="H170" s="508"/>
      <c r="I170" s="508"/>
      <c r="J170" s="439"/>
      <c r="K170" s="439"/>
      <c r="L170" s="517"/>
      <c r="M170" s="505"/>
      <c r="N170" s="505"/>
      <c r="O170" s="506"/>
      <c r="P170" s="440"/>
      <c r="Q170" s="508"/>
      <c r="R170" s="508"/>
    </row>
    <row r="171" spans="1:18" s="441" customFormat="1" ht="18.75">
      <c r="A171" s="509"/>
      <c r="B171" s="509"/>
      <c r="C171" s="516"/>
      <c r="D171" s="440"/>
      <c r="E171" s="438"/>
      <c r="F171" s="508"/>
      <c r="G171" s="508"/>
      <c r="H171" s="508"/>
      <c r="I171" s="508"/>
      <c r="J171" s="439"/>
      <c r="K171" s="439"/>
      <c r="L171" s="517"/>
      <c r="M171" s="505"/>
      <c r="N171" s="505"/>
      <c r="O171" s="506"/>
      <c r="P171" s="440"/>
      <c r="Q171" s="508"/>
      <c r="R171" s="508"/>
    </row>
    <row r="172" spans="1:18" s="441" customFormat="1" ht="18.75">
      <c r="A172" s="509"/>
      <c r="B172" s="509"/>
      <c r="C172" s="516"/>
      <c r="D172" s="440"/>
      <c r="E172" s="438"/>
      <c r="F172" s="508"/>
      <c r="G172" s="508"/>
      <c r="H172" s="508"/>
      <c r="I172" s="508"/>
      <c r="J172" s="439"/>
      <c r="K172" s="439"/>
      <c r="L172" s="517"/>
      <c r="M172" s="505"/>
      <c r="N172" s="505"/>
      <c r="O172" s="506"/>
      <c r="P172" s="440"/>
      <c r="Q172" s="508"/>
      <c r="R172" s="508"/>
    </row>
    <row r="173" spans="1:18" s="441" customFormat="1" ht="18.75">
      <c r="A173" s="509"/>
      <c r="B173" s="509"/>
      <c r="C173" s="516"/>
      <c r="D173" s="440"/>
      <c r="E173" s="438"/>
      <c r="F173" s="508"/>
      <c r="G173" s="508"/>
      <c r="H173" s="508"/>
      <c r="I173" s="508"/>
      <c r="J173" s="439"/>
      <c r="K173" s="439"/>
      <c r="L173" s="517"/>
      <c r="M173" s="505"/>
      <c r="N173" s="505"/>
      <c r="O173" s="506"/>
      <c r="P173" s="440"/>
      <c r="Q173" s="508"/>
      <c r="R173" s="508"/>
    </row>
    <row r="174" spans="1:18" s="441" customFormat="1" ht="18.75">
      <c r="A174" s="509"/>
      <c r="B174" s="509"/>
      <c r="C174" s="516"/>
      <c r="D174" s="440"/>
      <c r="E174" s="438"/>
      <c r="F174" s="508"/>
      <c r="G174" s="508"/>
      <c r="H174" s="508"/>
      <c r="I174" s="508"/>
      <c r="J174" s="439"/>
      <c r="K174" s="439"/>
      <c r="L174" s="517"/>
      <c r="M174" s="505"/>
      <c r="N174" s="505"/>
      <c r="O174" s="506"/>
      <c r="P174" s="440"/>
      <c r="Q174" s="508"/>
      <c r="R174" s="508"/>
    </row>
    <row r="175" spans="1:18" s="441" customFormat="1" ht="18.75">
      <c r="A175" s="509"/>
      <c r="B175" s="509"/>
      <c r="C175" s="516"/>
      <c r="D175" s="440"/>
      <c r="E175" s="438"/>
      <c r="F175" s="508"/>
      <c r="G175" s="508"/>
      <c r="H175" s="508"/>
      <c r="I175" s="508"/>
      <c r="J175" s="439"/>
      <c r="K175" s="439"/>
      <c r="L175" s="517"/>
      <c r="M175" s="505"/>
      <c r="N175" s="505"/>
      <c r="O175" s="506"/>
      <c r="P175" s="440"/>
      <c r="Q175" s="508"/>
      <c r="R175" s="508"/>
    </row>
    <row r="176" spans="1:18" s="441" customFormat="1" ht="18.75">
      <c r="A176" s="509"/>
      <c r="B176" s="509"/>
      <c r="C176" s="516"/>
      <c r="D176" s="440"/>
      <c r="E176" s="438"/>
      <c r="F176" s="508"/>
      <c r="G176" s="508"/>
      <c r="H176" s="508"/>
      <c r="I176" s="508"/>
      <c r="J176" s="439"/>
      <c r="K176" s="439"/>
      <c r="L176" s="517"/>
      <c r="M176" s="505"/>
      <c r="N176" s="505"/>
      <c r="O176" s="506"/>
      <c r="P176" s="440"/>
      <c r="Q176" s="508"/>
      <c r="R176" s="508"/>
    </row>
    <row r="177" spans="1:18" s="441" customFormat="1" ht="18.75">
      <c r="A177" s="509"/>
      <c r="B177" s="509"/>
      <c r="C177" s="516"/>
      <c r="D177" s="440"/>
      <c r="E177" s="438"/>
      <c r="F177" s="508"/>
      <c r="G177" s="508"/>
      <c r="H177" s="508"/>
      <c r="I177" s="508"/>
      <c r="J177" s="439"/>
      <c r="K177" s="439"/>
      <c r="L177" s="517"/>
      <c r="M177" s="505"/>
      <c r="N177" s="505"/>
      <c r="O177" s="506"/>
      <c r="P177" s="440"/>
      <c r="Q177" s="508"/>
      <c r="R177" s="508"/>
    </row>
    <row r="178" spans="1:18" s="441" customFormat="1" ht="18.75">
      <c r="A178" s="509"/>
      <c r="B178" s="509"/>
      <c r="C178" s="516"/>
      <c r="D178" s="440"/>
      <c r="E178" s="438"/>
      <c r="F178" s="508"/>
      <c r="G178" s="508"/>
      <c r="H178" s="508"/>
      <c r="I178" s="508"/>
      <c r="J178" s="439"/>
      <c r="K178" s="439"/>
      <c r="L178" s="517"/>
      <c r="M178" s="505"/>
      <c r="N178" s="505"/>
      <c r="O178" s="506"/>
      <c r="P178" s="440"/>
      <c r="Q178" s="508"/>
      <c r="R178" s="508"/>
    </row>
    <row r="179" spans="1:18" s="441" customFormat="1" ht="18.75">
      <c r="A179" s="509"/>
      <c r="B179" s="509"/>
      <c r="C179" s="516"/>
      <c r="D179" s="440"/>
      <c r="E179" s="438"/>
      <c r="F179" s="508"/>
      <c r="G179" s="508"/>
      <c r="H179" s="508"/>
      <c r="I179" s="508"/>
      <c r="J179" s="439"/>
      <c r="K179" s="439"/>
      <c r="L179" s="517"/>
      <c r="M179" s="505"/>
      <c r="N179" s="505"/>
      <c r="O179" s="506"/>
      <c r="P179" s="440"/>
      <c r="Q179" s="508"/>
      <c r="R179" s="508"/>
    </row>
    <row r="180" spans="1:18" s="441" customFormat="1" ht="18.75">
      <c r="A180" s="509"/>
      <c r="B180" s="509"/>
      <c r="C180" s="516"/>
      <c r="D180" s="440"/>
      <c r="E180" s="438"/>
      <c r="F180" s="508"/>
      <c r="G180" s="508"/>
      <c r="H180" s="508"/>
      <c r="I180" s="508"/>
      <c r="J180" s="439"/>
      <c r="K180" s="439"/>
      <c r="L180" s="517"/>
      <c r="M180" s="505"/>
      <c r="N180" s="505"/>
      <c r="O180" s="506"/>
      <c r="P180" s="440"/>
      <c r="Q180" s="508"/>
      <c r="R180" s="508"/>
    </row>
    <row r="181" spans="1:18" s="441" customFormat="1" ht="18.75">
      <c r="A181" s="509"/>
      <c r="B181" s="509"/>
      <c r="C181" s="516"/>
      <c r="D181" s="440"/>
      <c r="E181" s="438"/>
      <c r="F181" s="508"/>
      <c r="G181" s="508"/>
      <c r="H181" s="508"/>
      <c r="I181" s="508"/>
      <c r="J181" s="439"/>
      <c r="K181" s="439"/>
      <c r="L181" s="517"/>
      <c r="M181" s="505"/>
      <c r="N181" s="505"/>
      <c r="O181" s="506"/>
      <c r="P181" s="440"/>
      <c r="Q181" s="508"/>
      <c r="R181" s="508"/>
    </row>
    <row r="182" spans="1:18" s="441" customFormat="1" ht="18.75">
      <c r="A182" s="509"/>
      <c r="B182" s="509"/>
      <c r="C182" s="516"/>
      <c r="D182" s="440"/>
      <c r="E182" s="438"/>
      <c r="F182" s="508"/>
      <c r="G182" s="508"/>
      <c r="H182" s="508"/>
      <c r="I182" s="508"/>
      <c r="J182" s="439"/>
      <c r="K182" s="439"/>
      <c r="L182" s="517"/>
      <c r="M182" s="505"/>
      <c r="N182" s="505"/>
      <c r="O182" s="506"/>
      <c r="P182" s="440"/>
      <c r="Q182" s="508"/>
      <c r="R182" s="508"/>
    </row>
    <row r="183" spans="1:18" s="441" customFormat="1" ht="18.75">
      <c r="A183" s="509"/>
      <c r="B183" s="509"/>
      <c r="C183" s="516"/>
      <c r="D183" s="440"/>
      <c r="E183" s="438"/>
      <c r="F183" s="508"/>
      <c r="G183" s="508"/>
      <c r="H183" s="508"/>
      <c r="I183" s="508"/>
      <c r="J183" s="439"/>
      <c r="K183" s="439"/>
      <c r="L183" s="517"/>
      <c r="M183" s="505"/>
      <c r="N183" s="505"/>
      <c r="O183" s="506"/>
      <c r="P183" s="440"/>
      <c r="Q183" s="508"/>
      <c r="R183" s="508"/>
    </row>
    <row r="184" spans="1:18" s="441" customFormat="1" ht="18.75">
      <c r="A184" s="509"/>
      <c r="B184" s="509"/>
      <c r="C184" s="516"/>
      <c r="D184" s="440"/>
      <c r="E184" s="438"/>
      <c r="F184" s="508"/>
      <c r="G184" s="508"/>
      <c r="H184" s="508"/>
      <c r="I184" s="508"/>
      <c r="J184" s="439"/>
      <c r="K184" s="439"/>
      <c r="L184" s="517"/>
      <c r="M184" s="505"/>
      <c r="N184" s="505"/>
      <c r="O184" s="506"/>
      <c r="P184" s="440"/>
      <c r="Q184" s="508"/>
      <c r="R184" s="508"/>
    </row>
    <row r="185" spans="1:18" s="441" customFormat="1" ht="18.75">
      <c r="A185" s="509"/>
      <c r="B185" s="509"/>
      <c r="C185" s="516"/>
      <c r="D185" s="440"/>
      <c r="E185" s="438"/>
      <c r="F185" s="508"/>
      <c r="G185" s="508"/>
      <c r="H185" s="508"/>
      <c r="I185" s="508"/>
      <c r="J185" s="439"/>
      <c r="K185" s="439"/>
      <c r="L185" s="517"/>
      <c r="M185" s="505"/>
      <c r="N185" s="505"/>
      <c r="O185" s="506"/>
      <c r="P185" s="440"/>
      <c r="Q185" s="508"/>
      <c r="R185" s="508"/>
    </row>
    <row r="186" spans="1:18" s="441" customFormat="1" ht="18.75">
      <c r="A186" s="509"/>
      <c r="B186" s="509"/>
      <c r="C186" s="516"/>
      <c r="D186" s="440"/>
      <c r="E186" s="438"/>
      <c r="F186" s="508"/>
      <c r="G186" s="508"/>
      <c r="H186" s="508"/>
      <c r="I186" s="508"/>
      <c r="J186" s="439"/>
      <c r="K186" s="439"/>
      <c r="L186" s="517"/>
      <c r="M186" s="505"/>
      <c r="N186" s="505"/>
      <c r="O186" s="506"/>
      <c r="P186" s="440"/>
      <c r="Q186" s="508"/>
      <c r="R186" s="508"/>
    </row>
    <row r="187" spans="1:18" s="441" customFormat="1" ht="18.75">
      <c r="A187" s="509"/>
      <c r="B187" s="509"/>
      <c r="C187" s="516"/>
      <c r="D187" s="440"/>
      <c r="E187" s="438"/>
      <c r="F187" s="508"/>
      <c r="G187" s="508"/>
      <c r="H187" s="508"/>
      <c r="I187" s="508"/>
      <c r="J187" s="439"/>
      <c r="K187" s="439"/>
      <c r="L187" s="517"/>
      <c r="M187" s="505"/>
      <c r="N187" s="505"/>
      <c r="O187" s="506"/>
      <c r="P187" s="440"/>
      <c r="Q187" s="508"/>
      <c r="R187" s="508"/>
    </row>
    <row r="188" spans="1:18" s="441" customFormat="1" ht="18.75">
      <c r="A188" s="509"/>
      <c r="B188" s="509"/>
      <c r="C188" s="516"/>
      <c r="D188" s="440"/>
      <c r="E188" s="438"/>
      <c r="F188" s="508"/>
      <c r="G188" s="508"/>
      <c r="H188" s="508"/>
      <c r="I188" s="508"/>
      <c r="J188" s="439"/>
      <c r="K188" s="439"/>
      <c r="L188" s="517"/>
      <c r="M188" s="505"/>
      <c r="N188" s="505"/>
      <c r="O188" s="506"/>
      <c r="P188" s="440"/>
      <c r="Q188" s="508"/>
      <c r="R188" s="508"/>
    </row>
    <row r="189" spans="1:18" s="441" customFormat="1" ht="18.75">
      <c r="A189" s="509"/>
      <c r="B189" s="509"/>
      <c r="C189" s="516"/>
      <c r="D189" s="440"/>
      <c r="E189" s="438"/>
      <c r="F189" s="508"/>
      <c r="G189" s="508"/>
      <c r="H189" s="508"/>
      <c r="I189" s="508"/>
      <c r="J189" s="439"/>
      <c r="K189" s="439"/>
      <c r="L189" s="517"/>
      <c r="M189" s="505"/>
      <c r="N189" s="505"/>
      <c r="O189" s="506"/>
      <c r="P189" s="440"/>
      <c r="Q189" s="508"/>
      <c r="R189" s="508"/>
    </row>
    <row r="190" spans="1:18" s="441" customFormat="1" ht="18.75">
      <c r="A190" s="509"/>
      <c r="B190" s="509"/>
      <c r="C190" s="516"/>
      <c r="D190" s="440"/>
      <c r="E190" s="438"/>
      <c r="F190" s="508"/>
      <c r="G190" s="508"/>
      <c r="H190" s="508"/>
      <c r="I190" s="508"/>
      <c r="J190" s="439"/>
      <c r="K190" s="439"/>
      <c r="L190" s="517"/>
      <c r="M190" s="505"/>
      <c r="N190" s="505"/>
      <c r="O190" s="506"/>
      <c r="P190" s="440"/>
      <c r="Q190" s="508"/>
      <c r="R190" s="508"/>
    </row>
    <row r="191" spans="1:18" s="441" customFormat="1" ht="18.75">
      <c r="A191" s="509"/>
      <c r="B191" s="509"/>
      <c r="C191" s="516"/>
      <c r="D191" s="440"/>
      <c r="E191" s="438"/>
      <c r="F191" s="508"/>
      <c r="G191" s="508"/>
      <c r="H191" s="508"/>
      <c r="I191" s="508"/>
      <c r="J191" s="439"/>
      <c r="K191" s="439"/>
      <c r="L191" s="517"/>
      <c r="M191" s="505"/>
      <c r="N191" s="505"/>
      <c r="O191" s="506"/>
      <c r="P191" s="440"/>
      <c r="Q191" s="508"/>
      <c r="R191" s="508"/>
    </row>
    <row r="192" spans="1:18" s="441" customFormat="1" ht="18.75">
      <c r="A192" s="509"/>
      <c r="B192" s="509"/>
      <c r="C192" s="516"/>
      <c r="D192" s="440"/>
      <c r="E192" s="438"/>
      <c r="F192" s="508"/>
      <c r="G192" s="508"/>
      <c r="H192" s="508"/>
      <c r="I192" s="508"/>
      <c r="J192" s="439"/>
      <c r="K192" s="439"/>
      <c r="L192" s="517"/>
      <c r="M192" s="505"/>
      <c r="N192" s="505"/>
      <c r="O192" s="506"/>
      <c r="P192" s="440"/>
      <c r="Q192" s="508"/>
      <c r="R192" s="508"/>
    </row>
    <row r="193" spans="1:18" s="441" customFormat="1" ht="18.75">
      <c r="A193" s="509"/>
      <c r="B193" s="509"/>
      <c r="C193" s="516"/>
      <c r="D193" s="440"/>
      <c r="E193" s="438"/>
      <c r="F193" s="508"/>
      <c r="G193" s="508"/>
      <c r="H193" s="508"/>
      <c r="I193" s="508"/>
      <c r="J193" s="439"/>
      <c r="K193" s="439"/>
      <c r="L193" s="517"/>
      <c r="M193" s="505"/>
      <c r="N193" s="505"/>
      <c r="O193" s="506"/>
      <c r="P193" s="440"/>
      <c r="Q193" s="508"/>
      <c r="R193" s="508"/>
    </row>
    <row r="194" spans="1:18" s="441" customFormat="1" ht="18.75">
      <c r="A194" s="509"/>
      <c r="B194" s="509"/>
      <c r="C194" s="516"/>
      <c r="D194" s="440"/>
      <c r="E194" s="438"/>
      <c r="F194" s="508"/>
      <c r="G194" s="508"/>
      <c r="H194" s="508"/>
      <c r="I194" s="508"/>
      <c r="J194" s="439"/>
      <c r="K194" s="439"/>
      <c r="L194" s="517"/>
      <c r="M194" s="505"/>
      <c r="N194" s="505"/>
      <c r="O194" s="506"/>
      <c r="P194" s="440"/>
      <c r="Q194" s="508"/>
      <c r="R194" s="508"/>
    </row>
    <row r="195" spans="1:18" s="441" customFormat="1" ht="18.75">
      <c r="A195" s="509"/>
      <c r="B195" s="509"/>
      <c r="C195" s="516"/>
      <c r="D195" s="440"/>
      <c r="E195" s="438"/>
      <c r="F195" s="508"/>
      <c r="G195" s="508"/>
      <c r="H195" s="508"/>
      <c r="I195" s="508"/>
      <c r="J195" s="439"/>
      <c r="K195" s="439"/>
      <c r="L195" s="517"/>
      <c r="M195" s="505"/>
      <c r="N195" s="505"/>
      <c r="O195" s="506"/>
      <c r="P195" s="440"/>
      <c r="Q195" s="508"/>
      <c r="R195" s="508"/>
    </row>
    <row r="196" spans="1:18" s="441" customFormat="1" ht="18.75">
      <c r="A196" s="509"/>
      <c r="B196" s="509"/>
      <c r="C196" s="516"/>
      <c r="D196" s="440"/>
      <c r="E196" s="438"/>
      <c r="F196" s="508"/>
      <c r="G196" s="508"/>
      <c r="H196" s="508"/>
      <c r="I196" s="508"/>
      <c r="J196" s="439"/>
      <c r="K196" s="439"/>
      <c r="L196" s="517"/>
      <c r="M196" s="505"/>
      <c r="N196" s="505"/>
      <c r="O196" s="506"/>
      <c r="P196" s="440"/>
      <c r="Q196" s="508"/>
      <c r="R196" s="508"/>
    </row>
    <row r="197" spans="1:18" s="441" customFormat="1" ht="18.75">
      <c r="A197" s="509"/>
      <c r="B197" s="509"/>
      <c r="C197" s="516"/>
      <c r="D197" s="440"/>
      <c r="E197" s="438"/>
      <c r="F197" s="508"/>
      <c r="G197" s="508"/>
      <c r="H197" s="508"/>
      <c r="I197" s="508"/>
      <c r="J197" s="439"/>
      <c r="K197" s="439"/>
      <c r="L197" s="517"/>
      <c r="M197" s="505"/>
      <c r="N197" s="505"/>
      <c r="O197" s="506"/>
      <c r="P197" s="440"/>
      <c r="Q197" s="508"/>
      <c r="R197" s="508"/>
    </row>
    <row r="198" spans="1:18" s="441" customFormat="1" ht="18.75">
      <c r="A198" s="509"/>
      <c r="B198" s="509"/>
      <c r="C198" s="516"/>
      <c r="D198" s="440"/>
      <c r="E198" s="438"/>
      <c r="F198" s="508"/>
      <c r="G198" s="508"/>
      <c r="H198" s="508"/>
      <c r="I198" s="508"/>
      <c r="J198" s="439"/>
      <c r="K198" s="439"/>
      <c r="L198" s="517"/>
      <c r="M198" s="505"/>
      <c r="N198" s="505"/>
      <c r="O198" s="506"/>
      <c r="P198" s="440"/>
      <c r="Q198" s="508"/>
      <c r="R198" s="508"/>
    </row>
    <row r="199" spans="1:18" s="441" customFormat="1" ht="18.75">
      <c r="A199" s="509"/>
      <c r="B199" s="509"/>
      <c r="C199" s="516"/>
      <c r="D199" s="440"/>
      <c r="E199" s="438"/>
      <c r="F199" s="508"/>
      <c r="G199" s="508"/>
      <c r="H199" s="508"/>
      <c r="I199" s="508"/>
      <c r="J199" s="439"/>
      <c r="K199" s="439"/>
      <c r="L199" s="517"/>
      <c r="M199" s="505"/>
      <c r="N199" s="505"/>
      <c r="O199" s="506"/>
      <c r="P199" s="440"/>
      <c r="Q199" s="508"/>
      <c r="R199" s="508"/>
    </row>
    <row r="200" spans="1:18" s="441" customFormat="1" ht="18.75">
      <c r="A200" s="509"/>
      <c r="B200" s="509"/>
      <c r="C200" s="516"/>
      <c r="D200" s="440"/>
      <c r="E200" s="438"/>
      <c r="F200" s="508"/>
      <c r="G200" s="508"/>
      <c r="H200" s="508"/>
      <c r="I200" s="508"/>
      <c r="J200" s="439"/>
      <c r="K200" s="439"/>
      <c r="L200" s="517"/>
      <c r="M200" s="505"/>
      <c r="N200" s="505"/>
      <c r="O200" s="506"/>
      <c r="P200" s="440"/>
      <c r="Q200" s="508"/>
      <c r="R200" s="508"/>
    </row>
    <row r="201" spans="1:18" s="441" customFormat="1" ht="18.75">
      <c r="A201" s="509"/>
      <c r="B201" s="509"/>
      <c r="C201" s="516"/>
      <c r="D201" s="440"/>
      <c r="E201" s="438"/>
      <c r="F201" s="508"/>
      <c r="G201" s="508"/>
      <c r="H201" s="508"/>
      <c r="I201" s="508"/>
      <c r="J201" s="439"/>
      <c r="K201" s="439"/>
      <c r="L201" s="517"/>
      <c r="M201" s="505"/>
      <c r="N201" s="505"/>
      <c r="O201" s="506"/>
      <c r="P201" s="440"/>
      <c r="Q201" s="508"/>
      <c r="R201" s="508"/>
    </row>
    <row r="202" spans="1:18" s="441" customFormat="1" ht="18.75">
      <c r="A202" s="509"/>
      <c r="B202" s="509"/>
      <c r="C202" s="516"/>
      <c r="D202" s="440"/>
      <c r="E202" s="438"/>
      <c r="F202" s="508"/>
      <c r="G202" s="508"/>
      <c r="H202" s="508"/>
      <c r="I202" s="508"/>
      <c r="J202" s="439"/>
      <c r="K202" s="439"/>
      <c r="L202" s="517"/>
      <c r="M202" s="505"/>
      <c r="N202" s="505"/>
      <c r="O202" s="506"/>
      <c r="P202" s="440"/>
      <c r="Q202" s="508"/>
      <c r="R202" s="508"/>
    </row>
    <row r="203" spans="1:18" s="441" customFormat="1" ht="18.75">
      <c r="A203" s="509"/>
      <c r="B203" s="509"/>
      <c r="C203" s="516"/>
      <c r="D203" s="440"/>
      <c r="E203" s="438"/>
      <c r="F203" s="508"/>
      <c r="G203" s="508"/>
      <c r="H203" s="508"/>
      <c r="I203" s="508"/>
      <c r="J203" s="439"/>
      <c r="K203" s="439"/>
      <c r="L203" s="517"/>
      <c r="M203" s="505"/>
      <c r="N203" s="505"/>
      <c r="O203" s="506"/>
      <c r="P203" s="440"/>
      <c r="Q203" s="508"/>
      <c r="R203" s="508"/>
    </row>
    <row r="204" spans="1:18" s="441" customFormat="1" ht="18.75">
      <c r="A204" s="509"/>
      <c r="B204" s="509"/>
      <c r="C204" s="516"/>
      <c r="D204" s="440"/>
      <c r="E204" s="438"/>
      <c r="F204" s="508"/>
      <c r="G204" s="508"/>
      <c r="H204" s="508"/>
      <c r="I204" s="508"/>
      <c r="J204" s="439"/>
      <c r="K204" s="439"/>
      <c r="L204" s="517"/>
      <c r="M204" s="505"/>
      <c r="N204" s="505"/>
      <c r="O204" s="506"/>
      <c r="P204" s="440"/>
      <c r="Q204" s="508"/>
      <c r="R204" s="508"/>
    </row>
    <row r="205" spans="1:18" s="441" customFormat="1" ht="18.75">
      <c r="A205" s="509"/>
      <c r="B205" s="509"/>
      <c r="C205" s="516"/>
      <c r="D205" s="440"/>
      <c r="E205" s="438"/>
      <c r="F205" s="508"/>
      <c r="G205" s="508"/>
      <c r="H205" s="508"/>
      <c r="I205" s="508"/>
      <c r="J205" s="439"/>
      <c r="K205" s="439"/>
      <c r="L205" s="517"/>
      <c r="M205" s="505"/>
      <c r="N205" s="505"/>
      <c r="O205" s="506"/>
      <c r="P205" s="440"/>
      <c r="Q205" s="508"/>
      <c r="R205" s="508"/>
    </row>
    <row r="206" spans="1:18" s="441" customFormat="1" ht="18.75">
      <c r="A206" s="509"/>
      <c r="B206" s="509"/>
      <c r="C206" s="516"/>
      <c r="D206" s="440"/>
      <c r="E206" s="438"/>
      <c r="F206" s="508"/>
      <c r="G206" s="508"/>
      <c r="H206" s="508"/>
      <c r="I206" s="508"/>
      <c r="J206" s="439"/>
      <c r="K206" s="439"/>
      <c r="L206" s="517"/>
      <c r="M206" s="505"/>
      <c r="N206" s="505"/>
      <c r="O206" s="506"/>
      <c r="P206" s="440"/>
      <c r="Q206" s="508"/>
      <c r="R206" s="508"/>
    </row>
    <row r="207" spans="1:18" s="441" customFormat="1" ht="18.75">
      <c r="A207" s="509"/>
      <c r="B207" s="509"/>
      <c r="C207" s="516"/>
      <c r="D207" s="440"/>
      <c r="E207" s="438"/>
      <c r="F207" s="508"/>
      <c r="G207" s="508"/>
      <c r="H207" s="508"/>
      <c r="I207" s="508"/>
      <c r="J207" s="439"/>
      <c r="K207" s="439"/>
      <c r="L207" s="517"/>
      <c r="M207" s="505"/>
      <c r="N207" s="505"/>
      <c r="O207" s="506"/>
      <c r="P207" s="440"/>
      <c r="Q207" s="508"/>
      <c r="R207" s="508"/>
    </row>
    <row r="208" spans="1:18" s="441" customFormat="1" ht="18.75">
      <c r="A208" s="509"/>
      <c r="B208" s="509"/>
      <c r="C208" s="516"/>
      <c r="D208" s="440"/>
      <c r="E208" s="438"/>
      <c r="F208" s="508"/>
      <c r="G208" s="508"/>
      <c r="H208" s="508"/>
      <c r="I208" s="508"/>
      <c r="J208" s="439"/>
      <c r="K208" s="439"/>
      <c r="L208" s="517"/>
      <c r="M208" s="505"/>
      <c r="N208" s="505"/>
      <c r="O208" s="506"/>
      <c r="P208" s="440"/>
      <c r="Q208" s="508"/>
      <c r="R208" s="508"/>
    </row>
    <row r="209" spans="1:18" s="441" customFormat="1" ht="22.5" customHeight="1">
      <c r="A209" s="509"/>
      <c r="B209" s="509"/>
      <c r="C209" s="516"/>
      <c r="D209" s="440"/>
      <c r="E209" s="438"/>
      <c r="F209" s="508"/>
      <c r="G209" s="508"/>
      <c r="H209" s="508"/>
      <c r="I209" s="508"/>
      <c r="J209" s="439"/>
      <c r="K209" s="439"/>
      <c r="L209" s="517"/>
      <c r="M209" s="505"/>
      <c r="N209" s="505"/>
      <c r="O209" s="506"/>
      <c r="P209" s="440"/>
      <c r="Q209" s="508"/>
      <c r="R209" s="508"/>
    </row>
    <row r="210" spans="1:18" s="441" customFormat="1" ht="22.5" customHeight="1">
      <c r="A210" s="509"/>
      <c r="B210" s="509"/>
      <c r="C210" s="516"/>
      <c r="D210" s="440"/>
      <c r="E210" s="438"/>
      <c r="F210" s="508"/>
      <c r="G210" s="508"/>
      <c r="H210" s="508"/>
      <c r="I210" s="508"/>
      <c r="J210" s="439"/>
      <c r="K210" s="439"/>
      <c r="L210" s="517"/>
      <c r="M210" s="505"/>
      <c r="N210" s="505"/>
      <c r="O210" s="506"/>
      <c r="P210" s="440"/>
      <c r="Q210" s="508"/>
      <c r="R210" s="508"/>
    </row>
    <row r="211" spans="1:18" s="441" customFormat="1" ht="22.5" customHeight="1">
      <c r="A211" s="509"/>
      <c r="B211" s="509"/>
      <c r="C211" s="516"/>
      <c r="D211" s="440"/>
      <c r="E211" s="438"/>
      <c r="F211" s="508"/>
      <c r="G211" s="508"/>
      <c r="H211" s="508"/>
      <c r="I211" s="508"/>
      <c r="J211" s="439"/>
      <c r="K211" s="439"/>
      <c r="L211" s="517"/>
      <c r="M211" s="505"/>
      <c r="N211" s="505"/>
      <c r="O211" s="506"/>
      <c r="P211" s="440"/>
      <c r="Q211" s="508"/>
      <c r="R211" s="508"/>
    </row>
    <row r="212" spans="1:18" s="441" customFormat="1" ht="22.5" customHeight="1">
      <c r="A212" s="509"/>
      <c r="B212" s="509"/>
      <c r="C212" s="516"/>
      <c r="D212" s="440"/>
      <c r="E212" s="438"/>
      <c r="F212" s="508"/>
      <c r="G212" s="508"/>
      <c r="H212" s="508"/>
      <c r="I212" s="508"/>
      <c r="J212" s="439"/>
      <c r="K212" s="439"/>
      <c r="L212" s="517"/>
      <c r="M212" s="505"/>
      <c r="N212" s="505"/>
      <c r="O212" s="506"/>
      <c r="P212" s="440"/>
      <c r="Q212" s="508"/>
      <c r="R212" s="508"/>
    </row>
    <row r="213" spans="1:18" s="441" customFormat="1" ht="22.5" customHeight="1">
      <c r="A213" s="509"/>
      <c r="B213" s="509"/>
      <c r="C213" s="516"/>
      <c r="D213" s="440"/>
      <c r="E213" s="438"/>
      <c r="F213" s="508"/>
      <c r="G213" s="508"/>
      <c r="H213" s="508"/>
      <c r="I213" s="508"/>
      <c r="J213" s="439"/>
      <c r="K213" s="439"/>
      <c r="L213" s="517"/>
      <c r="M213" s="505"/>
      <c r="N213" s="505"/>
      <c r="O213" s="506"/>
      <c r="P213" s="440"/>
      <c r="Q213" s="508"/>
      <c r="R213" s="508"/>
    </row>
    <row r="214" spans="1:18" s="441" customFormat="1" ht="22.5" customHeight="1">
      <c r="A214" s="509"/>
      <c r="B214" s="509"/>
      <c r="C214" s="516"/>
      <c r="D214" s="440"/>
      <c r="E214" s="438"/>
      <c r="F214" s="508"/>
      <c r="G214" s="508"/>
      <c r="H214" s="508"/>
      <c r="I214" s="508"/>
      <c r="J214" s="439"/>
      <c r="K214" s="439"/>
      <c r="L214" s="517"/>
      <c r="M214" s="505"/>
      <c r="N214" s="505"/>
      <c r="O214" s="506"/>
      <c r="P214" s="440"/>
      <c r="Q214" s="508"/>
      <c r="R214" s="508"/>
    </row>
    <row r="215" spans="1:18" s="441" customFormat="1" ht="22.5" customHeight="1">
      <c r="A215" s="509"/>
      <c r="B215" s="509"/>
      <c r="C215" s="516"/>
      <c r="D215" s="440"/>
      <c r="E215" s="438"/>
      <c r="F215" s="508"/>
      <c r="G215" s="508"/>
      <c r="H215" s="508"/>
      <c r="I215" s="508"/>
      <c r="J215" s="439"/>
      <c r="K215" s="439"/>
      <c r="L215" s="517"/>
      <c r="M215" s="505"/>
      <c r="N215" s="505"/>
      <c r="O215" s="506"/>
      <c r="P215" s="440"/>
      <c r="Q215" s="508"/>
      <c r="R215" s="508"/>
    </row>
    <row r="216" spans="1:18" s="441" customFormat="1" ht="22.5" customHeight="1">
      <c r="A216" s="509"/>
      <c r="B216" s="509"/>
      <c r="C216" s="516"/>
      <c r="D216" s="440"/>
      <c r="E216" s="438"/>
      <c r="F216" s="508"/>
      <c r="G216" s="508"/>
      <c r="H216" s="508"/>
      <c r="I216" s="508"/>
      <c r="J216" s="439"/>
      <c r="K216" s="439"/>
      <c r="L216" s="517"/>
      <c r="M216" s="505"/>
      <c r="N216" s="505"/>
      <c r="O216" s="506"/>
      <c r="P216" s="440"/>
      <c r="Q216" s="508"/>
      <c r="R216" s="508"/>
    </row>
    <row r="217" spans="1:18" s="441" customFormat="1" ht="22.5" customHeight="1">
      <c r="A217" s="509"/>
      <c r="B217" s="509"/>
      <c r="C217" s="516"/>
      <c r="D217" s="440"/>
      <c r="E217" s="438"/>
      <c r="F217" s="508"/>
      <c r="G217" s="508"/>
      <c r="H217" s="508"/>
      <c r="I217" s="508"/>
      <c r="J217" s="439"/>
      <c r="K217" s="439"/>
      <c r="L217" s="517"/>
      <c r="M217" s="505"/>
      <c r="N217" s="505"/>
      <c r="O217" s="506"/>
      <c r="P217" s="440"/>
      <c r="Q217" s="508"/>
      <c r="R217" s="508"/>
    </row>
    <row r="218" spans="1:18" s="441" customFormat="1" ht="22.5" customHeight="1">
      <c r="A218" s="509"/>
      <c r="B218" s="509"/>
      <c r="C218" s="516"/>
      <c r="D218" s="440"/>
      <c r="E218" s="438"/>
      <c r="F218" s="508"/>
      <c r="G218" s="508"/>
      <c r="H218" s="508"/>
      <c r="I218" s="508"/>
      <c r="J218" s="439"/>
      <c r="K218" s="439"/>
      <c r="L218" s="517"/>
      <c r="M218" s="505"/>
      <c r="N218" s="505"/>
      <c r="O218" s="506"/>
      <c r="P218" s="440"/>
      <c r="Q218" s="508"/>
      <c r="R218" s="508"/>
    </row>
    <row r="219" spans="1:18" s="441" customFormat="1" ht="22.5" customHeight="1">
      <c r="A219" s="509"/>
      <c r="B219" s="509"/>
      <c r="C219" s="516"/>
      <c r="D219" s="440"/>
      <c r="E219" s="438"/>
      <c r="F219" s="508"/>
      <c r="G219" s="508"/>
      <c r="H219" s="508"/>
      <c r="I219" s="508"/>
      <c r="J219" s="439"/>
      <c r="K219" s="439"/>
      <c r="L219" s="517"/>
      <c r="M219" s="505"/>
      <c r="N219" s="505"/>
      <c r="O219" s="506"/>
      <c r="P219" s="440"/>
      <c r="Q219" s="508"/>
      <c r="R219" s="508"/>
    </row>
    <row r="220" spans="1:18" s="441" customFormat="1" ht="22.5" customHeight="1">
      <c r="A220" s="509"/>
      <c r="B220" s="509"/>
      <c r="C220" s="516"/>
      <c r="D220" s="440"/>
      <c r="E220" s="438"/>
      <c r="F220" s="508"/>
      <c r="G220" s="508"/>
      <c r="H220" s="508"/>
      <c r="I220" s="508"/>
      <c r="J220" s="439"/>
      <c r="K220" s="439"/>
      <c r="L220" s="517"/>
      <c r="M220" s="505"/>
      <c r="N220" s="505"/>
      <c r="O220" s="506"/>
      <c r="P220" s="440"/>
      <c r="Q220" s="508"/>
      <c r="R220" s="508"/>
    </row>
    <row r="221" spans="1:18" s="441" customFormat="1" ht="22.5" customHeight="1">
      <c r="A221" s="509"/>
      <c r="B221" s="509"/>
      <c r="C221" s="516"/>
      <c r="D221" s="440"/>
      <c r="E221" s="438"/>
      <c r="F221" s="508"/>
      <c r="G221" s="508"/>
      <c r="H221" s="508"/>
      <c r="I221" s="508"/>
      <c r="J221" s="439"/>
      <c r="K221" s="439"/>
      <c r="L221" s="517"/>
      <c r="M221" s="505"/>
      <c r="N221" s="505"/>
      <c r="O221" s="506"/>
      <c r="P221" s="440"/>
      <c r="Q221" s="508"/>
      <c r="R221" s="508"/>
    </row>
    <row r="222" spans="1:18" s="441" customFormat="1" ht="22.5" customHeight="1">
      <c r="A222" s="509"/>
      <c r="B222" s="509"/>
      <c r="C222" s="516"/>
      <c r="D222" s="440"/>
      <c r="E222" s="438"/>
      <c r="F222" s="508"/>
      <c r="G222" s="508"/>
      <c r="H222" s="508"/>
      <c r="I222" s="508"/>
      <c r="J222" s="439"/>
      <c r="K222" s="439"/>
      <c r="L222" s="517"/>
      <c r="M222" s="505"/>
      <c r="N222" s="505"/>
      <c r="O222" s="506"/>
      <c r="P222" s="440"/>
      <c r="Q222" s="508"/>
      <c r="R222" s="508"/>
    </row>
    <row r="223" spans="1:18" s="441" customFormat="1" ht="22.5" customHeight="1">
      <c r="A223" s="509"/>
      <c r="B223" s="509"/>
      <c r="C223" s="516"/>
      <c r="D223" s="440"/>
      <c r="E223" s="438"/>
      <c r="F223" s="508"/>
      <c r="G223" s="508"/>
      <c r="H223" s="508"/>
      <c r="I223" s="508"/>
      <c r="J223" s="439"/>
      <c r="K223" s="439"/>
      <c r="L223" s="517"/>
      <c r="M223" s="505"/>
      <c r="N223" s="505"/>
      <c r="O223" s="506"/>
      <c r="P223" s="440"/>
      <c r="Q223" s="508"/>
      <c r="R223" s="508"/>
    </row>
    <row r="224" spans="1:18" s="441" customFormat="1" ht="22.5" customHeight="1">
      <c r="A224" s="509"/>
      <c r="B224" s="509"/>
      <c r="C224" s="516"/>
      <c r="D224" s="440"/>
      <c r="E224" s="438"/>
      <c r="F224" s="508"/>
      <c r="G224" s="508"/>
      <c r="H224" s="508"/>
      <c r="I224" s="508"/>
      <c r="J224" s="439"/>
      <c r="K224" s="439"/>
      <c r="L224" s="517"/>
      <c r="M224" s="505"/>
      <c r="N224" s="505"/>
      <c r="O224" s="506"/>
      <c r="P224" s="440"/>
      <c r="Q224" s="508"/>
      <c r="R224" s="508"/>
    </row>
    <row r="225" spans="1:18" s="441" customFormat="1" ht="22.5" customHeight="1">
      <c r="A225" s="509"/>
      <c r="B225" s="509"/>
      <c r="C225" s="516"/>
      <c r="D225" s="440"/>
      <c r="E225" s="438"/>
      <c r="F225" s="508"/>
      <c r="G225" s="508"/>
      <c r="H225" s="508"/>
      <c r="I225" s="508"/>
      <c r="J225" s="439"/>
      <c r="K225" s="439"/>
      <c r="L225" s="517"/>
      <c r="M225" s="505"/>
      <c r="N225" s="505"/>
      <c r="O225" s="506"/>
      <c r="P225" s="440"/>
      <c r="Q225" s="508"/>
      <c r="R225" s="508"/>
    </row>
    <row r="226" spans="1:18" s="441" customFormat="1" ht="22.5" customHeight="1">
      <c r="A226" s="509"/>
      <c r="B226" s="509"/>
      <c r="C226" s="516"/>
      <c r="D226" s="440"/>
      <c r="E226" s="438"/>
      <c r="F226" s="508"/>
      <c r="G226" s="508"/>
      <c r="H226" s="508"/>
      <c r="I226" s="508"/>
      <c r="J226" s="439"/>
      <c r="K226" s="439"/>
      <c r="L226" s="517"/>
      <c r="M226" s="505"/>
      <c r="N226" s="505"/>
      <c r="O226" s="506"/>
      <c r="P226" s="440"/>
      <c r="Q226" s="508"/>
      <c r="R226" s="508"/>
    </row>
    <row r="227" spans="1:18" s="441" customFormat="1" ht="22.5" customHeight="1">
      <c r="A227" s="509"/>
      <c r="B227" s="509"/>
      <c r="C227" s="516"/>
      <c r="D227" s="440"/>
      <c r="E227" s="438"/>
      <c r="F227" s="508"/>
      <c r="G227" s="508"/>
      <c r="H227" s="508"/>
      <c r="I227" s="508"/>
      <c r="J227" s="439"/>
      <c r="K227" s="439"/>
      <c r="L227" s="517"/>
      <c r="M227" s="505"/>
      <c r="N227" s="505"/>
      <c r="O227" s="506"/>
      <c r="P227" s="440"/>
      <c r="Q227" s="508"/>
      <c r="R227" s="508"/>
    </row>
    <row r="228" spans="1:18" s="441" customFormat="1" ht="22.5" customHeight="1">
      <c r="A228" s="509"/>
      <c r="B228" s="509"/>
      <c r="C228" s="516"/>
      <c r="D228" s="440"/>
      <c r="E228" s="438"/>
      <c r="F228" s="508"/>
      <c r="G228" s="508"/>
      <c r="H228" s="508"/>
      <c r="I228" s="508"/>
      <c r="J228" s="439"/>
      <c r="K228" s="439"/>
      <c r="L228" s="517"/>
      <c r="M228" s="505"/>
      <c r="N228" s="505"/>
      <c r="O228" s="506"/>
      <c r="P228" s="440"/>
      <c r="Q228" s="508"/>
      <c r="R228" s="508"/>
    </row>
    <row r="229" spans="1:18" s="441" customFormat="1" ht="22.5" customHeight="1">
      <c r="A229" s="509"/>
      <c r="B229" s="509"/>
      <c r="C229" s="516"/>
      <c r="D229" s="440"/>
      <c r="E229" s="438"/>
      <c r="F229" s="508"/>
      <c r="G229" s="508"/>
      <c r="H229" s="508"/>
      <c r="I229" s="508"/>
      <c r="J229" s="439"/>
      <c r="K229" s="439"/>
      <c r="L229" s="517"/>
      <c r="M229" s="505"/>
      <c r="N229" s="505"/>
      <c r="O229" s="506"/>
      <c r="P229" s="440"/>
      <c r="Q229" s="508"/>
      <c r="R229" s="508"/>
    </row>
    <row r="230" spans="1:18" s="441" customFormat="1" ht="22.5" customHeight="1">
      <c r="A230" s="509"/>
      <c r="B230" s="509"/>
      <c r="C230" s="516"/>
      <c r="D230" s="440"/>
      <c r="E230" s="438"/>
      <c r="F230" s="508"/>
      <c r="G230" s="508"/>
      <c r="H230" s="508"/>
      <c r="I230" s="508"/>
      <c r="J230" s="439"/>
      <c r="K230" s="439"/>
      <c r="L230" s="517"/>
      <c r="M230" s="505"/>
      <c r="N230" s="505"/>
      <c r="O230" s="506"/>
      <c r="P230" s="440"/>
      <c r="Q230" s="508"/>
      <c r="R230" s="508"/>
    </row>
    <row r="231" spans="1:18" s="441" customFormat="1" ht="22.5" customHeight="1">
      <c r="A231" s="509"/>
      <c r="B231" s="509"/>
      <c r="C231" s="516"/>
      <c r="D231" s="440"/>
      <c r="E231" s="438"/>
      <c r="F231" s="508"/>
      <c r="G231" s="508"/>
      <c r="H231" s="508"/>
      <c r="I231" s="508"/>
      <c r="J231" s="439"/>
      <c r="K231" s="439"/>
      <c r="L231" s="517"/>
      <c r="M231" s="505"/>
      <c r="N231" s="505"/>
      <c r="O231" s="506"/>
      <c r="P231" s="440"/>
      <c r="Q231" s="508"/>
      <c r="R231" s="508"/>
    </row>
    <row r="232" spans="1:18" s="441" customFormat="1" ht="22.5" customHeight="1">
      <c r="A232" s="509"/>
      <c r="B232" s="509"/>
      <c r="C232" s="516"/>
      <c r="D232" s="440"/>
      <c r="E232" s="438"/>
      <c r="F232" s="508"/>
      <c r="G232" s="508"/>
      <c r="H232" s="508"/>
      <c r="I232" s="508"/>
      <c r="J232" s="439"/>
      <c r="K232" s="439"/>
      <c r="L232" s="517"/>
      <c r="M232" s="505"/>
      <c r="N232" s="505"/>
      <c r="O232" s="506"/>
      <c r="P232" s="440"/>
      <c r="Q232" s="508"/>
      <c r="R232" s="508"/>
    </row>
    <row r="233" spans="1:18" s="441" customFormat="1" ht="22.5" customHeight="1">
      <c r="A233" s="509"/>
      <c r="B233" s="509"/>
      <c r="C233" s="516"/>
      <c r="D233" s="440"/>
      <c r="E233" s="438"/>
      <c r="F233" s="508"/>
      <c r="G233" s="508"/>
      <c r="H233" s="508"/>
      <c r="I233" s="508"/>
      <c r="J233" s="439"/>
      <c r="K233" s="439"/>
      <c r="L233" s="517"/>
      <c r="M233" s="505"/>
      <c r="N233" s="505"/>
      <c r="O233" s="506"/>
      <c r="P233" s="440"/>
      <c r="Q233" s="508"/>
      <c r="R233" s="508"/>
    </row>
    <row r="234" spans="1:18" s="441" customFormat="1" ht="22.5" customHeight="1">
      <c r="A234" s="509"/>
      <c r="B234" s="509"/>
      <c r="C234" s="516"/>
      <c r="D234" s="440"/>
      <c r="E234" s="438"/>
      <c r="F234" s="508"/>
      <c r="G234" s="508"/>
      <c r="H234" s="508"/>
      <c r="I234" s="508"/>
      <c r="J234" s="439"/>
      <c r="K234" s="439"/>
      <c r="L234" s="517"/>
      <c r="M234" s="505"/>
      <c r="N234" s="505"/>
      <c r="O234" s="506"/>
      <c r="P234" s="440"/>
      <c r="Q234" s="508"/>
      <c r="R234" s="508"/>
    </row>
    <row r="235" spans="1:18" s="441" customFormat="1" ht="22.5" customHeight="1">
      <c r="A235" s="509"/>
      <c r="B235" s="509"/>
      <c r="C235" s="516"/>
      <c r="D235" s="440"/>
      <c r="E235" s="438"/>
      <c r="F235" s="508"/>
      <c r="G235" s="508"/>
      <c r="H235" s="508"/>
      <c r="I235" s="508"/>
      <c r="J235" s="439"/>
      <c r="K235" s="439"/>
      <c r="L235" s="517"/>
      <c r="M235" s="505"/>
      <c r="N235" s="505"/>
      <c r="O235" s="506"/>
      <c r="P235" s="440"/>
      <c r="Q235" s="508"/>
      <c r="R235" s="508"/>
    </row>
    <row r="236" spans="1:18" s="441" customFormat="1" ht="22.5" customHeight="1">
      <c r="A236" s="509"/>
      <c r="B236" s="509"/>
      <c r="C236" s="516"/>
      <c r="D236" s="440"/>
      <c r="E236" s="438"/>
      <c r="F236" s="508"/>
      <c r="G236" s="508"/>
      <c r="H236" s="508"/>
      <c r="I236" s="508"/>
      <c r="J236" s="439"/>
      <c r="K236" s="439"/>
      <c r="L236" s="517"/>
      <c r="M236" s="505"/>
      <c r="N236" s="505"/>
      <c r="O236" s="506"/>
      <c r="P236" s="440"/>
      <c r="Q236" s="508"/>
      <c r="R236" s="508"/>
    </row>
    <row r="237" spans="1:18" s="441" customFormat="1" ht="22.5" customHeight="1">
      <c r="A237" s="509"/>
      <c r="B237" s="509"/>
      <c r="C237" s="516"/>
      <c r="D237" s="440"/>
      <c r="E237" s="438"/>
      <c r="F237" s="508"/>
      <c r="G237" s="508"/>
      <c r="H237" s="508"/>
      <c r="I237" s="508"/>
      <c r="J237" s="439"/>
      <c r="K237" s="439"/>
      <c r="L237" s="517"/>
      <c r="M237" s="505"/>
      <c r="N237" s="505"/>
      <c r="O237" s="506"/>
      <c r="P237" s="440"/>
      <c r="Q237" s="508"/>
      <c r="R237" s="508"/>
    </row>
    <row r="238" spans="1:18" s="441" customFormat="1" ht="22.5" customHeight="1">
      <c r="A238" s="509"/>
      <c r="B238" s="509"/>
      <c r="C238" s="516"/>
      <c r="D238" s="440"/>
      <c r="E238" s="438"/>
      <c r="F238" s="508"/>
      <c r="G238" s="508"/>
      <c r="H238" s="508"/>
      <c r="I238" s="508"/>
      <c r="J238" s="439"/>
      <c r="K238" s="439"/>
      <c r="L238" s="517"/>
      <c r="M238" s="505"/>
      <c r="N238" s="505"/>
      <c r="O238" s="506"/>
      <c r="P238" s="440"/>
      <c r="Q238" s="508"/>
      <c r="R238" s="508"/>
    </row>
    <row r="239" spans="1:18" s="441" customFormat="1" ht="22.5" customHeight="1">
      <c r="A239" s="509"/>
      <c r="B239" s="509"/>
      <c r="C239" s="516"/>
      <c r="D239" s="440"/>
      <c r="E239" s="438"/>
      <c r="F239" s="508"/>
      <c r="G239" s="508"/>
      <c r="H239" s="508"/>
      <c r="I239" s="508"/>
      <c r="J239" s="439"/>
      <c r="K239" s="439"/>
      <c r="L239" s="517"/>
      <c r="M239" s="505"/>
      <c r="N239" s="505"/>
      <c r="O239" s="506"/>
      <c r="P239" s="440"/>
      <c r="Q239" s="508"/>
      <c r="R239" s="508"/>
    </row>
    <row r="240" spans="1:18" s="441" customFormat="1" ht="22.5" customHeight="1">
      <c r="A240" s="509"/>
      <c r="B240" s="509"/>
      <c r="C240" s="516"/>
      <c r="D240" s="440"/>
      <c r="E240" s="438"/>
      <c r="F240" s="508"/>
      <c r="G240" s="508"/>
      <c r="H240" s="508"/>
      <c r="I240" s="508"/>
      <c r="J240" s="439"/>
      <c r="K240" s="439"/>
      <c r="L240" s="517"/>
      <c r="M240" s="505"/>
      <c r="N240" s="505"/>
      <c r="O240" s="506"/>
      <c r="P240" s="440"/>
      <c r="Q240" s="508"/>
      <c r="R240" s="508"/>
    </row>
    <row r="241" spans="1:18" s="441" customFormat="1" ht="22.5" customHeight="1">
      <c r="A241" s="509"/>
      <c r="B241" s="509"/>
      <c r="C241" s="516"/>
      <c r="D241" s="440"/>
      <c r="E241" s="438"/>
      <c r="F241" s="508"/>
      <c r="G241" s="508"/>
      <c r="H241" s="508"/>
      <c r="I241" s="508"/>
      <c r="J241" s="439"/>
      <c r="K241" s="439"/>
      <c r="L241" s="517"/>
      <c r="M241" s="505"/>
      <c r="N241" s="505"/>
      <c r="O241" s="506"/>
      <c r="P241" s="440"/>
      <c r="Q241" s="508"/>
      <c r="R241" s="508"/>
    </row>
    <row r="242" spans="1:18" s="441" customFormat="1" ht="22.5" customHeight="1">
      <c r="A242" s="509"/>
      <c r="B242" s="509"/>
      <c r="C242" s="516"/>
      <c r="D242" s="440"/>
      <c r="E242" s="438"/>
      <c r="F242" s="508"/>
      <c r="G242" s="508"/>
      <c r="H242" s="508"/>
      <c r="I242" s="508"/>
      <c r="J242" s="439"/>
      <c r="K242" s="439"/>
      <c r="L242" s="517"/>
      <c r="M242" s="505"/>
      <c r="N242" s="505"/>
      <c r="O242" s="506"/>
      <c r="P242" s="440"/>
      <c r="Q242" s="508"/>
      <c r="R242" s="508"/>
    </row>
    <row r="243" spans="1:18" s="441" customFormat="1" ht="22.5" customHeight="1">
      <c r="A243" s="509"/>
      <c r="B243" s="509"/>
      <c r="C243" s="516"/>
      <c r="D243" s="440"/>
      <c r="E243" s="438"/>
      <c r="F243" s="508"/>
      <c r="G243" s="508"/>
      <c r="H243" s="508"/>
      <c r="I243" s="508"/>
      <c r="J243" s="439"/>
      <c r="K243" s="439"/>
      <c r="L243" s="517"/>
      <c r="M243" s="505"/>
      <c r="N243" s="505"/>
      <c r="O243" s="506"/>
      <c r="P243" s="440"/>
      <c r="Q243" s="508"/>
      <c r="R243" s="508"/>
    </row>
    <row r="244" spans="1:18" s="441" customFormat="1" ht="22.5" customHeight="1">
      <c r="A244" s="509"/>
      <c r="B244" s="509"/>
      <c r="C244" s="516"/>
      <c r="D244" s="440"/>
      <c r="E244" s="438"/>
      <c r="F244" s="508"/>
      <c r="G244" s="508"/>
      <c r="H244" s="508"/>
      <c r="I244" s="508"/>
      <c r="J244" s="439"/>
      <c r="K244" s="439"/>
      <c r="L244" s="517"/>
      <c r="M244" s="505"/>
      <c r="N244" s="505"/>
      <c r="O244" s="506"/>
      <c r="P244" s="440"/>
      <c r="Q244" s="508"/>
      <c r="R244" s="508"/>
    </row>
    <row r="245" spans="1:18" s="441" customFormat="1" ht="22.5" customHeight="1">
      <c r="A245" s="509"/>
      <c r="B245" s="509"/>
      <c r="C245" s="516"/>
      <c r="D245" s="440"/>
      <c r="E245" s="438"/>
      <c r="F245" s="508"/>
      <c r="G245" s="508"/>
      <c r="H245" s="508"/>
      <c r="I245" s="508"/>
      <c r="J245" s="439"/>
      <c r="K245" s="439"/>
      <c r="L245" s="517"/>
      <c r="M245" s="505"/>
      <c r="N245" s="505"/>
      <c r="O245" s="506"/>
      <c r="P245" s="440"/>
      <c r="Q245" s="508"/>
      <c r="R245" s="508"/>
    </row>
    <row r="246" spans="1:18" s="441" customFormat="1" ht="22.5" customHeight="1">
      <c r="A246" s="509"/>
      <c r="B246" s="509"/>
      <c r="C246" s="516"/>
      <c r="D246" s="440"/>
      <c r="E246" s="438"/>
      <c r="F246" s="508"/>
      <c r="G246" s="508"/>
      <c r="H246" s="508"/>
      <c r="I246" s="508"/>
      <c r="J246" s="439"/>
      <c r="K246" s="439"/>
      <c r="L246" s="517"/>
      <c r="M246" s="505"/>
      <c r="N246" s="505"/>
      <c r="O246" s="506"/>
      <c r="P246" s="440"/>
      <c r="Q246" s="508"/>
      <c r="R246" s="508"/>
    </row>
    <row r="247" spans="1:18" s="441" customFormat="1" ht="22.5" customHeight="1">
      <c r="A247" s="509"/>
      <c r="B247" s="509"/>
      <c r="C247" s="516"/>
      <c r="D247" s="440"/>
      <c r="E247" s="438"/>
      <c r="F247" s="508"/>
      <c r="G247" s="508"/>
      <c r="H247" s="508"/>
      <c r="I247" s="508"/>
      <c r="J247" s="439"/>
      <c r="K247" s="439"/>
      <c r="L247" s="517"/>
      <c r="M247" s="505"/>
      <c r="N247" s="505"/>
      <c r="O247" s="506"/>
      <c r="P247" s="440"/>
      <c r="Q247" s="508"/>
      <c r="R247" s="508"/>
    </row>
    <row r="248" spans="1:18" s="432" customFormat="1" ht="22.5" customHeight="1">
      <c r="A248" s="509" t="s">
        <v>1936</v>
      </c>
      <c r="B248" s="509">
        <v>10</v>
      </c>
      <c r="C248" s="516"/>
      <c r="D248" s="508"/>
      <c r="E248" s="438"/>
      <c r="F248" s="440"/>
      <c r="G248" s="440"/>
      <c r="H248" s="440"/>
      <c r="I248" s="440"/>
      <c r="J248" s="439"/>
      <c r="K248" s="439"/>
      <c r="L248" s="519"/>
      <c r="M248" s="520"/>
      <c r="N248" s="505"/>
      <c r="O248" s="506"/>
      <c r="P248" s="440"/>
      <c r="Q248" s="440"/>
      <c r="R248" s="508"/>
    </row>
    <row r="249" spans="1:18" ht="22.5" customHeight="1">
      <c r="A249" s="521" t="s">
        <v>2065</v>
      </c>
      <c r="B249" s="522"/>
      <c r="C249" s="522"/>
      <c r="D249" s="522"/>
      <c r="E249" s="522"/>
      <c r="F249" s="522"/>
      <c r="G249" s="522"/>
      <c r="H249" s="522"/>
      <c r="I249" s="522"/>
      <c r="J249" s="522"/>
      <c r="K249" s="522"/>
      <c r="N249" s="524"/>
      <c r="O249" s="524">
        <f>SUM(O6:O248)</f>
        <v>0</v>
      </c>
      <c r="P249" s="525"/>
      <c r="Q249" s="525"/>
      <c r="R249" s="526"/>
    </row>
    <row r="253" ht="22.5" customHeight="1"/>
    <row r="254" ht="22.5" customHeight="1"/>
    <row r="255" ht="22.5" customHeight="1"/>
    <row r="257" spans="12:13" ht="22.5" customHeight="1">
      <c r="L257" s="411"/>
      <c r="M257" s="411"/>
    </row>
    <row r="258" spans="3:17" ht="22.5" customHeight="1">
      <c r="C258" s="411"/>
      <c r="D258" s="411"/>
      <c r="E258" s="411"/>
      <c r="F258" s="411"/>
      <c r="G258" s="411"/>
      <c r="H258" s="411"/>
      <c r="I258" s="411"/>
      <c r="J258" s="411"/>
      <c r="K258" s="411"/>
      <c r="N258" s="411"/>
      <c r="O258" s="411"/>
      <c r="P258" s="411"/>
      <c r="Q258" s="411"/>
    </row>
    <row r="262" spans="12:13" ht="22.5" customHeight="1">
      <c r="L262" s="411"/>
      <c r="M262" s="411"/>
    </row>
    <row r="263" spans="3:17" ht="22.5" customHeight="1">
      <c r="C263" s="411"/>
      <c r="D263" s="411"/>
      <c r="E263" s="411"/>
      <c r="F263" s="411"/>
      <c r="G263" s="411"/>
      <c r="H263" s="411"/>
      <c r="I263" s="411"/>
      <c r="J263" s="411"/>
      <c r="K263" s="411"/>
      <c r="N263" s="411"/>
      <c r="O263" s="411"/>
      <c r="P263" s="411"/>
      <c r="Q263" s="411"/>
    </row>
    <row r="268" spans="12:13" ht="22.5" customHeight="1">
      <c r="L268" s="411"/>
      <c r="M268" s="411"/>
    </row>
    <row r="269" spans="3:17" ht="22.5" customHeight="1"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</row>
    <row r="270" spans="3:17" ht="22.5" customHeight="1">
      <c r="C270" s="411"/>
      <c r="D270" s="411"/>
      <c r="E270" s="411"/>
      <c r="F270" s="411"/>
      <c r="G270" s="411"/>
      <c r="H270" s="411"/>
      <c r="I270" s="411"/>
      <c r="J270" s="411"/>
      <c r="K270" s="411"/>
      <c r="N270" s="411"/>
      <c r="O270" s="411"/>
      <c r="P270" s="411"/>
      <c r="Q270" s="411"/>
    </row>
  </sheetData>
  <sheetProtection/>
  <mergeCells count="17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N4:O4"/>
    <mergeCell ref="P4:R4"/>
    <mergeCell ref="I4:I5"/>
    <mergeCell ref="J4:J5"/>
    <mergeCell ref="K4:K5"/>
    <mergeCell ref="L4:L5"/>
    <mergeCell ref="M4:M5"/>
  </mergeCells>
  <printOptions/>
  <pageMargins left="0.2" right="0.3" top="0.33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6" sqref="N6"/>
    </sheetView>
  </sheetViews>
  <sheetFormatPr defaultColWidth="9.140625" defaultRowHeight="15"/>
  <cols>
    <col min="1" max="1" width="9.140625" style="0" customWidth="1"/>
    <col min="2" max="2" width="13.421875" style="0" bestFit="1" customWidth="1"/>
    <col min="3" max="3" width="19.00390625" style="0" customWidth="1"/>
    <col min="4" max="4" width="14.140625" style="0" bestFit="1" customWidth="1"/>
    <col min="5" max="5" width="15.421875" style="0" bestFit="1" customWidth="1"/>
    <col min="6" max="6" width="11.28125" style="0" bestFit="1" customWidth="1"/>
    <col min="7" max="7" width="11.8515625" style="0" bestFit="1" customWidth="1"/>
    <col min="8" max="8" width="11.421875" style="0" bestFit="1" customWidth="1"/>
  </cols>
  <sheetData>
    <row r="1" spans="1:7" ht="27.75">
      <c r="A1" s="79"/>
      <c r="B1" s="670" t="s">
        <v>784</v>
      </c>
      <c r="C1" s="671"/>
      <c r="D1" s="671"/>
      <c r="E1" s="671"/>
      <c r="F1" s="671"/>
      <c r="G1" s="672"/>
    </row>
    <row r="2" spans="1:7" s="123" customFormat="1" ht="89.25" customHeight="1">
      <c r="A2" s="80" t="s">
        <v>786</v>
      </c>
      <c r="B2" s="121" t="s">
        <v>787</v>
      </c>
      <c r="C2" s="336" t="s">
        <v>793</v>
      </c>
      <c r="D2" s="80" t="s">
        <v>790</v>
      </c>
      <c r="E2" s="121" t="s">
        <v>788</v>
      </c>
      <c r="F2" s="80" t="s">
        <v>1730</v>
      </c>
      <c r="G2" s="199" t="s">
        <v>785</v>
      </c>
    </row>
    <row r="3" spans="1:8" s="89" customFormat="1" ht="21.75">
      <c r="A3" s="324">
        <v>1</v>
      </c>
      <c r="B3" s="326" t="s">
        <v>1696</v>
      </c>
      <c r="C3" s="327">
        <v>330000</v>
      </c>
      <c r="D3" s="328">
        <f>+'7.1 รายละเอียด แผน รพ.สต.'!E4+'7.1 รายละเอียด แผน รพ.สต.'!F4+'7.1 รายละเอียด แผน รพ.สต.'!G4+'7.1 รายละเอียด แผน รพ.สต.'!H4+'7.1 รายละเอียด แผน รพ.สต.'!I4+'7.1 รายละเอียด แผน รพ.สต.'!J4+'7.1 รายละเอียด แผน รพ.สต.'!K4+'7.1 รายละเอียด แผน รพ.สต.'!L4</f>
        <v>628716</v>
      </c>
      <c r="E3" s="329">
        <f>+'7.1 รายละเอียด แผน รพ.สต.'!R4+'7.1 รายละเอียด แผน รพ.สต.'!Q4+'7.1 รายละเอียด แผน รพ.สต.'!P4+'7.1 รายละเอียด แผน รพ.สต.'!O4+'7.1 รายละเอียด แผน รพ.สต.'!N4+'7.1 รายละเอียด แผน รพ.สต.'!M4</f>
        <v>170561.96</v>
      </c>
      <c r="F3" s="325">
        <v>0</v>
      </c>
      <c r="G3" s="330">
        <f>SUM(C3:F3)</f>
        <v>1129277.96</v>
      </c>
      <c r="H3" s="331"/>
    </row>
    <row r="4" spans="1:8" s="89" customFormat="1" ht="21.75">
      <c r="A4" s="324">
        <v>2</v>
      </c>
      <c r="B4" s="326" t="s">
        <v>1698</v>
      </c>
      <c r="C4" s="332">
        <v>300000</v>
      </c>
      <c r="D4" s="328">
        <f>+'7.1 รายละเอียด แผน รพ.สต.'!E5+'7.1 รายละเอียด แผน รพ.สต.'!F5+'7.1 รายละเอียด แผน รพ.สต.'!G5+'7.1 รายละเอียด แผน รพ.สต.'!H5+'7.1 รายละเอียด แผน รพ.สต.'!I5+'7.1 รายละเอียด แผน รพ.สต.'!J5+'7.1 รายละเอียด แผน รพ.สต.'!K5+'7.1 รายละเอียด แผน รพ.สต.'!L5</f>
        <v>935430</v>
      </c>
      <c r="E4" s="329">
        <f>+'7.1 รายละเอียด แผน รพ.สต.'!R5+'7.1 รายละเอียด แผน รพ.สต.'!Q5+'7.1 รายละเอียด แผน รพ.สต.'!P5+'7.1 รายละเอียด แผน รพ.สต.'!O5+'7.1 รายละเอียด แผน รพ.สต.'!N5+'7.1 รายละเอียด แผน รพ.สต.'!M5</f>
        <v>129604.48000000001</v>
      </c>
      <c r="F4" s="325">
        <v>0</v>
      </c>
      <c r="G4" s="330">
        <f aca="true" t="shared" si="0" ref="G4:G18">SUM(C4:F4)</f>
        <v>1365034.48</v>
      </c>
      <c r="H4" s="331"/>
    </row>
    <row r="5" spans="1:8" s="89" customFormat="1" ht="21.75">
      <c r="A5" s="324">
        <v>3</v>
      </c>
      <c r="B5" s="326" t="s">
        <v>1700</v>
      </c>
      <c r="C5" s="332">
        <v>330000</v>
      </c>
      <c r="D5" s="328">
        <f>+'7.1 รายละเอียด แผน รพ.สต.'!E6+'7.1 รายละเอียด แผน รพ.สต.'!F6+'7.1 รายละเอียด แผน รพ.สต.'!G6+'7.1 รายละเอียด แผน รพ.สต.'!H6+'7.1 รายละเอียด แผน รพ.สต.'!I6+'7.1 รายละเอียด แผน รพ.สต.'!J6+'7.1 รายละเอียด แผน รพ.สต.'!K6+'7.1 รายละเอียด แผน รพ.สต.'!L6</f>
        <v>865030</v>
      </c>
      <c r="E5" s="329">
        <f>+'7.1 รายละเอียด แผน รพ.สต.'!R6+'7.1 รายละเอียด แผน รพ.สต.'!Q6+'7.1 รายละเอียด แผน รพ.สต.'!P6+'7.1 รายละเอียด แผน รพ.สต.'!O6+'7.1 รายละเอียด แผน รพ.สต.'!N6+'7.1 รายละเอียด แผน รพ.สต.'!M6</f>
        <v>206400.05</v>
      </c>
      <c r="F5" s="325">
        <v>0</v>
      </c>
      <c r="G5" s="330">
        <f t="shared" si="0"/>
        <v>1401430.05</v>
      </c>
      <c r="H5" s="331"/>
    </row>
    <row r="6" spans="1:8" s="89" customFormat="1" ht="21.75">
      <c r="A6" s="324">
        <v>4</v>
      </c>
      <c r="B6" s="326" t="s">
        <v>1701</v>
      </c>
      <c r="C6" s="332">
        <v>330000</v>
      </c>
      <c r="D6" s="328">
        <f>+'7.1 รายละเอียด แผน รพ.สต.'!E7+'7.1 รายละเอียด แผน รพ.สต.'!F7+'7.1 รายละเอียด แผน รพ.สต.'!G7+'7.1 รายละเอียด แผน รพ.สต.'!H7+'7.1 รายละเอียด แผน รพ.สต.'!I7+'7.1 รายละเอียด แผน รพ.สต.'!J7+'7.1 รายละเอียด แผน รพ.สต.'!K7+'7.1 รายละเอียด แผน รพ.สต.'!L7</f>
        <v>727680</v>
      </c>
      <c r="E6" s="329">
        <f>+'7.1 รายละเอียด แผน รพ.สต.'!R7+'7.1 รายละเอียด แผน รพ.สต.'!Q7+'7.1 รายละเอียด แผน รพ.สต.'!P7+'7.1 รายละเอียด แผน รพ.สต.'!O7+'7.1 รายละเอียด แผน รพ.สต.'!N7+'7.1 รายละเอียด แผน รพ.สต.'!M7</f>
        <v>319519.92</v>
      </c>
      <c r="F6" s="325">
        <v>0</v>
      </c>
      <c r="G6" s="330">
        <f t="shared" si="0"/>
        <v>1377199.92</v>
      </c>
      <c r="H6" s="331"/>
    </row>
    <row r="7" spans="1:8" s="89" customFormat="1" ht="21.75">
      <c r="A7" s="324">
        <v>5</v>
      </c>
      <c r="B7" s="326" t="s">
        <v>1702</v>
      </c>
      <c r="C7" s="332">
        <v>330000</v>
      </c>
      <c r="D7" s="328">
        <f>+'7.1 รายละเอียด แผน รพ.สต.'!E8+'7.1 รายละเอียด แผน รพ.สต.'!F8+'7.1 รายละเอียด แผน รพ.สต.'!G8+'7.1 รายละเอียด แผน รพ.สต.'!H8+'7.1 รายละเอียด แผน รพ.สต.'!I8+'7.1 รายละเอียด แผน รพ.สต.'!J8+'7.1 รายละเอียด แผน รพ.สต.'!K8+'7.1 รายละเอียด แผน รพ.สต.'!L8</f>
        <v>699725</v>
      </c>
      <c r="E7" s="329">
        <f>+'7.1 รายละเอียด แผน รพ.สต.'!R8+'7.1 รายละเอียด แผน รพ.สต.'!Q8+'7.1 รายละเอียด แผน รพ.สต.'!P8+'7.1 รายละเอียด แผน รพ.สต.'!O8+'7.1 รายละเอียด แผน รพ.สต.'!N8+'7.1 รายละเอียด แผน รพ.สต.'!M8</f>
        <v>66466.1</v>
      </c>
      <c r="F7" s="325">
        <v>0</v>
      </c>
      <c r="G7" s="330">
        <f t="shared" si="0"/>
        <v>1096191.1</v>
      </c>
      <c r="H7" s="331"/>
    </row>
    <row r="8" spans="1:8" s="89" customFormat="1" ht="21.75">
      <c r="A8" s="324">
        <v>6</v>
      </c>
      <c r="B8" s="326" t="s">
        <v>1703</v>
      </c>
      <c r="C8" s="332">
        <v>330000</v>
      </c>
      <c r="D8" s="328">
        <f>+'7.1 รายละเอียด แผน รพ.สต.'!E9+'7.1 รายละเอียด แผน รพ.สต.'!F9+'7.1 รายละเอียด แผน รพ.สต.'!G9+'7.1 รายละเอียด แผน รพ.สต.'!H9+'7.1 รายละเอียด แผน รพ.สต.'!I9+'7.1 รายละเอียด แผน รพ.สต.'!J9+'7.1 รายละเอียด แผน รพ.สต.'!K9+'7.1 รายละเอียด แผน รพ.สต.'!L9</f>
        <v>596162</v>
      </c>
      <c r="E8" s="329">
        <f>+'7.1 รายละเอียด แผน รพ.สต.'!R9+'7.1 รายละเอียด แผน รพ.สต.'!Q9+'7.1 รายละเอียด แผน รพ.สต.'!P9+'7.1 รายละเอียด แผน รพ.สต.'!O9+'7.1 รายละเอียด แผน รพ.สต.'!N9+'7.1 รายละเอียด แผน รพ.สต.'!M9</f>
        <v>174790.94</v>
      </c>
      <c r="F8" s="325">
        <v>0</v>
      </c>
      <c r="G8" s="330">
        <f t="shared" si="0"/>
        <v>1100952.94</v>
      </c>
      <c r="H8" s="331"/>
    </row>
    <row r="9" spans="1:8" s="89" customFormat="1" ht="21.75">
      <c r="A9" s="324">
        <v>7</v>
      </c>
      <c r="B9" s="326" t="s">
        <v>1704</v>
      </c>
      <c r="C9" s="332">
        <v>300000</v>
      </c>
      <c r="D9" s="328">
        <f>+'7.1 รายละเอียด แผน รพ.สต.'!E10+'7.1 รายละเอียด แผน รพ.สต.'!F10+'7.1 รายละเอียด แผน รพ.สต.'!G10+'7.1 รายละเอียด แผน รพ.สต.'!H10+'7.1 รายละเอียด แผน รพ.สต.'!I10+'7.1 รายละเอียด แผน รพ.สต.'!J10+'7.1 รายละเอียด แผน รพ.สต.'!K10+'7.1 รายละเอียด แผน รพ.สต.'!L10</f>
        <v>313971</v>
      </c>
      <c r="E9" s="329">
        <f>+'7.1 รายละเอียด แผน รพ.สต.'!R10+'7.1 รายละเอียด แผน รพ.สต.'!Q10+'7.1 รายละเอียด แผน รพ.สต.'!P10+'7.1 รายละเอียด แผน รพ.สต.'!O10+'7.1 รายละเอียด แผน รพ.สต.'!N10+'7.1 รายละเอียด แผน รพ.สต.'!M10</f>
        <v>45970.15</v>
      </c>
      <c r="F9" s="325">
        <v>0</v>
      </c>
      <c r="G9" s="330">
        <f t="shared" si="0"/>
        <v>659941.15</v>
      </c>
      <c r="H9" s="331"/>
    </row>
    <row r="10" spans="1:8" s="89" customFormat="1" ht="21.75">
      <c r="A10" s="324">
        <v>8</v>
      </c>
      <c r="B10" s="326" t="s">
        <v>1705</v>
      </c>
      <c r="C10" s="332">
        <v>300000</v>
      </c>
      <c r="D10" s="328">
        <f>+'7.1 รายละเอียด แผน รพ.สต.'!E11+'7.1 รายละเอียด แผน รพ.สต.'!F11+'7.1 รายละเอียด แผน รพ.สต.'!G11+'7.1 รายละเอียด แผน รพ.สต.'!H11+'7.1 รายละเอียด แผน รพ.สต.'!I11+'7.1 รายละเอียด แผน รพ.สต.'!J11+'7.1 รายละเอียด แผน รพ.สต.'!K11+'7.1 รายละเอียด แผน รพ.สต.'!L11</f>
        <v>439026</v>
      </c>
      <c r="E10" s="329">
        <f>+'7.1 รายละเอียด แผน รพ.สต.'!R11+'7.1 รายละเอียด แผน รพ.สต.'!Q11+'7.1 รายละเอียด แผน รพ.สต.'!P11+'7.1 รายละเอียด แผน รพ.สต.'!O11+'7.1 รายละเอียด แผน รพ.สต.'!N11+'7.1 รายละเอียด แผน รพ.สต.'!M11</f>
        <v>81857.45999999999</v>
      </c>
      <c r="F10" s="325">
        <v>0</v>
      </c>
      <c r="G10" s="330">
        <f t="shared" si="0"/>
        <v>820883.46</v>
      </c>
      <c r="H10" s="331"/>
    </row>
    <row r="11" spans="1:8" s="89" customFormat="1" ht="21.75">
      <c r="A11" s="324">
        <v>9</v>
      </c>
      <c r="B11" s="326" t="s">
        <v>1706</v>
      </c>
      <c r="C11" s="332">
        <v>300000</v>
      </c>
      <c r="D11" s="328">
        <f>+'7.1 รายละเอียด แผน รพ.สต.'!E12+'7.1 รายละเอียด แผน รพ.สต.'!F12+'7.1 รายละเอียด แผน รพ.สต.'!G12+'7.1 รายละเอียด แผน รพ.สต.'!H12+'7.1 รายละเอียด แผน รพ.สต.'!I12+'7.1 รายละเอียด แผน รพ.สต.'!J12+'7.1 รายละเอียด แผน รพ.สต.'!K12+'7.1 รายละเอียด แผน รพ.สต.'!L12</f>
        <v>892326</v>
      </c>
      <c r="E11" s="329">
        <f>+'7.1 รายละเอียด แผน รพ.สต.'!R12+'7.1 รายละเอียด แผน รพ.สต.'!Q12+'7.1 รายละเอียด แผน รพ.สต.'!P12+'7.1 รายละเอียด แผน รพ.สต.'!O12+'7.1 รายละเอียด แผน รพ.สต.'!N12+'7.1 รายละเอียด แผน รพ.สต.'!M12</f>
        <v>88858.53</v>
      </c>
      <c r="F11" s="325">
        <v>0</v>
      </c>
      <c r="G11" s="330">
        <f t="shared" si="0"/>
        <v>1281184.53</v>
      </c>
      <c r="H11" s="331"/>
    </row>
    <row r="12" spans="1:8" s="89" customFormat="1" ht="21.75">
      <c r="A12" s="324">
        <v>10</v>
      </c>
      <c r="B12" s="326" t="s">
        <v>1707</v>
      </c>
      <c r="C12" s="332">
        <v>330000</v>
      </c>
      <c r="D12" s="328">
        <f>+'7.1 รายละเอียด แผน รพ.สต.'!E13+'7.1 รายละเอียด แผน รพ.สต.'!F13+'7.1 รายละเอียด แผน รพ.สต.'!G13+'7.1 รายละเอียด แผน รพ.สต.'!H13+'7.1 รายละเอียด แผน รพ.สต.'!I13+'7.1 รายละเอียด แผน รพ.สต.'!J13+'7.1 รายละเอียด แผน รพ.สต.'!K13+'7.1 รายละเอียด แผน รพ.สต.'!L13</f>
        <v>629670</v>
      </c>
      <c r="E12" s="329">
        <f>+'7.1 รายละเอียด แผน รพ.สต.'!R13+'7.1 รายละเอียด แผน รพ.สต.'!Q13+'7.1 รายละเอียด แผน รพ.สต.'!P13+'7.1 รายละเอียด แผน รพ.สต.'!O13+'7.1 รายละเอียด แผน รพ.สต.'!N13+'7.1 รายละเอียด แผน รพ.สต.'!M13</f>
        <v>131240.84</v>
      </c>
      <c r="F12" s="325">
        <v>0</v>
      </c>
      <c r="G12" s="330">
        <f t="shared" si="0"/>
        <v>1090910.84</v>
      </c>
      <c r="H12" s="331"/>
    </row>
    <row r="13" spans="1:8" s="89" customFormat="1" ht="27" customHeight="1">
      <c r="A13" s="324">
        <v>11</v>
      </c>
      <c r="B13" s="326" t="s">
        <v>1708</v>
      </c>
      <c r="C13" s="332">
        <v>330000</v>
      </c>
      <c r="D13" s="328">
        <f>+'7.1 รายละเอียด แผน รพ.สต.'!E14+'7.1 รายละเอียด แผน รพ.สต.'!F14+'7.1 รายละเอียด แผน รพ.สต.'!G14+'7.1 รายละเอียด แผน รพ.สต.'!H14+'7.1 รายละเอียด แผน รพ.สต.'!I14+'7.1 รายละเอียด แผน รพ.สต.'!J14+'7.1 รายละเอียด แผน รพ.สต.'!K14+'7.1 รายละเอียด แผน รพ.สต.'!L14</f>
        <v>704298</v>
      </c>
      <c r="E13" s="329">
        <f>+'7.1 รายละเอียด แผน รพ.สต.'!R14+'7.1 รายละเอียด แผน รพ.สต.'!Q14+'7.1 รายละเอียด แผน รพ.สต.'!P14+'7.1 รายละเอียด แผน รพ.สต.'!O14+'7.1 รายละเอียด แผน รพ.สต.'!N14+'7.1 รายละเอียด แผน รพ.สต.'!M14</f>
        <v>144375.09</v>
      </c>
      <c r="F13" s="325">
        <v>0</v>
      </c>
      <c r="G13" s="330">
        <f t="shared" si="0"/>
        <v>1178673.09</v>
      </c>
      <c r="H13" s="331"/>
    </row>
    <row r="14" spans="1:8" s="89" customFormat="1" ht="24" customHeight="1">
      <c r="A14" s="324">
        <v>12</v>
      </c>
      <c r="B14" s="326" t="s">
        <v>1709</v>
      </c>
      <c r="C14" s="319">
        <v>360000</v>
      </c>
      <c r="D14" s="328">
        <f>+'7.1 รายละเอียด แผน รพ.สต.'!E15+'7.1 รายละเอียด แผน รพ.สต.'!F15+'7.1 รายละเอียด แผน รพ.สต.'!G15+'7.1 รายละเอียด แผน รพ.สต.'!H15+'7.1 รายละเอียด แผน รพ.สต.'!I15+'7.1 รายละเอียด แผน รพ.สต.'!J15+'7.1 รายละเอียด แผน รพ.สต.'!K15+'7.1 รายละเอียด แผน รพ.สต.'!L15</f>
        <v>974416</v>
      </c>
      <c r="E14" s="329">
        <f>+'7.1 รายละเอียด แผน รพ.สต.'!R15+'7.1 รายละเอียด แผน รพ.สต.'!Q15+'7.1 รายละเอียด แผน รพ.สต.'!P15+'7.1 รายละเอียด แผน รพ.สต.'!O15+'7.1 รายละเอียด แผน รพ.สต.'!N15+'7.1 รายละเอียด แผน รพ.สต.'!M15</f>
        <v>259200.97</v>
      </c>
      <c r="F14" s="325">
        <v>0</v>
      </c>
      <c r="G14" s="330">
        <f t="shared" si="0"/>
        <v>1593616.97</v>
      </c>
      <c r="H14" s="331"/>
    </row>
    <row r="15" spans="1:8" s="89" customFormat="1" ht="24" customHeight="1">
      <c r="A15" s="324">
        <v>13</v>
      </c>
      <c r="B15" s="326" t="s">
        <v>1711</v>
      </c>
      <c r="C15" s="333">
        <v>330000</v>
      </c>
      <c r="D15" s="328">
        <f>+'7.1 รายละเอียด แผน รพ.สต.'!E16+'7.1 รายละเอียด แผน รพ.สต.'!F16+'7.1 รายละเอียด แผน รพ.สต.'!G16+'7.1 รายละเอียด แผน รพ.สต.'!H16+'7.1 รายละเอียด แผน รพ.สต.'!I16+'7.1 รายละเอียด แผน รพ.สต.'!J16+'7.1 รายละเอียด แผน รพ.สต.'!K16+'7.1 รายละเอียด แผน รพ.สต.'!L16</f>
        <v>187824</v>
      </c>
      <c r="E15" s="329">
        <f>+'7.1 รายละเอียด แผน รพ.สต.'!R16+'7.1 รายละเอียด แผน รพ.สต.'!Q16+'7.1 รายละเอียด แผน รพ.สต.'!P16+'7.1 รายละเอียด แผน รพ.สต.'!O16+'7.1 รายละเอียด แผน รพ.สต.'!N16+'7.1 รายละเอียด แผน รพ.สต.'!M16</f>
        <v>189908.75</v>
      </c>
      <c r="F15" s="325">
        <v>0</v>
      </c>
      <c r="G15" s="330">
        <f t="shared" si="0"/>
        <v>707732.75</v>
      </c>
      <c r="H15" s="331"/>
    </row>
    <row r="16" spans="1:8" s="89" customFormat="1" ht="24" customHeight="1">
      <c r="A16" s="324">
        <v>14</v>
      </c>
      <c r="B16" s="326" t="s">
        <v>1712</v>
      </c>
      <c r="C16" s="333">
        <v>330000</v>
      </c>
      <c r="D16" s="328">
        <f>+'7.1 รายละเอียด แผน รพ.สต.'!E17+'7.1 รายละเอียด แผน รพ.สต.'!F17+'7.1 รายละเอียด แผน รพ.สต.'!G17+'7.1 รายละเอียด แผน รพ.สต.'!H17+'7.1 รายละเอียด แผน รพ.สต.'!I17+'7.1 รายละเอียด แผน รพ.สต.'!J17+'7.1 รายละเอียด แผน รพ.สต.'!K17+'7.1 รายละเอียด แผน รพ.สต.'!L17</f>
        <v>430264</v>
      </c>
      <c r="E16" s="329">
        <f>+'7.1 รายละเอียด แผน รพ.สต.'!R17+'7.1 รายละเอียด แผน รพ.สต.'!Q17+'7.1 รายละเอียด แผน รพ.สต.'!P17+'7.1 รายละเอียด แผน รพ.สต.'!O17+'7.1 รายละเอียด แผน รพ.สต.'!N17+'7.1 รายละเอียด แผน รพ.สต.'!M17</f>
        <v>136652.46</v>
      </c>
      <c r="F16" s="325">
        <v>0</v>
      </c>
      <c r="G16" s="330">
        <f t="shared" si="0"/>
        <v>896916.46</v>
      </c>
      <c r="H16" s="331"/>
    </row>
    <row r="17" spans="1:8" s="89" customFormat="1" ht="24" customHeight="1">
      <c r="A17" s="324">
        <v>15</v>
      </c>
      <c r="B17" s="326" t="s">
        <v>1713</v>
      </c>
      <c r="C17" s="333">
        <v>300000</v>
      </c>
      <c r="D17" s="328">
        <f>+'7.1 รายละเอียด แผน รพ.สต.'!E18+'7.1 รายละเอียด แผน รพ.สต.'!F18+'7.1 รายละเอียด แผน รพ.สต.'!G18+'7.1 รายละเอียด แผน รพ.สต.'!H18+'7.1 รายละเอียด แผน รพ.สต.'!I18+'7.1 รายละเอียด แผน รพ.สต.'!J18+'7.1 รายละเอียด แผน รพ.สต.'!K18+'7.1 รายละเอียด แผน รพ.สต.'!L18</f>
        <v>255404</v>
      </c>
      <c r="E17" s="329">
        <f>+'7.1 รายละเอียด แผน รพ.สต.'!R18+'7.1 รายละเอียด แผน รพ.สต.'!Q18+'7.1 รายละเอียด แผน รพ.สต.'!P18+'7.1 รายละเอียด แผน รพ.สต.'!O18+'7.1 รายละเอียด แผน รพ.สต.'!N18+'7.1 รายละเอียด แผน รพ.สต.'!M18</f>
        <v>123632.26999999999</v>
      </c>
      <c r="F17" s="325">
        <v>0</v>
      </c>
      <c r="G17" s="330">
        <f t="shared" si="0"/>
        <v>679036.27</v>
      </c>
      <c r="H17" s="331"/>
    </row>
    <row r="18" spans="1:8" s="89" customFormat="1" ht="24" customHeight="1">
      <c r="A18" s="324">
        <v>16</v>
      </c>
      <c r="B18" s="326" t="s">
        <v>1714</v>
      </c>
      <c r="C18" s="333">
        <v>300000</v>
      </c>
      <c r="D18" s="328">
        <f>+'7.1 รายละเอียด แผน รพ.สต.'!E19+'7.1 รายละเอียด แผน รพ.สต.'!F19+'7.1 รายละเอียด แผน รพ.สต.'!G19+'7.1 รายละเอียด แผน รพ.สต.'!H19+'7.1 รายละเอียด แผน รพ.สต.'!I19+'7.1 รายละเอียด แผน รพ.สต.'!J19+'7.1 รายละเอียด แผน รพ.สต.'!K19+'7.1 รายละเอียด แผน รพ.สต.'!L19</f>
        <v>359688</v>
      </c>
      <c r="E18" s="329">
        <f>+'7.1 รายละเอียด แผน รพ.สต.'!R19+'7.1 รายละเอียด แผน รพ.สต.'!Q19+'7.1 รายละเอียด แผน รพ.สต.'!P19+'7.1 รายละเอียด แผน รพ.สต.'!O19+'7.1 รายละเอียด แผน รพ.สต.'!N19+'7.1 รายละเอียด แผน รพ.สต.'!M19</f>
        <v>90128.72</v>
      </c>
      <c r="F18" s="325">
        <v>0</v>
      </c>
      <c r="G18" s="330">
        <f t="shared" si="0"/>
        <v>749816.72</v>
      </c>
      <c r="H18" s="331"/>
    </row>
    <row r="19" spans="1:7" s="1" customFormat="1" ht="24.75" customHeight="1">
      <c r="A19" s="673" t="s">
        <v>666</v>
      </c>
      <c r="B19" s="674"/>
      <c r="C19" s="334">
        <f>SUM(C3:C18)</f>
        <v>5130000</v>
      </c>
      <c r="D19" s="334">
        <f>SUM(D3:D18)</f>
        <v>9639630</v>
      </c>
      <c r="E19" s="334">
        <f>SUM(E3:E18)</f>
        <v>2359168.6900000004</v>
      </c>
      <c r="F19" s="334">
        <f>SUM(F3:F18)</f>
        <v>0</v>
      </c>
      <c r="G19" s="335">
        <f>SUM(G3:G18)</f>
        <v>17128798.689999998</v>
      </c>
    </row>
    <row r="20" spans="1:7" s="1" customFormat="1" ht="24.75" customHeight="1">
      <c r="A20" s="599"/>
      <c r="B20" s="599"/>
      <c r="C20" s="600" t="s">
        <v>2087</v>
      </c>
      <c r="D20" s="600">
        <v>6065031</v>
      </c>
      <c r="E20" s="600"/>
      <c r="F20" s="600"/>
      <c r="G20" s="601"/>
    </row>
    <row r="21" spans="1:7" s="1" customFormat="1" ht="24.75" customHeight="1">
      <c r="A21" s="599"/>
      <c r="B21" s="599" t="s">
        <v>2085</v>
      </c>
      <c r="C21" s="600" t="s">
        <v>2086</v>
      </c>
      <c r="D21" s="600">
        <v>3574599</v>
      </c>
      <c r="E21" s="600"/>
      <c r="F21" s="600"/>
      <c r="G21" s="601"/>
    </row>
    <row r="22" spans="1:7" s="1" customFormat="1" ht="24.75" customHeight="1" thickBot="1">
      <c r="A22" s="599"/>
      <c r="B22" s="599"/>
      <c r="C22" s="600"/>
      <c r="D22" s="602">
        <f>SUM(D20:D21)</f>
        <v>9639630</v>
      </c>
      <c r="E22" s="600"/>
      <c r="F22" s="600"/>
      <c r="G22" s="601"/>
    </row>
    <row r="23" spans="1:7" s="1" customFormat="1" ht="24.75" customHeight="1" thickTop="1">
      <c r="A23" s="599"/>
      <c r="B23" s="603" t="s">
        <v>2088</v>
      </c>
      <c r="C23" s="604"/>
      <c r="D23" s="605"/>
      <c r="E23" s="606">
        <f>+C19+D20</f>
        <v>11195031</v>
      </c>
      <c r="F23" s="600"/>
      <c r="G23" s="601"/>
    </row>
    <row r="24" spans="2:5" s="20" customFormat="1" ht="27.75">
      <c r="B24" s="604" t="s">
        <v>2086</v>
      </c>
      <c r="C24" s="605"/>
      <c r="D24" s="605"/>
      <c r="E24" s="607">
        <v>3574599</v>
      </c>
    </row>
    <row r="25" spans="2:5" s="20" customFormat="1" ht="27.75">
      <c r="B25" s="604" t="s">
        <v>2089</v>
      </c>
      <c r="C25" s="605"/>
      <c r="D25" s="605"/>
      <c r="E25" s="607">
        <v>2359168.69</v>
      </c>
    </row>
    <row r="26" spans="2:5" s="20" customFormat="1" ht="28.5" thickBot="1">
      <c r="B26" s="604" t="s">
        <v>2090</v>
      </c>
      <c r="C26" s="605"/>
      <c r="D26" s="605"/>
      <c r="E26" s="608">
        <f>SUM(E23:E25)</f>
        <v>17128798.69</v>
      </c>
    </row>
    <row r="27" spans="1:2" s="1" customFormat="1" ht="22.5" thickTop="1">
      <c r="A27" s="2" t="s">
        <v>794</v>
      </c>
      <c r="B27" s="1" t="s">
        <v>795</v>
      </c>
    </row>
    <row r="28" spans="1:2" s="1" customFormat="1" ht="21.75">
      <c r="A28" s="2"/>
      <c r="B28" s="1" t="s">
        <v>796</v>
      </c>
    </row>
    <row r="29" spans="1:6" s="1" customFormat="1" ht="43.5">
      <c r="A29" s="337" t="s">
        <v>1731</v>
      </c>
      <c r="B29" s="669" t="s">
        <v>797</v>
      </c>
      <c r="C29" s="669"/>
      <c r="D29" s="669"/>
      <c r="E29" s="669"/>
      <c r="F29" s="669"/>
    </row>
    <row r="30" spans="1:7" s="1" customFormat="1" ht="54" customHeight="1">
      <c r="A30" s="668" t="s">
        <v>1732</v>
      </c>
      <c r="B30" s="668"/>
      <c r="C30" s="668"/>
      <c r="D30" s="668"/>
      <c r="E30" s="668"/>
      <c r="F30" s="668"/>
      <c r="G30" s="338"/>
    </row>
    <row r="31" spans="1:2" s="1" customFormat="1" ht="31.5" customHeight="1">
      <c r="A31" s="339" t="s">
        <v>1734</v>
      </c>
      <c r="B31" s="1" t="s">
        <v>1733</v>
      </c>
    </row>
  </sheetData>
  <sheetProtection/>
  <mergeCells count="4">
    <mergeCell ref="A30:F30"/>
    <mergeCell ref="B29:F29"/>
    <mergeCell ref="B1:G1"/>
    <mergeCell ref="A19:B19"/>
  </mergeCells>
  <printOptions/>
  <pageMargins left="0.17" right="0.3937007874015748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0" sqref="E20:G20"/>
    </sheetView>
  </sheetViews>
  <sheetFormatPr defaultColWidth="9.140625" defaultRowHeight="15"/>
  <cols>
    <col min="1" max="1" width="7.421875" style="358" customWidth="1"/>
    <col min="2" max="2" width="11.28125" style="358" bestFit="1" customWidth="1"/>
    <col min="3" max="3" width="15.28125" style="358" bestFit="1" customWidth="1"/>
    <col min="4" max="4" width="13.421875" style="358" customWidth="1"/>
    <col min="5" max="5" width="12.421875" style="358" bestFit="1" customWidth="1"/>
    <col min="6" max="6" width="11.421875" style="358" bestFit="1" customWidth="1"/>
    <col min="7" max="7" width="9.8515625" style="358" bestFit="1" customWidth="1"/>
    <col min="8" max="8" width="10.7109375" style="358" hidden="1" customWidth="1"/>
    <col min="9" max="9" width="10.28125" style="358" hidden="1" customWidth="1"/>
    <col min="10" max="10" width="8.140625" style="358" hidden="1" customWidth="1"/>
    <col min="11" max="11" width="8.00390625" style="358" hidden="1" customWidth="1"/>
    <col min="12" max="12" width="10.28125" style="347" bestFit="1" customWidth="1"/>
    <col min="13" max="13" width="10.8515625" style="358" bestFit="1" customWidth="1"/>
    <col min="14" max="14" width="9.421875" style="358" bestFit="1" customWidth="1"/>
    <col min="15" max="15" width="8.8515625" style="371" bestFit="1" customWidth="1"/>
    <col min="16" max="16" width="8.8515625" style="358" bestFit="1" customWidth="1"/>
    <col min="17" max="17" width="10.00390625" style="358" bestFit="1" customWidth="1"/>
    <col min="18" max="18" width="9.28125" style="358" bestFit="1" customWidth="1"/>
    <col min="19" max="19" width="9.00390625" style="358" bestFit="1" customWidth="1"/>
    <col min="20" max="20" width="11.57421875" style="358" bestFit="1" customWidth="1"/>
    <col min="21" max="21" width="10.8515625" style="356" hidden="1" customWidth="1"/>
    <col min="22" max="22" width="11.421875" style="358" hidden="1" customWidth="1"/>
    <col min="23" max="16384" width="9.00390625" style="358" customWidth="1"/>
  </cols>
  <sheetData>
    <row r="1" spans="1:21" s="341" customFormat="1" ht="18.75">
      <c r="A1" s="374" t="s">
        <v>1682</v>
      </c>
      <c r="B1" s="374"/>
      <c r="C1" s="374"/>
      <c r="D1" s="374"/>
      <c r="E1" s="340"/>
      <c r="F1" s="340"/>
      <c r="G1" s="340"/>
      <c r="L1" s="342"/>
      <c r="U1" s="343"/>
    </row>
    <row r="2" spans="1:21" s="346" customFormat="1" ht="75">
      <c r="A2" s="690" t="s">
        <v>786</v>
      </c>
      <c r="B2" s="691" t="s">
        <v>787</v>
      </c>
      <c r="C2" s="691" t="s">
        <v>1683</v>
      </c>
      <c r="D2" s="344" t="s">
        <v>793</v>
      </c>
      <c r="E2" s="675" t="s">
        <v>790</v>
      </c>
      <c r="F2" s="676"/>
      <c r="G2" s="676"/>
      <c r="H2" s="676"/>
      <c r="I2" s="676"/>
      <c r="J2" s="676"/>
      <c r="K2" s="676"/>
      <c r="L2" s="677"/>
      <c r="M2" s="572" t="s">
        <v>788</v>
      </c>
      <c r="N2" s="573"/>
      <c r="O2" s="573"/>
      <c r="P2" s="573"/>
      <c r="Q2" s="573"/>
      <c r="R2" s="574"/>
      <c r="S2" s="678" t="s">
        <v>789</v>
      </c>
      <c r="T2" s="680" t="s">
        <v>1684</v>
      </c>
      <c r="U2" s="345"/>
    </row>
    <row r="3" spans="1:21" s="346" customFormat="1" ht="63.75" customHeight="1">
      <c r="A3" s="690"/>
      <c r="B3" s="691"/>
      <c r="C3" s="691"/>
      <c r="D3" s="344" t="s">
        <v>1685</v>
      </c>
      <c r="E3" s="344" t="s">
        <v>1686</v>
      </c>
      <c r="F3" s="344" t="s">
        <v>1687</v>
      </c>
      <c r="G3" s="344" t="s">
        <v>1688</v>
      </c>
      <c r="H3" s="344" t="s">
        <v>1689</v>
      </c>
      <c r="I3" s="372" t="s">
        <v>1690</v>
      </c>
      <c r="J3" s="344" t="s">
        <v>1691</v>
      </c>
      <c r="K3" s="344" t="s">
        <v>1692</v>
      </c>
      <c r="L3" s="372" t="s">
        <v>1693</v>
      </c>
      <c r="M3" s="373" t="s">
        <v>1694</v>
      </c>
      <c r="N3" s="373" t="s">
        <v>1669</v>
      </c>
      <c r="O3" s="373" t="s">
        <v>1695</v>
      </c>
      <c r="P3" s="344" t="s">
        <v>1715</v>
      </c>
      <c r="Q3" s="344" t="s">
        <v>758</v>
      </c>
      <c r="R3" s="373" t="s">
        <v>1674</v>
      </c>
      <c r="S3" s="679"/>
      <c r="T3" s="681"/>
      <c r="U3" s="345"/>
    </row>
    <row r="4" spans="1:22" ht="22.5" customHeight="1">
      <c r="A4" s="348">
        <v>1</v>
      </c>
      <c r="B4" s="349" t="s">
        <v>1696</v>
      </c>
      <c r="C4" s="350" t="s">
        <v>1697</v>
      </c>
      <c r="D4" s="351">
        <v>330000</v>
      </c>
      <c r="E4" s="351">
        <f>2*3500*12</f>
        <v>84000</v>
      </c>
      <c r="F4" s="351">
        <f>21410*12</f>
        <v>256920</v>
      </c>
      <c r="G4" s="352">
        <f>+F4*0.05</f>
        <v>12846</v>
      </c>
      <c r="H4" s="351">
        <v>0</v>
      </c>
      <c r="I4" s="353">
        <v>0</v>
      </c>
      <c r="J4" s="353">
        <v>0</v>
      </c>
      <c r="K4" s="353">
        <v>0</v>
      </c>
      <c r="L4" s="354">
        <v>274950</v>
      </c>
      <c r="M4" s="353">
        <v>100223.64</v>
      </c>
      <c r="N4" s="353">
        <v>0</v>
      </c>
      <c r="O4" s="353">
        <v>6229</v>
      </c>
      <c r="P4" s="353">
        <v>47993.77</v>
      </c>
      <c r="Q4" s="353">
        <v>2149.55</v>
      </c>
      <c r="R4" s="353">
        <v>13966</v>
      </c>
      <c r="S4" s="353">
        <v>0</v>
      </c>
      <c r="T4" s="355">
        <f>SUM(D4:S4)</f>
        <v>1129277.96</v>
      </c>
      <c r="U4" s="356">
        <f>10380+10380</f>
        <v>20760</v>
      </c>
      <c r="V4" s="357">
        <f aca="true" t="shared" si="0" ref="V4:V16">+U4+650</f>
        <v>21410</v>
      </c>
    </row>
    <row r="5" spans="1:22" ht="22.5" customHeight="1">
      <c r="A5" s="348">
        <v>2</v>
      </c>
      <c r="B5" s="349" t="s">
        <v>1698</v>
      </c>
      <c r="C5" s="348" t="s">
        <v>1699</v>
      </c>
      <c r="D5" s="355">
        <v>300000</v>
      </c>
      <c r="E5" s="355">
        <f>1*3500*12</f>
        <v>42000</v>
      </c>
      <c r="F5" s="355">
        <f>39300*12</f>
        <v>471600</v>
      </c>
      <c r="G5" s="352">
        <f>+F5*0.05</f>
        <v>23580</v>
      </c>
      <c r="H5" s="355">
        <v>0</v>
      </c>
      <c r="I5" s="353">
        <v>0</v>
      </c>
      <c r="J5" s="353">
        <v>0</v>
      </c>
      <c r="K5" s="353">
        <v>0</v>
      </c>
      <c r="L5" s="354">
        <v>398250</v>
      </c>
      <c r="M5" s="353">
        <v>84465.13</v>
      </c>
      <c r="N5" s="353"/>
      <c r="O5" s="353">
        <v>15445.45</v>
      </c>
      <c r="P5" s="353">
        <v>19957.65</v>
      </c>
      <c r="Q5" s="353">
        <v>5566.25</v>
      </c>
      <c r="R5" s="353">
        <v>4170</v>
      </c>
      <c r="S5" s="353">
        <v>0</v>
      </c>
      <c r="T5" s="355">
        <f aca="true" t="shared" si="1" ref="T5:T19">SUM(D5:S5)</f>
        <v>1365034.4799999997</v>
      </c>
      <c r="U5" s="356">
        <f>15960+12670+10020</f>
        <v>38650</v>
      </c>
      <c r="V5" s="357">
        <f t="shared" si="0"/>
        <v>39300</v>
      </c>
    </row>
    <row r="6" spans="1:22" ht="22.5" customHeight="1">
      <c r="A6" s="348">
        <v>3</v>
      </c>
      <c r="B6" s="349" t="s">
        <v>1700</v>
      </c>
      <c r="C6" s="350" t="s">
        <v>1697</v>
      </c>
      <c r="D6" s="355">
        <v>330000</v>
      </c>
      <c r="E6" s="355">
        <f>2*3500*12</f>
        <v>84000</v>
      </c>
      <c r="F6" s="355">
        <f>17200*12</f>
        <v>206400</v>
      </c>
      <c r="G6" s="352">
        <f aca="true" t="shared" si="2" ref="G6:G19">+F6*0.05</f>
        <v>10320</v>
      </c>
      <c r="H6" s="355">
        <v>0</v>
      </c>
      <c r="I6" s="353">
        <v>0</v>
      </c>
      <c r="J6" s="353">
        <v>0</v>
      </c>
      <c r="K6" s="353">
        <v>0</v>
      </c>
      <c r="L6" s="354">
        <v>564310</v>
      </c>
      <c r="M6" s="353">
        <v>177714.44</v>
      </c>
      <c r="N6" s="353"/>
      <c r="O6" s="353">
        <v>11184.51</v>
      </c>
      <c r="P6" s="353">
        <v>14230.1</v>
      </c>
      <c r="Q6" s="353">
        <v>3271</v>
      </c>
      <c r="R6" s="353">
        <v>0</v>
      </c>
      <c r="S6" s="353">
        <v>0</v>
      </c>
      <c r="T6" s="355">
        <f t="shared" si="1"/>
        <v>1401430.05</v>
      </c>
      <c r="U6" s="356">
        <f>8550+8000</f>
        <v>16550</v>
      </c>
      <c r="V6" s="357">
        <f t="shared" si="0"/>
        <v>17200</v>
      </c>
    </row>
    <row r="7" spans="1:22" ht="22.5" customHeight="1">
      <c r="A7" s="348">
        <v>4</v>
      </c>
      <c r="B7" s="349" t="s">
        <v>1701</v>
      </c>
      <c r="C7" s="350" t="s">
        <v>1697</v>
      </c>
      <c r="D7" s="355">
        <v>330000</v>
      </c>
      <c r="E7" s="355">
        <f>2*3500*12</f>
        <v>84000</v>
      </c>
      <c r="F7" s="355">
        <f>34200*12</f>
        <v>410400</v>
      </c>
      <c r="G7" s="352">
        <f t="shared" si="2"/>
        <v>20520</v>
      </c>
      <c r="H7" s="355">
        <v>0</v>
      </c>
      <c r="I7" s="353">
        <v>0</v>
      </c>
      <c r="J7" s="353">
        <v>0</v>
      </c>
      <c r="K7" s="353">
        <v>0</v>
      </c>
      <c r="L7" s="354">
        <v>212760</v>
      </c>
      <c r="M7" s="353">
        <v>277494.92</v>
      </c>
      <c r="N7" s="353">
        <v>0</v>
      </c>
      <c r="O7" s="353">
        <v>7341</v>
      </c>
      <c r="P7" s="353">
        <v>29278</v>
      </c>
      <c r="Q7" s="353">
        <v>3177</v>
      </c>
      <c r="R7" s="353">
        <v>2229</v>
      </c>
      <c r="S7" s="353">
        <v>0</v>
      </c>
      <c r="T7" s="355">
        <f t="shared" si="1"/>
        <v>1377199.92</v>
      </c>
      <c r="U7" s="356">
        <f>15960+10000+7590</f>
        <v>33550</v>
      </c>
      <c r="V7" s="357">
        <f t="shared" si="0"/>
        <v>34200</v>
      </c>
    </row>
    <row r="8" spans="1:22" ht="22.5" customHeight="1">
      <c r="A8" s="359">
        <v>5</v>
      </c>
      <c r="B8" s="349" t="s">
        <v>1702</v>
      </c>
      <c r="C8" s="350" t="s">
        <v>1697</v>
      </c>
      <c r="D8" s="355">
        <v>330000</v>
      </c>
      <c r="E8" s="355">
        <f>2*3500*12</f>
        <v>84000</v>
      </c>
      <c r="F8" s="355">
        <f>33150*12</f>
        <v>397800</v>
      </c>
      <c r="G8" s="352">
        <f t="shared" si="2"/>
        <v>19890</v>
      </c>
      <c r="H8" s="355">
        <v>0</v>
      </c>
      <c r="I8" s="353">
        <v>0</v>
      </c>
      <c r="J8" s="353">
        <v>0</v>
      </c>
      <c r="K8" s="353">
        <v>0</v>
      </c>
      <c r="L8" s="354">
        <v>198035</v>
      </c>
      <c r="M8" s="353">
        <v>42444.62</v>
      </c>
      <c r="N8" s="353"/>
      <c r="O8" s="353">
        <v>13642.57</v>
      </c>
      <c r="P8" s="353">
        <v>8501.06</v>
      </c>
      <c r="Q8" s="353">
        <v>1877.85</v>
      </c>
      <c r="R8" s="353">
        <v>0</v>
      </c>
      <c r="S8" s="353">
        <v>0</v>
      </c>
      <c r="T8" s="355">
        <f t="shared" si="1"/>
        <v>1096191.1000000003</v>
      </c>
      <c r="U8" s="356">
        <f>12240+10060+10200</f>
        <v>32500</v>
      </c>
      <c r="V8" s="357">
        <f t="shared" si="0"/>
        <v>33150</v>
      </c>
    </row>
    <row r="9" spans="1:22" s="339" customFormat="1" ht="22.5" customHeight="1">
      <c r="A9" s="359">
        <v>6</v>
      </c>
      <c r="B9" s="349" t="s">
        <v>1703</v>
      </c>
      <c r="C9" s="350" t="s">
        <v>1697</v>
      </c>
      <c r="D9" s="355">
        <v>330000</v>
      </c>
      <c r="E9" s="355">
        <f>2*3500*12</f>
        <v>84000</v>
      </c>
      <c r="F9" s="355">
        <f>10770*12</f>
        <v>129240</v>
      </c>
      <c r="G9" s="352">
        <f t="shared" si="2"/>
        <v>6462</v>
      </c>
      <c r="H9" s="355">
        <v>0</v>
      </c>
      <c r="I9" s="353">
        <v>0</v>
      </c>
      <c r="J9" s="353">
        <v>0</v>
      </c>
      <c r="K9" s="353">
        <v>0</v>
      </c>
      <c r="L9" s="354">
        <v>376460</v>
      </c>
      <c r="M9" s="353">
        <v>114208.3</v>
      </c>
      <c r="N9" s="353">
        <v>0</v>
      </c>
      <c r="O9" s="353">
        <v>21485.05</v>
      </c>
      <c r="P9" s="353">
        <v>19777.74</v>
      </c>
      <c r="Q9" s="353">
        <v>5329.85</v>
      </c>
      <c r="R9" s="353">
        <v>13990</v>
      </c>
      <c r="S9" s="353">
        <v>0</v>
      </c>
      <c r="T9" s="355">
        <f t="shared" si="1"/>
        <v>1100952.9400000002</v>
      </c>
      <c r="U9" s="356">
        <v>10120</v>
      </c>
      <c r="V9" s="357">
        <f t="shared" si="0"/>
        <v>10770</v>
      </c>
    </row>
    <row r="10" spans="1:22" s="339" customFormat="1" ht="22.5" customHeight="1">
      <c r="A10" s="348">
        <v>7</v>
      </c>
      <c r="B10" s="349" t="s">
        <v>1704</v>
      </c>
      <c r="C10" s="348" t="s">
        <v>1699</v>
      </c>
      <c r="D10" s="355">
        <v>300000</v>
      </c>
      <c r="E10" s="355">
        <f>1*3500*12</f>
        <v>42000</v>
      </c>
      <c r="F10" s="355">
        <f>21585*12</f>
        <v>259020</v>
      </c>
      <c r="G10" s="352">
        <f t="shared" si="2"/>
        <v>12951</v>
      </c>
      <c r="H10" s="355">
        <v>0</v>
      </c>
      <c r="I10" s="353">
        <v>0</v>
      </c>
      <c r="J10" s="353">
        <v>0</v>
      </c>
      <c r="K10" s="353">
        <v>0</v>
      </c>
      <c r="L10" s="354">
        <v>0</v>
      </c>
      <c r="M10" s="353">
        <v>41535.15</v>
      </c>
      <c r="N10" s="353">
        <v>0</v>
      </c>
      <c r="O10" s="353">
        <v>3196.7</v>
      </c>
      <c r="P10" s="353">
        <v>0</v>
      </c>
      <c r="Q10" s="353">
        <v>1238.3</v>
      </c>
      <c r="R10" s="353"/>
      <c r="S10" s="353">
        <v>0</v>
      </c>
      <c r="T10" s="355">
        <f t="shared" si="1"/>
        <v>659941.15</v>
      </c>
      <c r="U10" s="356">
        <f>10080+10855</f>
        <v>20935</v>
      </c>
      <c r="V10" s="357">
        <f t="shared" si="0"/>
        <v>21585</v>
      </c>
    </row>
    <row r="11" spans="1:22" s="339" customFormat="1" ht="22.5" customHeight="1">
      <c r="A11" s="348">
        <v>8</v>
      </c>
      <c r="B11" s="349" t="s">
        <v>1705</v>
      </c>
      <c r="C11" s="348" t="s">
        <v>1699</v>
      </c>
      <c r="D11" s="355">
        <v>300000</v>
      </c>
      <c r="E11" s="355">
        <f>1*3500*12</f>
        <v>42000</v>
      </c>
      <c r="F11" s="355">
        <f>31510*12</f>
        <v>378120</v>
      </c>
      <c r="G11" s="352">
        <f t="shared" si="2"/>
        <v>18906</v>
      </c>
      <c r="H11" s="355">
        <v>0</v>
      </c>
      <c r="I11" s="353">
        <v>0</v>
      </c>
      <c r="J11" s="353">
        <v>0</v>
      </c>
      <c r="K11" s="353">
        <v>0</v>
      </c>
      <c r="L11" s="354">
        <v>0</v>
      </c>
      <c r="M11" s="353">
        <v>46084.46</v>
      </c>
      <c r="N11" s="353">
        <v>0</v>
      </c>
      <c r="O11" s="353">
        <v>6089.71</v>
      </c>
      <c r="P11" s="353">
        <v>27433.29</v>
      </c>
      <c r="Q11" s="353">
        <v>2250</v>
      </c>
      <c r="R11" s="353">
        <v>0</v>
      </c>
      <c r="S11" s="353">
        <v>0</v>
      </c>
      <c r="T11" s="355">
        <f t="shared" si="1"/>
        <v>820883.46</v>
      </c>
      <c r="U11" s="356">
        <f>12240+11030+7590</f>
        <v>30860</v>
      </c>
      <c r="V11" s="357">
        <f t="shared" si="0"/>
        <v>31510</v>
      </c>
    </row>
    <row r="12" spans="1:22" s="339" customFormat="1" ht="22.5" customHeight="1">
      <c r="A12" s="348">
        <v>9</v>
      </c>
      <c r="B12" s="349" t="s">
        <v>1706</v>
      </c>
      <c r="C12" s="348" t="s">
        <v>1699</v>
      </c>
      <c r="D12" s="355">
        <v>300000</v>
      </c>
      <c r="E12" s="355">
        <f>1*3500*12</f>
        <v>42000</v>
      </c>
      <c r="F12" s="355">
        <f>26870*12</f>
        <v>322440</v>
      </c>
      <c r="G12" s="352">
        <f t="shared" si="2"/>
        <v>16122</v>
      </c>
      <c r="H12" s="355">
        <v>0</v>
      </c>
      <c r="I12" s="353">
        <v>0</v>
      </c>
      <c r="J12" s="353">
        <v>0</v>
      </c>
      <c r="K12" s="353">
        <v>0</v>
      </c>
      <c r="L12" s="354">
        <v>511764</v>
      </c>
      <c r="M12" s="353">
        <v>56640.84</v>
      </c>
      <c r="N12" s="353"/>
      <c r="O12" s="353">
        <v>18539.62</v>
      </c>
      <c r="P12" s="353">
        <v>11747.52</v>
      </c>
      <c r="Q12" s="353">
        <v>1930.55</v>
      </c>
      <c r="R12" s="353">
        <v>0</v>
      </c>
      <c r="S12" s="353">
        <v>0</v>
      </c>
      <c r="T12" s="355">
        <f t="shared" si="1"/>
        <v>1281184.5300000003</v>
      </c>
      <c r="U12" s="356">
        <f>15960+10260</f>
        <v>26220</v>
      </c>
      <c r="V12" s="357">
        <f t="shared" si="0"/>
        <v>26870</v>
      </c>
    </row>
    <row r="13" spans="1:22" s="339" customFormat="1" ht="22.5" customHeight="1">
      <c r="A13" s="348">
        <v>10</v>
      </c>
      <c r="B13" s="349" t="s">
        <v>1707</v>
      </c>
      <c r="C13" s="348" t="s">
        <v>1697</v>
      </c>
      <c r="D13" s="355">
        <v>330000</v>
      </c>
      <c r="E13" s="355">
        <f>2*3500*12</f>
        <v>84000</v>
      </c>
      <c r="F13" s="355">
        <f>24200*12</f>
        <v>290400</v>
      </c>
      <c r="G13" s="352">
        <f t="shared" si="2"/>
        <v>14520</v>
      </c>
      <c r="H13" s="355">
        <v>0</v>
      </c>
      <c r="I13" s="353">
        <v>0</v>
      </c>
      <c r="J13" s="353">
        <v>0</v>
      </c>
      <c r="K13" s="353">
        <v>0</v>
      </c>
      <c r="L13" s="354">
        <v>240750</v>
      </c>
      <c r="M13" s="353">
        <v>107414.49</v>
      </c>
      <c r="N13" s="353"/>
      <c r="O13" s="353">
        <v>1686.45</v>
      </c>
      <c r="P13" s="353">
        <v>13787.6</v>
      </c>
      <c r="Q13" s="353">
        <v>8352.3</v>
      </c>
      <c r="R13" s="353">
        <v>0</v>
      </c>
      <c r="S13" s="353">
        <v>0</v>
      </c>
      <c r="T13" s="355">
        <f t="shared" si="1"/>
        <v>1090910.84</v>
      </c>
      <c r="U13" s="356">
        <f>15960+7590</f>
        <v>23550</v>
      </c>
      <c r="V13" s="357">
        <f t="shared" si="0"/>
        <v>24200</v>
      </c>
    </row>
    <row r="14" spans="1:22" s="339" customFormat="1" ht="22.5" customHeight="1">
      <c r="A14" s="348">
        <v>11</v>
      </c>
      <c r="B14" s="349" t="s">
        <v>1708</v>
      </c>
      <c r="C14" s="348" t="s">
        <v>1697</v>
      </c>
      <c r="D14" s="355">
        <v>330000</v>
      </c>
      <c r="E14" s="355">
        <f>2*3500*12</f>
        <v>84000</v>
      </c>
      <c r="F14" s="355">
        <f>49230*12</f>
        <v>590760</v>
      </c>
      <c r="G14" s="352">
        <f t="shared" si="2"/>
        <v>29538</v>
      </c>
      <c r="H14" s="355">
        <v>0</v>
      </c>
      <c r="I14" s="353">
        <v>0</v>
      </c>
      <c r="J14" s="353">
        <v>0</v>
      </c>
      <c r="K14" s="353">
        <v>0</v>
      </c>
      <c r="L14" s="354">
        <v>0</v>
      </c>
      <c r="M14" s="353">
        <v>104948.05</v>
      </c>
      <c r="N14" s="353"/>
      <c r="O14" s="353">
        <v>15899.52</v>
      </c>
      <c r="P14" s="353">
        <v>7318.45</v>
      </c>
      <c r="Q14" s="353">
        <v>10245.07</v>
      </c>
      <c r="R14" s="353">
        <v>5964</v>
      </c>
      <c r="S14" s="353">
        <v>0</v>
      </c>
      <c r="T14" s="355">
        <f t="shared" si="1"/>
        <v>1178673.09</v>
      </c>
      <c r="U14" s="356">
        <f>15960+10160+11230+11230</f>
        <v>48580</v>
      </c>
      <c r="V14" s="357">
        <f t="shared" si="0"/>
        <v>49230</v>
      </c>
    </row>
    <row r="15" spans="1:22" ht="22.5" customHeight="1">
      <c r="A15" s="359">
        <v>12</v>
      </c>
      <c r="B15" s="349" t="s">
        <v>1709</v>
      </c>
      <c r="C15" s="348" t="s">
        <v>1710</v>
      </c>
      <c r="D15" s="353">
        <v>360000</v>
      </c>
      <c r="E15" s="353">
        <f>2*3500*12</f>
        <v>84000</v>
      </c>
      <c r="F15" s="353">
        <f>40160*12</f>
        <v>481920</v>
      </c>
      <c r="G15" s="352">
        <f t="shared" si="2"/>
        <v>24096</v>
      </c>
      <c r="H15" s="353">
        <v>0</v>
      </c>
      <c r="I15" s="353">
        <v>0</v>
      </c>
      <c r="J15" s="353">
        <v>0</v>
      </c>
      <c r="K15" s="353">
        <v>0</v>
      </c>
      <c r="L15" s="354">
        <v>384400</v>
      </c>
      <c r="M15" s="353">
        <v>189420.59</v>
      </c>
      <c r="N15" s="353"/>
      <c r="O15" s="353">
        <v>35968.76</v>
      </c>
      <c r="P15" s="353">
        <v>15372.87</v>
      </c>
      <c r="Q15" s="353">
        <v>18438.75</v>
      </c>
      <c r="R15" s="353"/>
      <c r="S15" s="353">
        <v>0</v>
      </c>
      <c r="T15" s="355">
        <f t="shared" si="1"/>
        <v>1593616.9700000002</v>
      </c>
      <c r="U15" s="356">
        <f>15960+15960+7590</f>
        <v>39510</v>
      </c>
      <c r="V15" s="357">
        <f t="shared" si="0"/>
        <v>40160</v>
      </c>
    </row>
    <row r="16" spans="1:22" ht="22.5" customHeight="1">
      <c r="A16" s="348">
        <v>13</v>
      </c>
      <c r="B16" s="349" t="s">
        <v>1711</v>
      </c>
      <c r="C16" s="360" t="s">
        <v>1697</v>
      </c>
      <c r="D16" s="361">
        <v>330000</v>
      </c>
      <c r="E16" s="361">
        <f>2*3500*12</f>
        <v>84000</v>
      </c>
      <c r="F16" s="361">
        <f>8240*12</f>
        <v>98880</v>
      </c>
      <c r="G16" s="352">
        <f t="shared" si="2"/>
        <v>4944</v>
      </c>
      <c r="H16" s="361">
        <v>0</v>
      </c>
      <c r="I16" s="353">
        <v>0</v>
      </c>
      <c r="J16" s="353">
        <v>0</v>
      </c>
      <c r="K16" s="353">
        <v>0</v>
      </c>
      <c r="L16" s="362">
        <v>0</v>
      </c>
      <c r="M16" s="361">
        <v>109074.52</v>
      </c>
      <c r="N16" s="361"/>
      <c r="O16" s="361">
        <v>20770.11</v>
      </c>
      <c r="P16" s="361">
        <v>42788.69</v>
      </c>
      <c r="Q16" s="361">
        <v>12165.43</v>
      </c>
      <c r="R16" s="361">
        <v>5110</v>
      </c>
      <c r="S16" s="361">
        <v>0</v>
      </c>
      <c r="T16" s="355">
        <f t="shared" si="1"/>
        <v>707732.7500000001</v>
      </c>
      <c r="U16" s="356">
        <v>7590</v>
      </c>
      <c r="V16" s="357">
        <f t="shared" si="0"/>
        <v>8240</v>
      </c>
    </row>
    <row r="17" spans="1:22" ht="22.5" customHeight="1">
      <c r="A17" s="348">
        <v>14</v>
      </c>
      <c r="B17" s="349" t="s">
        <v>1712</v>
      </c>
      <c r="C17" s="360" t="s">
        <v>1697</v>
      </c>
      <c r="D17" s="361">
        <v>330000</v>
      </c>
      <c r="E17" s="361">
        <f>2*3500*12</f>
        <v>84000</v>
      </c>
      <c r="F17" s="361">
        <f>8240*12</f>
        <v>98880</v>
      </c>
      <c r="G17" s="352">
        <f t="shared" si="2"/>
        <v>4944</v>
      </c>
      <c r="H17" s="361">
        <v>0</v>
      </c>
      <c r="I17" s="353">
        <v>0</v>
      </c>
      <c r="J17" s="353">
        <v>0</v>
      </c>
      <c r="K17" s="353">
        <v>0</v>
      </c>
      <c r="L17" s="362">
        <v>242440</v>
      </c>
      <c r="M17" s="361">
        <v>105731.11</v>
      </c>
      <c r="N17" s="361"/>
      <c r="O17" s="361">
        <v>13066.35</v>
      </c>
      <c r="P17" s="361">
        <v>15300</v>
      </c>
      <c r="Q17" s="361">
        <v>470</v>
      </c>
      <c r="R17" s="361">
        <v>2085</v>
      </c>
      <c r="S17" s="361">
        <v>0</v>
      </c>
      <c r="T17" s="355">
        <f t="shared" si="1"/>
        <v>896916.46</v>
      </c>
      <c r="U17" s="356">
        <v>7590</v>
      </c>
      <c r="V17" s="357">
        <f>+U17+650</f>
        <v>8240</v>
      </c>
    </row>
    <row r="18" spans="1:22" ht="22.5" customHeight="1">
      <c r="A18" s="348">
        <v>15</v>
      </c>
      <c r="B18" s="349" t="s">
        <v>1713</v>
      </c>
      <c r="C18" s="348" t="s">
        <v>1699</v>
      </c>
      <c r="D18" s="361">
        <v>300000</v>
      </c>
      <c r="E18" s="361">
        <f>1*3500*12</f>
        <v>42000</v>
      </c>
      <c r="F18" s="361">
        <f>8240*12</f>
        <v>98880</v>
      </c>
      <c r="G18" s="352">
        <f t="shared" si="2"/>
        <v>4944</v>
      </c>
      <c r="H18" s="361">
        <v>0</v>
      </c>
      <c r="I18" s="353">
        <v>0</v>
      </c>
      <c r="J18" s="353">
        <v>0</v>
      </c>
      <c r="K18" s="353">
        <v>0</v>
      </c>
      <c r="L18" s="362">
        <v>109580</v>
      </c>
      <c r="M18" s="361">
        <v>88499.9</v>
      </c>
      <c r="N18" s="361"/>
      <c r="O18" s="361">
        <v>8374</v>
      </c>
      <c r="P18" s="361">
        <v>10579.51</v>
      </c>
      <c r="Q18" s="361">
        <v>16178.86</v>
      </c>
      <c r="R18" s="361">
        <v>0</v>
      </c>
      <c r="S18" s="361">
        <v>0</v>
      </c>
      <c r="T18" s="355">
        <f t="shared" si="1"/>
        <v>679036.27</v>
      </c>
      <c r="U18" s="356">
        <v>7590</v>
      </c>
      <c r="V18" s="357">
        <f>+U18+650</f>
        <v>8240</v>
      </c>
    </row>
    <row r="19" spans="1:22" ht="22.5" customHeight="1">
      <c r="A19" s="348">
        <v>16</v>
      </c>
      <c r="B19" s="349" t="s">
        <v>1714</v>
      </c>
      <c r="C19" s="348" t="s">
        <v>1699</v>
      </c>
      <c r="D19" s="361">
        <v>300000</v>
      </c>
      <c r="E19" s="361">
        <f>1*3500*12</f>
        <v>42000</v>
      </c>
      <c r="F19" s="361">
        <f>20380*12</f>
        <v>244560</v>
      </c>
      <c r="G19" s="352">
        <f t="shared" si="2"/>
        <v>12228</v>
      </c>
      <c r="H19" s="361">
        <v>0</v>
      </c>
      <c r="I19" s="353">
        <v>0</v>
      </c>
      <c r="J19" s="353">
        <v>0</v>
      </c>
      <c r="K19" s="353">
        <v>0</v>
      </c>
      <c r="L19" s="362">
        <v>60900</v>
      </c>
      <c r="M19" s="361">
        <v>71800.45</v>
      </c>
      <c r="N19" s="361"/>
      <c r="O19" s="361">
        <v>2939.84</v>
      </c>
      <c r="P19" s="361">
        <v>13301.93</v>
      </c>
      <c r="Q19" s="361">
        <v>2086.5</v>
      </c>
      <c r="R19" s="361">
        <v>0</v>
      </c>
      <c r="S19" s="361">
        <v>0</v>
      </c>
      <c r="T19" s="355">
        <f t="shared" si="1"/>
        <v>749816.72</v>
      </c>
      <c r="U19" s="356">
        <f>11230+8500</f>
        <v>19730</v>
      </c>
      <c r="V19" s="357">
        <f>+U19+650</f>
        <v>20380</v>
      </c>
    </row>
    <row r="20" spans="1:22" ht="22.5" customHeight="1">
      <c r="A20" s="682" t="s">
        <v>666</v>
      </c>
      <c r="B20" s="683"/>
      <c r="C20" s="684"/>
      <c r="D20" s="363">
        <f>SUM(D4:D19)</f>
        <v>5130000</v>
      </c>
      <c r="E20" s="363">
        <f aca="true" t="shared" si="3" ref="E20:M20">SUM(E4:E19)</f>
        <v>1092000</v>
      </c>
      <c r="F20" s="363">
        <f t="shared" si="3"/>
        <v>4736220</v>
      </c>
      <c r="G20" s="363">
        <f t="shared" si="3"/>
        <v>236811</v>
      </c>
      <c r="H20" s="363">
        <f t="shared" si="3"/>
        <v>0</v>
      </c>
      <c r="I20" s="363">
        <f t="shared" si="3"/>
        <v>0</v>
      </c>
      <c r="J20" s="363">
        <f t="shared" si="3"/>
        <v>0</v>
      </c>
      <c r="K20" s="363">
        <f t="shared" si="3"/>
        <v>0</v>
      </c>
      <c r="L20" s="363">
        <f t="shared" si="3"/>
        <v>3574599</v>
      </c>
      <c r="M20" s="364">
        <f t="shared" si="3"/>
        <v>1717700.61</v>
      </c>
      <c r="N20" s="364">
        <f>SUM(N4:N15)</f>
        <v>0</v>
      </c>
      <c r="O20" s="364">
        <f>SUM(O4:O19)</f>
        <v>201858.64</v>
      </c>
      <c r="P20" s="364">
        <f>SUM(P4:P19)</f>
        <v>297368.18</v>
      </c>
      <c r="Q20" s="364">
        <f>SUM(Q4:Q19)</f>
        <v>94727.26</v>
      </c>
      <c r="R20" s="364">
        <f>SUM(R4:R19)</f>
        <v>47514</v>
      </c>
      <c r="S20" s="363">
        <f>SUM(S4:S19)</f>
        <v>0</v>
      </c>
      <c r="T20" s="365">
        <f>SUM(D20:S20)</f>
        <v>17128798.69</v>
      </c>
      <c r="U20" s="356">
        <f>SUM(U4:U19)</f>
        <v>384285</v>
      </c>
      <c r="V20" s="357">
        <f>SUM(V4:V19)</f>
        <v>394685</v>
      </c>
    </row>
    <row r="21" spans="1:21" ht="22.5" customHeight="1">
      <c r="A21" s="682" t="s">
        <v>666</v>
      </c>
      <c r="B21" s="683"/>
      <c r="C21" s="684"/>
      <c r="D21" s="366">
        <f>D20</f>
        <v>5130000</v>
      </c>
      <c r="E21" s="685">
        <f>SUM(E20:L20)</f>
        <v>9639630</v>
      </c>
      <c r="F21" s="685"/>
      <c r="G21" s="685"/>
      <c r="H21" s="685"/>
      <c r="I21" s="685"/>
      <c r="J21" s="685"/>
      <c r="K21" s="685"/>
      <c r="L21" s="686"/>
      <c r="M21" s="687">
        <f>SUM(M20:R20)</f>
        <v>2359168.69</v>
      </c>
      <c r="N21" s="688"/>
      <c r="O21" s="688"/>
      <c r="P21" s="688"/>
      <c r="Q21" s="688"/>
      <c r="R21" s="689"/>
      <c r="S21" s="363">
        <f>S20</f>
        <v>0</v>
      </c>
      <c r="T21" s="367">
        <f>D21+E21+M21+S21</f>
        <v>17128798.69</v>
      </c>
      <c r="U21" s="356">
        <v>0.027</v>
      </c>
    </row>
    <row r="22" spans="1:21" ht="18.7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68"/>
      <c r="M22" s="339"/>
      <c r="N22" s="339"/>
      <c r="O22" s="356"/>
      <c r="P22" s="339"/>
      <c r="Q22" s="339"/>
      <c r="R22" s="339"/>
      <c r="S22" s="339"/>
      <c r="T22" s="369"/>
      <c r="U22" s="356">
        <f>+U20*U21</f>
        <v>10375.695</v>
      </c>
    </row>
    <row r="23" ht="18.75">
      <c r="L23" s="370"/>
    </row>
  </sheetData>
  <sheetProtection/>
  <mergeCells count="10">
    <mergeCell ref="E2:L2"/>
    <mergeCell ref="S2:S3"/>
    <mergeCell ref="T2:T3"/>
    <mergeCell ref="A20:C20"/>
    <mergeCell ref="A21:C21"/>
    <mergeCell ref="E21:L21"/>
    <mergeCell ref="M21:R21"/>
    <mergeCell ref="A2:A3"/>
    <mergeCell ref="B2:B3"/>
    <mergeCell ref="C2:C3"/>
  </mergeCells>
  <printOptions/>
  <pageMargins left="0.3937007874015748" right="0.3937007874015748" top="0.1968503937007874" bottom="0.1968503937007874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zoomScalePageLayoutView="0" workbookViewId="0" topLeftCell="A1">
      <selection activeCell="D14" sqref="D14"/>
    </sheetView>
  </sheetViews>
  <sheetFormatPr defaultColWidth="16.8515625" defaultRowHeight="15"/>
  <cols>
    <col min="1" max="1" width="10.28125" style="25" customWidth="1"/>
    <col min="2" max="2" width="20.421875" style="25" bestFit="1" customWidth="1"/>
    <col min="3" max="3" width="17.8515625" style="25" bestFit="1" customWidth="1"/>
    <col min="4" max="4" width="25.7109375" style="25" bestFit="1" customWidth="1"/>
    <col min="5" max="5" width="91.57421875" style="25" customWidth="1"/>
    <col min="6" max="16384" width="16.8515625" style="25" customWidth="1"/>
  </cols>
  <sheetData>
    <row r="1" spans="1:5" s="200" customFormat="1" ht="24.75" thickBot="1">
      <c r="A1" s="25"/>
      <c r="B1" s="243" t="s">
        <v>1605</v>
      </c>
      <c r="C1" s="243" t="s">
        <v>1606</v>
      </c>
      <c r="D1" s="243" t="s">
        <v>1607</v>
      </c>
      <c r="E1" s="244"/>
    </row>
    <row r="2" spans="1:5" ht="83.25">
      <c r="A2" s="263" t="s">
        <v>1608</v>
      </c>
      <c r="B2" s="263" t="s">
        <v>1609</v>
      </c>
      <c r="C2" s="263" t="s">
        <v>1610</v>
      </c>
      <c r="D2" s="263" t="s">
        <v>1611</v>
      </c>
      <c r="E2" s="692" t="s">
        <v>1604</v>
      </c>
    </row>
    <row r="3" spans="1:5" ht="27.75">
      <c r="A3" s="264" t="s">
        <v>1612</v>
      </c>
      <c r="B3" s="265" t="s">
        <v>1613</v>
      </c>
      <c r="C3" s="264" t="s">
        <v>1614</v>
      </c>
      <c r="D3" s="265" t="s">
        <v>1615</v>
      </c>
      <c r="E3" s="693"/>
    </row>
    <row r="4" spans="1:5" ht="27.75">
      <c r="A4" s="266"/>
      <c r="B4" s="265" t="s">
        <v>1616</v>
      </c>
      <c r="C4" s="267" t="s">
        <v>1657</v>
      </c>
      <c r="D4" s="267" t="s">
        <v>1658</v>
      </c>
      <c r="E4" s="693"/>
    </row>
    <row r="5" spans="1:5" ht="21" customHeight="1" thickBot="1">
      <c r="A5" s="268"/>
      <c r="B5" s="268"/>
      <c r="C5" s="269" t="s">
        <v>1617</v>
      </c>
      <c r="D5" s="268"/>
      <c r="E5" s="694"/>
    </row>
    <row r="6" spans="1:7" ht="32.25" thickBot="1" thickTop="1">
      <c r="A6" s="270">
        <v>1</v>
      </c>
      <c r="B6" s="270" t="s">
        <v>1618</v>
      </c>
      <c r="C6" s="270" t="s">
        <v>1619</v>
      </c>
      <c r="D6" s="270" t="s">
        <v>1583</v>
      </c>
      <c r="E6" s="271" t="s">
        <v>1637</v>
      </c>
      <c r="F6" s="262"/>
      <c r="G6" s="287" t="s">
        <v>1583</v>
      </c>
    </row>
    <row r="7" spans="1:7" ht="31.5" thickBot="1">
      <c r="A7" s="272">
        <v>2</v>
      </c>
      <c r="B7" s="272" t="s">
        <v>1618</v>
      </c>
      <c r="C7" s="272" t="s">
        <v>1619</v>
      </c>
      <c r="D7" s="273" t="s">
        <v>1584</v>
      </c>
      <c r="E7" s="274" t="s">
        <v>1622</v>
      </c>
      <c r="F7" s="284"/>
      <c r="G7" s="287" t="s">
        <v>1661</v>
      </c>
    </row>
    <row r="8" spans="1:7" ht="20.25" customHeight="1" thickBot="1">
      <c r="A8" s="275">
        <v>3</v>
      </c>
      <c r="B8" s="275" t="s">
        <v>1618</v>
      </c>
      <c r="C8" s="275" t="s">
        <v>1659</v>
      </c>
      <c r="D8" s="275" t="s">
        <v>1583</v>
      </c>
      <c r="E8" s="276" t="s">
        <v>1631</v>
      </c>
      <c r="F8" s="284"/>
      <c r="G8" s="287" t="s">
        <v>1661</v>
      </c>
    </row>
    <row r="9" spans="1:7" ht="20.25" customHeight="1" thickBot="1">
      <c r="A9" s="277">
        <v>4</v>
      </c>
      <c r="B9" s="277" t="s">
        <v>1618</v>
      </c>
      <c r="C9" s="277" t="s">
        <v>1659</v>
      </c>
      <c r="D9" s="278" t="s">
        <v>1584</v>
      </c>
      <c r="E9" s="279" t="s">
        <v>1636</v>
      </c>
      <c r="F9" s="285"/>
      <c r="G9" s="287" t="s">
        <v>1662</v>
      </c>
    </row>
    <row r="10" spans="1:7" ht="20.25" customHeight="1" thickBot="1">
      <c r="A10" s="280">
        <v>5</v>
      </c>
      <c r="B10" s="281" t="s">
        <v>1584</v>
      </c>
      <c r="C10" s="281" t="s">
        <v>1660</v>
      </c>
      <c r="D10" s="280" t="s">
        <v>1583</v>
      </c>
      <c r="E10" s="282" t="s">
        <v>1623</v>
      </c>
      <c r="F10" s="284"/>
      <c r="G10" s="287" t="s">
        <v>1661</v>
      </c>
    </row>
    <row r="11" spans="1:7" ht="20.25" customHeight="1" thickBot="1">
      <c r="A11" s="277">
        <v>6</v>
      </c>
      <c r="B11" s="278" t="s">
        <v>1584</v>
      </c>
      <c r="C11" s="278" t="s">
        <v>1660</v>
      </c>
      <c r="D11" s="278" t="s">
        <v>1624</v>
      </c>
      <c r="E11" s="279" t="s">
        <v>1634</v>
      </c>
      <c r="F11" s="285"/>
      <c r="G11" s="287" t="s">
        <v>1662</v>
      </c>
    </row>
    <row r="12" spans="1:7" ht="20.25" customHeight="1" thickBot="1">
      <c r="A12" s="275">
        <v>7</v>
      </c>
      <c r="B12" s="283" t="s">
        <v>1584</v>
      </c>
      <c r="C12" s="283" t="s">
        <v>1624</v>
      </c>
      <c r="D12" s="275" t="s">
        <v>1583</v>
      </c>
      <c r="E12" s="276" t="s">
        <v>1632</v>
      </c>
      <c r="F12" s="285"/>
      <c r="G12" s="287" t="s">
        <v>1662</v>
      </c>
    </row>
    <row r="13" spans="1:7" ht="20.25" customHeight="1">
      <c r="A13" s="277">
        <v>8</v>
      </c>
      <c r="B13" s="278" t="s">
        <v>1584</v>
      </c>
      <c r="C13" s="278" t="s">
        <v>1624</v>
      </c>
      <c r="D13" s="278" t="s">
        <v>1584</v>
      </c>
      <c r="E13" s="279" t="s">
        <v>1633</v>
      </c>
      <c r="F13" s="286"/>
      <c r="G13" s="287" t="s">
        <v>1663</v>
      </c>
    </row>
    <row r="14" ht="60" customHeight="1"/>
    <row r="15" ht="20.25" customHeight="1"/>
    <row r="16" ht="27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39" customHeight="1"/>
  </sheetData>
  <sheetProtection/>
  <mergeCells count="1">
    <mergeCell ref="E2:E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" sqref="M5"/>
    </sheetView>
  </sheetViews>
  <sheetFormatPr defaultColWidth="9.140625" defaultRowHeight="15"/>
  <cols>
    <col min="1" max="1" width="7.28125" style="165" customWidth="1"/>
    <col min="2" max="2" width="48.140625" style="150" customWidth="1"/>
    <col min="3" max="3" width="20.140625" style="150" customWidth="1"/>
    <col min="4" max="4" width="22.57421875" style="29" customWidth="1"/>
    <col min="5" max="5" width="17.421875" style="150" bestFit="1" customWidth="1"/>
    <col min="6" max="6" width="32.421875" style="150" bestFit="1" customWidth="1"/>
    <col min="7" max="7" width="14.7109375" style="150" customWidth="1"/>
    <col min="8" max="8" width="14.140625" style="150" bestFit="1" customWidth="1"/>
    <col min="9" max="9" width="16.00390625" style="150" customWidth="1"/>
    <col min="10" max="10" width="11.00390625" style="150" bestFit="1" customWidth="1"/>
    <col min="11" max="11" width="20.28125" style="150" customWidth="1"/>
    <col min="12" max="12" width="17.421875" style="150" customWidth="1"/>
    <col min="13" max="13" width="103.00390625" style="150" bestFit="1" customWidth="1"/>
    <col min="14" max="16384" width="9.00390625" style="150" customWidth="1"/>
  </cols>
  <sheetData>
    <row r="1" spans="1:7" s="156" customFormat="1" ht="27.75">
      <c r="A1" s="615" t="s">
        <v>1552</v>
      </c>
      <c r="B1" s="615"/>
      <c r="C1" s="615"/>
      <c r="D1" s="615"/>
      <c r="E1" s="615"/>
      <c r="F1" s="610"/>
      <c r="G1" s="245"/>
    </row>
    <row r="2" spans="1:7" s="156" customFormat="1" ht="24" customHeight="1">
      <c r="A2" s="375"/>
      <c r="B2" s="615" t="s">
        <v>1772</v>
      </c>
      <c r="C2" s="615"/>
      <c r="D2" s="615"/>
      <c r="E2" s="375"/>
      <c r="F2" s="610"/>
      <c r="G2" s="375"/>
    </row>
    <row r="3" spans="1:12" ht="27.75">
      <c r="A3" s="616" t="s">
        <v>1626</v>
      </c>
      <c r="B3" s="616"/>
      <c r="C3" s="616"/>
      <c r="D3" s="616"/>
      <c r="E3" s="616"/>
      <c r="F3" s="611"/>
      <c r="G3" s="612" t="s">
        <v>1642</v>
      </c>
      <c r="H3" s="612"/>
      <c r="I3" s="612"/>
      <c r="J3" s="612"/>
      <c r="K3" s="612"/>
      <c r="L3" s="613"/>
    </row>
    <row r="4" spans="1:12" ht="108.75">
      <c r="A4" s="162" t="s">
        <v>693</v>
      </c>
      <c r="B4" s="151" t="s">
        <v>694</v>
      </c>
      <c r="C4" s="219" t="s">
        <v>1638</v>
      </c>
      <c r="D4" s="22" t="s">
        <v>2091</v>
      </c>
      <c r="E4" s="578" t="s">
        <v>695</v>
      </c>
      <c r="F4" s="151" t="s">
        <v>694</v>
      </c>
      <c r="G4" s="575" t="s">
        <v>665</v>
      </c>
      <c r="H4" s="258" t="s">
        <v>1648</v>
      </c>
      <c r="I4" s="258" t="s">
        <v>1652</v>
      </c>
      <c r="J4" s="258" t="s">
        <v>1640</v>
      </c>
      <c r="K4" s="258" t="s">
        <v>1641</v>
      </c>
      <c r="L4" s="259" t="s">
        <v>1653</v>
      </c>
    </row>
    <row r="5" spans="1:13" ht="24">
      <c r="A5" s="186" t="s">
        <v>0</v>
      </c>
      <c r="B5" s="37" t="s">
        <v>1</v>
      </c>
      <c r="C5" s="386">
        <v>118822021.72</v>
      </c>
      <c r="D5" s="23">
        <f>SUMIF('1.WS-Re-Exp'!$F$3:$F$599,Planfin2561!A5,'1.WS-Re-Exp'!$C$3:$C$599)</f>
        <v>109390996.82581037</v>
      </c>
      <c r="E5" s="579">
        <f>((D5-C5)/D5)*100</f>
        <v>-8.621390395781102</v>
      </c>
      <c r="F5" s="37" t="s">
        <v>1</v>
      </c>
      <c r="G5" s="576">
        <f>VLOOKUP($A5,HGR2559!$B$2:$I$28,3,0)</f>
        <v>95570926.72</v>
      </c>
      <c r="H5" s="250">
        <f>VLOOKUP($A5,HGR2559!$B$2:$I$28,5,0)</f>
        <v>121256933.55</v>
      </c>
      <c r="I5" s="250">
        <f>VLOOKUP($A5,HGR2559!$B$2:$I$28,8,0)</f>
        <v>170915461.7485454</v>
      </c>
      <c r="J5" s="250">
        <f>VLOOKUP($A5,HGR2559!$B$2:$I$28,4,0)</f>
        <v>-1.21747797208742</v>
      </c>
      <c r="K5" s="250">
        <f>D5-H5</f>
        <v>-11865936.724189624</v>
      </c>
      <c r="L5" s="250">
        <f>D5-I5</f>
        <v>-61524464.922735035</v>
      </c>
      <c r="M5" s="150" t="s">
        <v>2084</v>
      </c>
    </row>
    <row r="6" spans="1:12" ht="24">
      <c r="A6" s="166" t="s">
        <v>2</v>
      </c>
      <c r="B6" s="37" t="s">
        <v>3</v>
      </c>
      <c r="C6" s="386">
        <v>208066.66</v>
      </c>
      <c r="D6" s="23">
        <f>SUMIF('1.WS-Re-Exp'!$F$3:$F$599,Planfin2561!A6,'1.WS-Re-Exp'!$C$3:$C$599)</f>
        <v>218000</v>
      </c>
      <c r="E6" s="579">
        <f aca="true" t="shared" si="0" ref="E6:E31">((D6-C6)/D6)*100</f>
        <v>4.556577981651374</v>
      </c>
      <c r="F6" s="37" t="s">
        <v>3</v>
      </c>
      <c r="G6" s="576">
        <f>VLOOKUP($A6,HGR2559!$B$2:$I$28,3,0)</f>
        <v>274266.6667</v>
      </c>
      <c r="H6" s="250">
        <f>VLOOKUP($A6,HGR2559!$B$2:$I$28,5,0)</f>
        <v>136258.333337687</v>
      </c>
      <c r="I6" s="250">
        <f>VLOOKUP($A6,HGR2559!$B$2:$I$28,8,0)</f>
        <v>229625.3150035661</v>
      </c>
      <c r="J6" s="250">
        <f>VLOOKUP($A6,HGR2559!$B$2:$I$28,4,0)</f>
        <v>24.3275914324569</v>
      </c>
      <c r="K6" s="250">
        <f aca="true" t="shared" si="1" ref="K6:K31">D6-H6</f>
        <v>81741.66666231299</v>
      </c>
      <c r="L6" s="250">
        <f aca="true" t="shared" si="2" ref="L6:L31">D6-I6</f>
        <v>-11625.315003566095</v>
      </c>
    </row>
    <row r="7" spans="1:12" ht="24">
      <c r="A7" s="166" t="s">
        <v>4</v>
      </c>
      <c r="B7" s="37" t="s">
        <v>5</v>
      </c>
      <c r="C7" s="386">
        <v>679813.33</v>
      </c>
      <c r="D7" s="23">
        <f>SUMIF('1.WS-Re-Exp'!$F$3:$F$599,Planfin2561!A7,'1.WS-Re-Exp'!$C$3:$C$599)</f>
        <v>713804</v>
      </c>
      <c r="E7" s="579">
        <f t="shared" si="0"/>
        <v>4.761905228886367</v>
      </c>
      <c r="F7" s="37" t="s">
        <v>5</v>
      </c>
      <c r="G7" s="576">
        <f>VLOOKUP($A7,HGR2559!$B$2:$I$28,3,0)</f>
        <v>1304765.333</v>
      </c>
      <c r="H7" s="250">
        <f>VLOOKUP($A7,HGR2559!$B$2:$I$28,5,0)</f>
        <v>1689025.1491875</v>
      </c>
      <c r="I7" s="250">
        <f>VLOOKUP($A7,HGR2559!$B$2:$I$28,8,0)</f>
        <v>3995961.8053694796</v>
      </c>
      <c r="J7" s="250">
        <f>VLOOKUP($A7,HGR2559!$B$2:$I$28,4,0)</f>
        <v>-18.5778113024339</v>
      </c>
      <c r="K7" s="250">
        <f t="shared" si="1"/>
        <v>-975221.1491874999</v>
      </c>
      <c r="L7" s="250">
        <f t="shared" si="2"/>
        <v>-3282157.8053694796</v>
      </c>
    </row>
    <row r="8" spans="1:12" ht="24">
      <c r="A8" s="166" t="s">
        <v>1304</v>
      </c>
      <c r="B8" s="37" t="s">
        <v>731</v>
      </c>
      <c r="C8" s="386">
        <v>3772288.46</v>
      </c>
      <c r="D8" s="23">
        <f>SUMIF('1.WS-Re-Exp'!$F$3:$F$599,Planfin2561!A8,'1.WS-Re-Exp'!$C$3:$C$599)</f>
        <v>3929267.8200000003</v>
      </c>
      <c r="E8" s="579">
        <f t="shared" si="0"/>
        <v>3.9951300647152204</v>
      </c>
      <c r="F8" s="37" t="s">
        <v>731</v>
      </c>
      <c r="G8" s="576">
        <f>VLOOKUP($A8,HGR2559!$B$2:$I$28,3,0)</f>
        <v>3474454.08</v>
      </c>
      <c r="H8" s="250">
        <f>VLOOKUP($A8,HGR2559!$B$2:$I$28,5,0)</f>
        <v>4296532.33520625</v>
      </c>
      <c r="I8" s="250">
        <f>VLOOKUP($A8,HGR2559!$B$2:$I$28,8,0)</f>
        <v>6869643.23287091</v>
      </c>
      <c r="J8" s="250">
        <f>VLOOKUP($A8,HGR2559!$B$2:$I$28,4,0)</f>
        <v>1.91959148128339</v>
      </c>
      <c r="K8" s="250">
        <f t="shared" si="1"/>
        <v>-367264.51520624943</v>
      </c>
      <c r="L8" s="250">
        <f t="shared" si="2"/>
        <v>-2940375.41287091</v>
      </c>
    </row>
    <row r="9" spans="1:12" ht="24">
      <c r="A9" s="166" t="s">
        <v>6</v>
      </c>
      <c r="B9" s="37" t="s">
        <v>7</v>
      </c>
      <c r="C9" s="386">
        <v>29292590.85</v>
      </c>
      <c r="D9" s="23">
        <f>SUMIF('1.WS-Re-Exp'!$F$3:$F$599,Planfin2561!A9,'1.WS-Re-Exp'!$C$3:$C$599)</f>
        <v>30795098.450000003</v>
      </c>
      <c r="E9" s="579">
        <f t="shared" si="0"/>
        <v>4.879047886271659</v>
      </c>
      <c r="F9" s="37" t="s">
        <v>7</v>
      </c>
      <c r="G9" s="576">
        <f>VLOOKUP($A9,HGR2559!$B$2:$I$28,3,0)</f>
        <v>27023943.87</v>
      </c>
      <c r="H9" s="250">
        <f>VLOOKUP($A9,HGR2559!$B$2:$I$28,5,0)</f>
        <v>35648986.096875</v>
      </c>
      <c r="I9" s="250">
        <f>VLOOKUP($A9,HGR2559!$B$2:$I$28,8,0)</f>
        <v>52300297.561831</v>
      </c>
      <c r="J9" s="250">
        <f>VLOOKUP($A9,HGR2559!$B$2:$I$28,4,0)</f>
        <v>20.7318584512304</v>
      </c>
      <c r="K9" s="250">
        <f t="shared" si="1"/>
        <v>-4853887.646874994</v>
      </c>
      <c r="L9" s="250">
        <f t="shared" si="2"/>
        <v>-21505199.111830994</v>
      </c>
    </row>
    <row r="10" spans="1:12" ht="24">
      <c r="A10" s="166" t="s">
        <v>8</v>
      </c>
      <c r="B10" s="37" t="s">
        <v>9</v>
      </c>
      <c r="C10" s="386">
        <v>6035900.69</v>
      </c>
      <c r="D10" s="23">
        <f>SUMIF('1.WS-Re-Exp'!$F$3:$F$599,Planfin2561!A10,'1.WS-Re-Exp'!$C$3:$C$599)</f>
        <v>6677881.720000001</v>
      </c>
      <c r="E10" s="579">
        <f t="shared" si="0"/>
        <v>9.613542990396065</v>
      </c>
      <c r="F10" s="37" t="s">
        <v>9</v>
      </c>
      <c r="G10" s="576">
        <f>VLOOKUP($A10,HGR2559!$B$2:$I$28,3,0)</f>
        <v>8355394.72</v>
      </c>
      <c r="H10" s="250">
        <f>VLOOKUP($A10,HGR2559!$B$2:$I$28,5,0)</f>
        <v>17758830.4568125</v>
      </c>
      <c r="I10" s="250">
        <f>VLOOKUP($A10,HGR2559!$B$2:$I$28,8,0)</f>
        <v>30164800.5886048</v>
      </c>
      <c r="J10" s="250">
        <f>VLOOKUP($A10,HGR2559!$B$2:$I$28,4,0)</f>
        <v>-3.04713326550689</v>
      </c>
      <c r="K10" s="250">
        <f t="shared" si="1"/>
        <v>-11080948.7368125</v>
      </c>
      <c r="L10" s="250">
        <f t="shared" si="2"/>
        <v>-23486918.8686048</v>
      </c>
    </row>
    <row r="11" spans="1:13" ht="24">
      <c r="A11" s="166" t="s">
        <v>10</v>
      </c>
      <c r="B11" s="37" t="s">
        <v>11</v>
      </c>
      <c r="C11" s="386">
        <v>3273912.05</v>
      </c>
      <c r="D11" s="23">
        <f>SUMIF('1.WS-Re-Exp'!$F$3:$F$599,Planfin2561!A11,'1.WS-Re-Exp'!$C$3:$C$599)</f>
        <v>5495678.29</v>
      </c>
      <c r="E11" s="579">
        <f t="shared" si="0"/>
        <v>40.427516363953686</v>
      </c>
      <c r="F11" s="37" t="s">
        <v>11</v>
      </c>
      <c r="G11" s="576">
        <f>VLOOKUP($A11,HGR2559!$B$2:$I$28,3,0)</f>
        <v>2454183.067</v>
      </c>
      <c r="H11" s="250">
        <f>VLOOKUP($A11,HGR2559!$B$2:$I$28,5,0)</f>
        <v>5642653.05645831</v>
      </c>
      <c r="I11" s="250">
        <f>VLOOKUP($A11,HGR2559!$B$2:$I$28,8,0)</f>
        <v>14164956.365520079</v>
      </c>
      <c r="J11" s="250">
        <f>VLOOKUP($A11,HGR2559!$B$2:$I$28,4,0)</f>
        <v>-8.07916880222768</v>
      </c>
      <c r="K11" s="250">
        <f t="shared" si="1"/>
        <v>-146974.7664583102</v>
      </c>
      <c r="L11" s="250">
        <f t="shared" si="2"/>
        <v>-8669278.07552008</v>
      </c>
      <c r="M11" s="21" t="s">
        <v>1823</v>
      </c>
    </row>
    <row r="12" spans="1:13" ht="24">
      <c r="A12" s="166" t="s">
        <v>12</v>
      </c>
      <c r="B12" s="37" t="s">
        <v>13</v>
      </c>
      <c r="C12" s="386">
        <v>40384617.51</v>
      </c>
      <c r="D12" s="23">
        <f>SUMIF('1.WS-Re-Exp'!$F$3:$F$599,Planfin2561!A12,'1.WS-Re-Exp'!$C$3:$C$599)</f>
        <v>38198902.11</v>
      </c>
      <c r="E12" s="579">
        <f t="shared" si="0"/>
        <v>-5.721932514463041</v>
      </c>
      <c r="F12" s="37" t="s">
        <v>13</v>
      </c>
      <c r="G12" s="576">
        <f>VLOOKUP($A12,HGR2559!$B$2:$I$28,3,0)</f>
        <v>36191465.33</v>
      </c>
      <c r="H12" s="250">
        <f>VLOOKUP($A12,HGR2559!$B$2:$I$28,5,0)</f>
        <v>37064854.405625</v>
      </c>
      <c r="I12" s="250">
        <f>VLOOKUP($A12,HGR2559!$B$2:$I$28,8,0)</f>
        <v>55188647.9793036</v>
      </c>
      <c r="J12" s="250">
        <f>VLOOKUP($A12,HGR2559!$B$2:$I$28,4,0)</f>
        <v>24.3782828907513</v>
      </c>
      <c r="K12" s="250">
        <f t="shared" si="1"/>
        <v>1134047.7043749988</v>
      </c>
      <c r="L12" s="250">
        <f t="shared" si="2"/>
        <v>-16989745.8693036</v>
      </c>
      <c r="M12" s="21" t="s">
        <v>1811</v>
      </c>
    </row>
    <row r="13" spans="1:13" ht="24">
      <c r="A13" s="166" t="s">
        <v>14</v>
      </c>
      <c r="B13" s="37" t="s">
        <v>15</v>
      </c>
      <c r="C13" s="386">
        <v>74673498.76</v>
      </c>
      <c r="D13" s="23">
        <f>SUMIF('1.WS-Re-Exp'!$F$3:$F$599,Planfin2561!A13,'1.WS-Re-Exp'!$C$3:$C$599)</f>
        <v>75183740</v>
      </c>
      <c r="E13" s="579">
        <f t="shared" si="0"/>
        <v>0.6786590291996576</v>
      </c>
      <c r="F13" s="37" t="s">
        <v>15</v>
      </c>
      <c r="G13" s="576">
        <f>VLOOKUP($A13,HGR2559!$B$2:$I$28,3,0)</f>
        <v>76156422.41</v>
      </c>
      <c r="H13" s="250">
        <f>VLOOKUP($A13,HGR2559!$B$2:$I$28,5,0)</f>
        <v>87003764.00625</v>
      </c>
      <c r="I13" s="250">
        <f>VLOOKUP($A13,HGR2559!$B$2:$I$28,8,0)</f>
        <v>111475961.6278296</v>
      </c>
      <c r="J13" s="250">
        <f>VLOOKUP($A13,HGR2559!$B$2:$I$28,4,0)</f>
        <v>9.1927685594348</v>
      </c>
      <c r="K13" s="250">
        <f t="shared" si="1"/>
        <v>-11820024.006249994</v>
      </c>
      <c r="L13" s="250">
        <f t="shared" si="2"/>
        <v>-36292221.6278296</v>
      </c>
      <c r="M13" s="21"/>
    </row>
    <row r="14" spans="1:13" ht="24">
      <c r="A14" s="166" t="s">
        <v>16</v>
      </c>
      <c r="B14" s="37" t="s">
        <v>17</v>
      </c>
      <c r="C14" s="386">
        <v>10605545.44</v>
      </c>
      <c r="D14" s="23">
        <f>SUMIF('1.WS-Re-Exp'!$F$3:$F$599,Planfin2561!A14,'1.WS-Re-Exp'!$C$3:$C$599)</f>
        <v>8075551.62</v>
      </c>
      <c r="E14" s="579">
        <f t="shared" si="0"/>
        <v>-31.329052664763964</v>
      </c>
      <c r="F14" s="37" t="s">
        <v>17</v>
      </c>
      <c r="G14" s="576">
        <f>VLOOKUP($A14,HGR2559!$B$2:$I$28,3,0)</f>
        <v>12584112.21</v>
      </c>
      <c r="H14" s="250">
        <f>VLOOKUP($A14,HGR2559!$B$2:$I$28,5,0)</f>
        <v>26218421.235625</v>
      </c>
      <c r="I14" s="250">
        <f>VLOOKUP($A14,HGR2559!$B$2:$I$28,8,0)</f>
        <v>46627901.63152</v>
      </c>
      <c r="J14" s="250">
        <f>VLOOKUP($A14,HGR2559!$B$2:$I$28,4,0)</f>
        <v>-22.4808655033738</v>
      </c>
      <c r="K14" s="250">
        <f t="shared" si="1"/>
        <v>-18142869.615624998</v>
      </c>
      <c r="L14" s="250">
        <f t="shared" si="2"/>
        <v>-38552350.011520006</v>
      </c>
      <c r="M14" s="21" t="s">
        <v>1835</v>
      </c>
    </row>
    <row r="15" spans="1:13" ht="24">
      <c r="A15" s="166" t="s">
        <v>18</v>
      </c>
      <c r="B15" s="37" t="s">
        <v>690</v>
      </c>
      <c r="C15" s="386">
        <v>11408758.76</v>
      </c>
      <c r="D15" s="23">
        <f>SUMIF('1.WS-Re-Exp'!$F$3:$F$599,Planfin2561!A15,'1.WS-Re-Exp'!$C$3:$C$599)</f>
        <v>110073400</v>
      </c>
      <c r="E15" s="579">
        <f t="shared" si="0"/>
        <v>89.63531719743371</v>
      </c>
      <c r="F15" s="37" t="s">
        <v>690</v>
      </c>
      <c r="G15" s="576">
        <f>VLOOKUP($A15,HGR2559!$B$2:$I$28,3,0)</f>
        <v>23059928.29</v>
      </c>
      <c r="H15" s="250">
        <f>VLOOKUP($A15,HGR2559!$B$2:$I$28,5,0)</f>
        <v>25264794.4341875</v>
      </c>
      <c r="I15" s="250">
        <f>VLOOKUP($A15,HGR2559!$B$2:$I$28,8,0)</f>
        <v>41619905.001585804</v>
      </c>
      <c r="J15" s="250">
        <f>VLOOKUP($A15,HGR2559!$B$2:$I$28,4,0)</f>
        <v>188.050233023994</v>
      </c>
      <c r="K15" s="250">
        <f t="shared" si="1"/>
        <v>84808605.5658125</v>
      </c>
      <c r="L15" s="250">
        <f t="shared" si="2"/>
        <v>68453494.99841419</v>
      </c>
      <c r="M15" s="21"/>
    </row>
    <row r="16" spans="1:13" ht="27.75">
      <c r="A16" s="168" t="s">
        <v>696</v>
      </c>
      <c r="B16" s="169" t="s">
        <v>676</v>
      </c>
      <c r="C16" s="387">
        <v>299157014.23</v>
      </c>
      <c r="D16" s="170">
        <f>SUM(D5:D15)</f>
        <v>388752320.83581036</v>
      </c>
      <c r="E16" s="580">
        <f t="shared" si="0"/>
        <v>23.046886617469468</v>
      </c>
      <c r="F16" s="169" t="s">
        <v>676</v>
      </c>
      <c r="G16" s="577">
        <f>VLOOKUP($A16,HGR2559!$B$2:$I$28,3,0)</f>
        <v>286449862.7</v>
      </c>
      <c r="H16" s="251">
        <f>VLOOKUP($A16,HGR2559!$B$2:$I$28,5,0)</f>
        <v>361981053.05625</v>
      </c>
      <c r="I16" s="251">
        <f>VLOOKUP($A16,HGR2559!$B$2:$I$28,8,0)</f>
        <v>435731349.3012118</v>
      </c>
      <c r="J16" s="251">
        <f>VLOOKUP($A16,HGR2559!$B$2:$I$28,4,0)</f>
        <v>10.7120468358569</v>
      </c>
      <c r="K16" s="250">
        <f t="shared" si="1"/>
        <v>26771267.779560387</v>
      </c>
      <c r="L16" s="250">
        <f t="shared" si="2"/>
        <v>-46979028.46540141</v>
      </c>
      <c r="M16" s="25"/>
    </row>
    <row r="17" spans="1:13" ht="27.75">
      <c r="A17" s="163" t="s">
        <v>19</v>
      </c>
      <c r="B17" s="37" t="s">
        <v>20</v>
      </c>
      <c r="C17" s="388">
        <v>30794360.37</v>
      </c>
      <c r="D17" s="23">
        <f>SUMIF('1.WS-Re-Exp'!$F$3:$F$599,Planfin2561!A17,'1.WS-Re-Exp'!$C$3:$C$599)</f>
        <v>31362076.79</v>
      </c>
      <c r="E17" s="579">
        <f t="shared" si="0"/>
        <v>1.8102003378201603</v>
      </c>
      <c r="F17" s="37" t="s">
        <v>20</v>
      </c>
      <c r="G17" s="576">
        <f>VLOOKUP($A17,HGR2559!$B$2:$I$28,3,0)</f>
        <v>34122747.79</v>
      </c>
      <c r="H17" s="250">
        <f>VLOOKUP($A17,HGR2559!$B$2:$I$28,5,0)</f>
        <v>46444605.060625</v>
      </c>
      <c r="I17" s="250">
        <f>VLOOKUP($A17,HGR2559!$B$2:$I$28,8,0)</f>
        <v>64967572.0199256</v>
      </c>
      <c r="J17" s="250">
        <f>VLOOKUP($A17,HGR2559!$B$2:$I$28,4,0)</f>
        <v>49.8559224105637</v>
      </c>
      <c r="K17" s="250">
        <f t="shared" si="1"/>
        <v>-15082528.270625003</v>
      </c>
      <c r="L17" s="250">
        <f t="shared" si="2"/>
        <v>-33605495.2299256</v>
      </c>
      <c r="M17" s="21"/>
    </row>
    <row r="18" spans="1:13" ht="27.75">
      <c r="A18" s="163" t="s">
        <v>21</v>
      </c>
      <c r="B18" s="37" t="s">
        <v>22</v>
      </c>
      <c r="C18" s="389">
        <v>13343535.22</v>
      </c>
      <c r="D18" s="23">
        <f>SUMIF('1.WS-Re-Exp'!$F$3:$F$599,Planfin2561!A18,'1.WS-Re-Exp'!$C$3:$C$599)</f>
        <v>13546479.47</v>
      </c>
      <c r="E18" s="579">
        <f t="shared" si="0"/>
        <v>1.4981327838678664</v>
      </c>
      <c r="F18" s="37" t="s">
        <v>22</v>
      </c>
      <c r="G18" s="576">
        <f>VLOOKUP($A18,HGR2559!$B$2:$I$28,3,0)</f>
        <v>16842870.15</v>
      </c>
      <c r="H18" s="250">
        <f>VLOOKUP($A18,HGR2559!$B$2:$I$28,5,0)</f>
        <v>23070114.8335625</v>
      </c>
      <c r="I18" s="250">
        <f>VLOOKUP($A18,HGR2559!$B$2:$I$28,8,0)</f>
        <v>31251600.105245963</v>
      </c>
      <c r="J18" s="250">
        <f>VLOOKUP($A18,HGR2559!$B$2:$I$28,4,0)</f>
        <v>31.4206177051046</v>
      </c>
      <c r="K18" s="250">
        <f t="shared" si="1"/>
        <v>-9523635.3635625</v>
      </c>
      <c r="L18" s="250">
        <f t="shared" si="2"/>
        <v>-17705120.635245964</v>
      </c>
      <c r="M18" s="21"/>
    </row>
    <row r="19" spans="1:13" ht="27.75">
      <c r="A19" s="163" t="s">
        <v>732</v>
      </c>
      <c r="B19" s="37" t="s">
        <v>733</v>
      </c>
      <c r="C19" s="389">
        <v>555182.66</v>
      </c>
      <c r="D19" s="23">
        <f>SUMIF('1.WS-Re-Exp'!$F$3:$F$599,Planfin2561!A19,'1.WS-Re-Exp'!$C$3:$C$599)</f>
        <v>590047.2</v>
      </c>
      <c r="E19" s="579">
        <f t="shared" si="0"/>
        <v>5.90877136608731</v>
      </c>
      <c r="F19" s="37" t="s">
        <v>733</v>
      </c>
      <c r="G19" s="576">
        <f>VLOOKUP($A19,HGR2559!$B$2:$I$28,3,0)</f>
        <v>718061.3333</v>
      </c>
      <c r="H19" s="250">
        <f>VLOOKUP($A19,HGR2559!$B$2:$I$28,5,0)</f>
        <v>944871.81998125</v>
      </c>
      <c r="I19" s="250">
        <f>VLOOKUP($A19,HGR2559!$B$2:$I$28,8,0)</f>
        <v>1557375.50354404</v>
      </c>
      <c r="J19" s="250">
        <f>VLOOKUP($A19,HGR2559!$B$2:$I$28,4,0)</f>
        <v>-22.9225391204473</v>
      </c>
      <c r="K19" s="250">
        <f t="shared" si="1"/>
        <v>-354824.61998125</v>
      </c>
      <c r="L19" s="250">
        <f t="shared" si="2"/>
        <v>-967328.3035440401</v>
      </c>
      <c r="M19" s="21"/>
    </row>
    <row r="20" spans="1:12" ht="27.75">
      <c r="A20" s="163" t="s">
        <v>23</v>
      </c>
      <c r="B20" s="37" t="s">
        <v>24</v>
      </c>
      <c r="C20" s="389">
        <v>14895565.52</v>
      </c>
      <c r="D20" s="23">
        <f>SUMIF('1.WS-Re-Exp'!$F$3:$F$599,Planfin2561!A20,'1.WS-Re-Exp'!$C$3:$C$599)</f>
        <v>15154248.86</v>
      </c>
      <c r="E20" s="579">
        <f t="shared" si="0"/>
        <v>1.7070020585632635</v>
      </c>
      <c r="F20" s="37" t="s">
        <v>24</v>
      </c>
      <c r="G20" s="576">
        <f>VLOOKUP($A20,HGR2559!$B$2:$I$28,3,0)</f>
        <v>9574315.467</v>
      </c>
      <c r="H20" s="250">
        <f>VLOOKUP($A20,HGR2559!$B$2:$I$28,5,0)</f>
        <v>14206216.2335625</v>
      </c>
      <c r="I20" s="250">
        <f>VLOOKUP($A20,HGR2559!$B$2:$I$28,8,0)</f>
        <v>21190492.80353686</v>
      </c>
      <c r="J20" s="250">
        <f>VLOOKUP($A20,HGR2559!$B$2:$I$28,4,0)</f>
        <v>-18.1462512386725</v>
      </c>
      <c r="K20" s="250">
        <f t="shared" si="1"/>
        <v>948032.6264375001</v>
      </c>
      <c r="L20" s="250">
        <f t="shared" si="2"/>
        <v>-6036243.943536859</v>
      </c>
    </row>
    <row r="21" spans="1:13" ht="27.75">
      <c r="A21" s="163" t="s">
        <v>25</v>
      </c>
      <c r="B21" s="37" t="s">
        <v>26</v>
      </c>
      <c r="C21" s="389">
        <v>74679220.33</v>
      </c>
      <c r="D21" s="23">
        <f>SUMIF('1.WS-Re-Exp'!$F$3:$F$599,Planfin2561!A21,'1.WS-Re-Exp'!$C$3:$C$599)</f>
        <v>75183740</v>
      </c>
      <c r="E21" s="579">
        <f t="shared" si="0"/>
        <v>0.6710489129697482</v>
      </c>
      <c r="F21" s="37" t="s">
        <v>26</v>
      </c>
      <c r="G21" s="576">
        <f>VLOOKUP($A21,HGR2559!$B$2:$I$28,3,0)</f>
        <v>76337670.09</v>
      </c>
      <c r="H21" s="250">
        <f>VLOOKUP($A21,HGR2559!$B$2:$I$28,5,0)</f>
        <v>87008117.74125</v>
      </c>
      <c r="I21" s="250">
        <f>VLOOKUP($A21,HGR2559!$B$2:$I$28,8,0)</f>
        <v>112383371.3435013</v>
      </c>
      <c r="J21" s="250">
        <f>VLOOKUP($A21,HGR2559!$B$2:$I$28,4,0)</f>
        <v>8.87071961958723</v>
      </c>
      <c r="K21" s="250">
        <f t="shared" si="1"/>
        <v>-11824377.741249993</v>
      </c>
      <c r="L21" s="250">
        <f t="shared" si="2"/>
        <v>-37199631.3435013</v>
      </c>
      <c r="M21" s="21"/>
    </row>
    <row r="22" spans="1:13" ht="27.75">
      <c r="A22" s="163" t="s">
        <v>27</v>
      </c>
      <c r="B22" s="38" t="s">
        <v>724</v>
      </c>
      <c r="C22" s="389">
        <v>22814993.25</v>
      </c>
      <c r="D22" s="23">
        <f>SUMIF('1.WS-Re-Exp'!$F$3:$F$599,Planfin2561!A22,'1.WS-Re-Exp'!$C$3:$C$599)</f>
        <v>26440047.340000004</v>
      </c>
      <c r="E22" s="579">
        <f t="shared" si="0"/>
        <v>13.710467471500387</v>
      </c>
      <c r="F22" s="38" t="s">
        <v>724</v>
      </c>
      <c r="G22" s="576">
        <f>VLOOKUP($A22,HGR2559!$B$2:$I$28,3,0)</f>
        <v>22034983.73</v>
      </c>
      <c r="H22" s="250">
        <f>VLOOKUP($A22,HGR2559!$B$2:$I$28,5,0)</f>
        <v>29807104.820625</v>
      </c>
      <c r="I22" s="250">
        <f>VLOOKUP($A22,HGR2559!$B$2:$I$28,8,0)</f>
        <v>38756789.67668629</v>
      </c>
      <c r="J22" s="250">
        <f>VLOOKUP($A22,HGR2559!$B$2:$I$28,4,0)</f>
        <v>4.57518901678008</v>
      </c>
      <c r="K22" s="250">
        <f t="shared" si="1"/>
        <v>-3367057.480624996</v>
      </c>
      <c r="L22" s="250">
        <f t="shared" si="2"/>
        <v>-12316742.336686283</v>
      </c>
      <c r="M22" s="21"/>
    </row>
    <row r="23" spans="1:13" ht="27.75">
      <c r="A23" s="314" t="s">
        <v>29</v>
      </c>
      <c r="B23" s="37" t="s">
        <v>30</v>
      </c>
      <c r="C23" s="389">
        <v>43064250.64</v>
      </c>
      <c r="D23" s="23">
        <f>SUMIF('1.WS-Re-Exp'!$F$3:$F$599,Planfin2561!A23,'1.WS-Re-Exp'!$C$3:$C$599)</f>
        <v>45576000</v>
      </c>
      <c r="E23" s="579">
        <f t="shared" si="0"/>
        <v>5.511122871686851</v>
      </c>
      <c r="F23" s="37" t="s">
        <v>30</v>
      </c>
      <c r="G23" s="576">
        <f>VLOOKUP($A23,HGR2559!$B$2:$I$28,3,0)</f>
        <v>29395008</v>
      </c>
      <c r="H23" s="250">
        <f>VLOOKUP($A23,HGR2559!$B$2:$I$28,5,0)</f>
        <v>55223795.30875</v>
      </c>
      <c r="I23" s="250">
        <f>VLOOKUP($A23,HGR2559!$B$2:$I$28,8,0)</f>
        <v>69050520.9374962</v>
      </c>
      <c r="J23" s="250">
        <f>VLOOKUP($A23,HGR2559!$B$2:$I$28,4,0)</f>
        <v>-12.3217878670161</v>
      </c>
      <c r="K23" s="250">
        <f t="shared" si="1"/>
        <v>-9647795.308750004</v>
      </c>
      <c r="L23" s="250">
        <f t="shared" si="2"/>
        <v>-23474520.9374962</v>
      </c>
      <c r="M23" s="21" t="s">
        <v>1812</v>
      </c>
    </row>
    <row r="24" spans="1:13" ht="27.75">
      <c r="A24" s="163" t="s">
        <v>31</v>
      </c>
      <c r="B24" s="37" t="s">
        <v>32</v>
      </c>
      <c r="C24" s="390">
        <v>4151650.92</v>
      </c>
      <c r="D24" s="23">
        <f>SUMIF('1.WS-Re-Exp'!$F$3:$F$599,Planfin2561!A24,'1.WS-Re-Exp'!$C$3:$C$599)</f>
        <v>6660612.66</v>
      </c>
      <c r="E24" s="579">
        <f t="shared" si="0"/>
        <v>37.66863302331711</v>
      </c>
      <c r="F24" s="37" t="s">
        <v>32</v>
      </c>
      <c r="G24" s="576">
        <f>VLOOKUP($A24,HGR2559!$B$2:$I$28,3,0)</f>
        <v>5741530.56</v>
      </c>
      <c r="H24" s="250">
        <f>VLOOKUP($A24,HGR2559!$B$2:$I$28,5,0)</f>
        <v>6697695.17275</v>
      </c>
      <c r="I24" s="250">
        <f>VLOOKUP($A24,HGR2559!$B$2:$I$28,8,0)</f>
        <v>9217005.41788646</v>
      </c>
      <c r="J24" s="250">
        <f>VLOOKUP($A24,HGR2559!$B$2:$I$28,4,0)</f>
        <v>-3.52100223681034</v>
      </c>
      <c r="K24" s="250">
        <f t="shared" si="1"/>
        <v>-37082.51274999976</v>
      </c>
      <c r="L24" s="250">
        <f t="shared" si="2"/>
        <v>-2556392.75788646</v>
      </c>
      <c r="M24" s="21" t="s">
        <v>1813</v>
      </c>
    </row>
    <row r="25" spans="1:13" ht="27.75">
      <c r="A25" s="163" t="s">
        <v>33</v>
      </c>
      <c r="B25" s="37" t="s">
        <v>34</v>
      </c>
      <c r="C25" s="390">
        <v>25240788.49</v>
      </c>
      <c r="D25" s="23">
        <f>SUMIF('1.WS-Re-Exp'!$F$3:$F$599,Planfin2561!A25,'1.WS-Re-Exp'!$C$3:$C$599)</f>
        <v>24110293.5</v>
      </c>
      <c r="E25" s="579">
        <f t="shared" si="0"/>
        <v>-4.688847898097957</v>
      </c>
      <c r="F25" s="37" t="s">
        <v>34</v>
      </c>
      <c r="G25" s="576">
        <f>VLOOKUP($A25,HGR2559!$B$2:$I$28,3,0)</f>
        <v>25428151.05</v>
      </c>
      <c r="H25" s="250">
        <f>VLOOKUP($A25,HGR2559!$B$2:$I$28,5,0)</f>
        <v>29062147.5979375</v>
      </c>
      <c r="I25" s="250">
        <f>VLOOKUP($A25,HGR2559!$B$2:$I$28,8,0)</f>
        <v>50313804.7860028</v>
      </c>
      <c r="J25" s="250">
        <f>VLOOKUP($A25,HGR2559!$B$2:$I$28,4,0)</f>
        <v>69.7935733406079</v>
      </c>
      <c r="K25" s="250">
        <f t="shared" si="1"/>
        <v>-4951854.097937498</v>
      </c>
      <c r="L25" s="250">
        <f t="shared" si="2"/>
        <v>-26203511.2860028</v>
      </c>
      <c r="M25" s="21"/>
    </row>
    <row r="26" spans="1:13" ht="27.75">
      <c r="A26" s="163" t="s">
        <v>35</v>
      </c>
      <c r="B26" s="37" t="s">
        <v>36</v>
      </c>
      <c r="C26" s="389">
        <v>8226674.31</v>
      </c>
      <c r="D26" s="23">
        <f>SUMIF('1.WS-Re-Exp'!$F$3:$F$599,Planfin2561!A26,'1.WS-Re-Exp'!$C$3:$C$599)</f>
        <v>8634007.389999999</v>
      </c>
      <c r="E26" s="579">
        <f t="shared" si="0"/>
        <v>4.717775438457196</v>
      </c>
      <c r="F26" s="37" t="s">
        <v>36</v>
      </c>
      <c r="G26" s="576">
        <f>VLOOKUP($A26,HGR2559!$B$2:$I$28,3,0)</f>
        <v>9884047.427</v>
      </c>
      <c r="H26" s="250">
        <f>VLOOKUP($A26,HGR2559!$B$2:$I$28,5,0)</f>
        <v>11092702.0410625</v>
      </c>
      <c r="I26" s="250">
        <f>VLOOKUP($A26,HGR2559!$B$2:$I$28,8,0)</f>
        <v>13638034.22161079</v>
      </c>
      <c r="J26" s="250">
        <f>VLOOKUP($A26,HGR2559!$B$2:$I$28,4,0)</f>
        <v>-3.26871436518474</v>
      </c>
      <c r="K26" s="250">
        <f t="shared" si="1"/>
        <v>-2458694.6510625016</v>
      </c>
      <c r="L26" s="250">
        <f t="shared" si="2"/>
        <v>-5004026.831610791</v>
      </c>
      <c r="M26" s="150" t="s">
        <v>1814</v>
      </c>
    </row>
    <row r="27" spans="1:13" ht="27.75">
      <c r="A27" s="163" t="s">
        <v>37</v>
      </c>
      <c r="B27" s="37" t="s">
        <v>38</v>
      </c>
      <c r="C27" s="389">
        <v>8826690.54</v>
      </c>
      <c r="D27" s="23">
        <f>SUMIF('1.WS-Re-Exp'!$F$3:$F$599,Planfin2561!A27,'1.WS-Re-Exp'!$C$3:$C$599)</f>
        <v>14615386.02</v>
      </c>
      <c r="E27" s="579">
        <f t="shared" si="0"/>
        <v>39.606860004098614</v>
      </c>
      <c r="F27" s="37" t="s">
        <v>38</v>
      </c>
      <c r="G27" s="576">
        <f>VLOOKUP($A27,HGR2559!$B$2:$I$28,3,0)</f>
        <v>11237513.77</v>
      </c>
      <c r="H27" s="250">
        <f>VLOOKUP($A27,HGR2559!$B$2:$I$28,5,0)</f>
        <v>14193181.3429375</v>
      </c>
      <c r="I27" s="250">
        <f>VLOOKUP($A27,HGR2559!$B$2:$I$28,8,0)</f>
        <v>20381789.508681267</v>
      </c>
      <c r="J27" s="250">
        <f>VLOOKUP($A27,HGR2559!$B$2:$I$28,4,0)</f>
        <v>1.78881694998038</v>
      </c>
      <c r="K27" s="250">
        <f t="shared" si="1"/>
        <v>422204.67706250027</v>
      </c>
      <c r="L27" s="250">
        <f t="shared" si="2"/>
        <v>-5766403.488681268</v>
      </c>
      <c r="M27" s="150" t="s">
        <v>1832</v>
      </c>
    </row>
    <row r="28" spans="1:13" ht="27.75">
      <c r="A28" s="163" t="s">
        <v>39</v>
      </c>
      <c r="B28" s="37" t="s">
        <v>40</v>
      </c>
      <c r="C28" s="389">
        <v>35332635.25</v>
      </c>
      <c r="D28" s="23">
        <f>SUMIF('1.WS-Re-Exp'!$F$3:$F$599,Planfin2561!A28,'1.WS-Re-Exp'!$C$3:$C$599)</f>
        <v>37966555.968</v>
      </c>
      <c r="E28" s="579">
        <f t="shared" si="0"/>
        <v>6.937476025531508</v>
      </c>
      <c r="F28" s="37" t="s">
        <v>40</v>
      </c>
      <c r="G28" s="576">
        <f>VLOOKUP($A28,HGR2559!$B$2:$I$28,3,0)</f>
        <v>33233155.88</v>
      </c>
      <c r="H28" s="250">
        <f>VLOOKUP($A28,HGR2559!$B$2:$I$28,5,0)</f>
        <v>36991936.5025</v>
      </c>
      <c r="I28" s="250">
        <f>VLOOKUP($A28,HGR2559!$B$2:$I$28,8,0)</f>
        <v>51085395.015566096</v>
      </c>
      <c r="J28" s="250">
        <f>VLOOKUP($A28,HGR2559!$B$2:$I$28,4,0)</f>
        <v>48.9776771457532</v>
      </c>
      <c r="K28" s="250">
        <f t="shared" si="1"/>
        <v>974619.4655000046</v>
      </c>
      <c r="L28" s="250">
        <f t="shared" si="2"/>
        <v>-13118839.047566094</v>
      </c>
      <c r="M28" s="150" t="s">
        <v>1834</v>
      </c>
    </row>
    <row r="29" spans="1:13" ht="27.75">
      <c r="A29" s="163" t="s">
        <v>734</v>
      </c>
      <c r="B29" s="37" t="s">
        <v>735</v>
      </c>
      <c r="C29" s="389">
        <v>3847626.65</v>
      </c>
      <c r="D29" s="23">
        <f>SUMIF('1.WS-Re-Exp'!$F$3:$F$599,Planfin2561!A29,'1.WS-Re-Exp'!$C$3:$C$599)</f>
        <v>3325093.572</v>
      </c>
      <c r="E29" s="579">
        <f t="shared" si="0"/>
        <v>-15.714838295083014</v>
      </c>
      <c r="F29" s="37" t="s">
        <v>735</v>
      </c>
      <c r="G29" s="576">
        <f>VLOOKUP($A29,HGR2559!$B$2:$I$28,3,0)</f>
        <v>2380997.933</v>
      </c>
      <c r="H29" s="250">
        <f>VLOOKUP($A29,HGR2559!$B$2:$I$28,5,0)</f>
        <v>3031072.06068981</v>
      </c>
      <c r="I29" s="250">
        <f>VLOOKUP($A29,HGR2559!$B$2:$I$28,8,0)</f>
        <v>8026911.3500626795</v>
      </c>
      <c r="J29" s="250">
        <f>VLOOKUP($A29,HGR2559!$B$2:$I$28,4,0)</f>
        <v>-87.111652915704</v>
      </c>
      <c r="K29" s="250">
        <f t="shared" si="1"/>
        <v>294021.51131018996</v>
      </c>
      <c r="L29" s="250">
        <f t="shared" si="2"/>
        <v>-4701817.778062679</v>
      </c>
      <c r="M29" s="21"/>
    </row>
    <row r="30" spans="1:13" ht="27.75">
      <c r="A30" s="163" t="s">
        <v>41</v>
      </c>
      <c r="B30" s="37" t="s">
        <v>42</v>
      </c>
      <c r="C30" s="390">
        <v>15098098.89</v>
      </c>
      <c r="D30" s="23">
        <f>SUMIF('1.WS-Re-Exp'!$F$3:$F$599,Planfin2561!A30,'1.WS-Re-Exp'!$C$3:$C$599)</f>
        <v>11612568.639999999</v>
      </c>
      <c r="E30" s="579">
        <f t="shared" si="0"/>
        <v>-30.015153047138433</v>
      </c>
      <c r="F30" s="37" t="s">
        <v>42</v>
      </c>
      <c r="G30" s="576">
        <f>VLOOKUP($A30,HGR2559!$B$2:$I$28,3,0)</f>
        <v>6270850.16</v>
      </c>
      <c r="H30" s="250">
        <f>VLOOKUP($A30,HGR2559!$B$2:$I$28,5,0)</f>
        <v>11496144.4018125</v>
      </c>
      <c r="I30" s="250">
        <f>VLOOKUP($A30,HGR2559!$B$2:$I$28,8,0)</f>
        <v>21240693.64788437</v>
      </c>
      <c r="J30" s="250">
        <f>VLOOKUP($A30,HGR2559!$B$2:$I$28,4,0)</f>
        <v>-67.0920410360099</v>
      </c>
      <c r="K30" s="250">
        <f t="shared" si="1"/>
        <v>116424.23818749934</v>
      </c>
      <c r="L30" s="250">
        <f t="shared" si="2"/>
        <v>-9628125.00788437</v>
      </c>
      <c r="M30" s="21" t="s">
        <v>1831</v>
      </c>
    </row>
    <row r="31" spans="1:13" s="152" customFormat="1" ht="24">
      <c r="A31" s="171" t="s">
        <v>697</v>
      </c>
      <c r="B31" s="171" t="s">
        <v>698</v>
      </c>
      <c r="C31" s="391">
        <v>300871273.04</v>
      </c>
      <c r="D31" s="172">
        <f>SUM(D17:D30)</f>
        <v>314777157.41</v>
      </c>
      <c r="E31" s="167">
        <f t="shared" si="0"/>
        <v>4.41769170432131</v>
      </c>
      <c r="F31" s="171" t="s">
        <v>698</v>
      </c>
      <c r="G31" s="577">
        <f>VLOOKUP($A31,HGR2559!$B$2:$I$28,3,0)</f>
        <v>283201903.3</v>
      </c>
      <c r="H31" s="251">
        <f>VLOOKUP($A31,HGR2559!$B$2:$I$28,5,0)</f>
        <v>369269704.95625</v>
      </c>
      <c r="I31" s="251">
        <f>VLOOKUP($A31,HGR2559!$B$2:$I$28,8,0)</f>
        <v>445413981.7441834</v>
      </c>
      <c r="J31" s="251">
        <f>VLOOKUP($A31,HGR2559!$B$2:$I$28,4,0)</f>
        <v>3.00055587593431</v>
      </c>
      <c r="K31" s="250">
        <f t="shared" si="1"/>
        <v>-54492547.546249986</v>
      </c>
      <c r="L31" s="250">
        <f t="shared" si="2"/>
        <v>-130636824.3341834</v>
      </c>
      <c r="M31" s="408"/>
    </row>
    <row r="32" spans="1:7" s="152" customFormat="1" ht="27.75">
      <c r="A32" s="168" t="s">
        <v>699</v>
      </c>
      <c r="B32" s="173" t="s">
        <v>700</v>
      </c>
      <c r="C32" s="392">
        <v>-1714258.81</v>
      </c>
      <c r="D32" s="174">
        <f>D16-D31</f>
        <v>73975163.42581034</v>
      </c>
      <c r="E32" s="581"/>
      <c r="F32" s="153"/>
      <c r="G32" s="153"/>
    </row>
    <row r="33" spans="1:11" s="152" customFormat="1" ht="30.75">
      <c r="A33" s="582" t="s">
        <v>729</v>
      </c>
      <c r="B33" s="583" t="s">
        <v>730</v>
      </c>
      <c r="C33" s="584"/>
      <c r="D33" s="581">
        <f>D32-D15+D28</f>
        <v>1868319.3938103393</v>
      </c>
      <c r="E33" s="581"/>
      <c r="F33" s="153"/>
      <c r="G33" s="153"/>
      <c r="K33" s="30" t="s">
        <v>1654</v>
      </c>
    </row>
    <row r="34" spans="1:12" s="152" customFormat="1" ht="12.75" customHeight="1">
      <c r="A34" s="175"/>
      <c r="B34" s="176"/>
      <c r="C34" s="393"/>
      <c r="D34" s="153"/>
      <c r="E34" s="153"/>
      <c r="F34" s="153"/>
      <c r="G34" s="153"/>
      <c r="K34" s="260"/>
      <c r="L34" s="312" t="s">
        <v>1655</v>
      </c>
    </row>
    <row r="35" spans="1:12" ht="27.75">
      <c r="A35" s="177"/>
      <c r="B35" s="178" t="s">
        <v>701</v>
      </c>
      <c r="C35" s="394">
        <v>0</v>
      </c>
      <c r="D35" s="127"/>
      <c r="E35" s="127"/>
      <c r="F35" s="127"/>
      <c r="G35" s="127"/>
      <c r="K35" s="261"/>
      <c r="L35" s="312" t="s">
        <v>1656</v>
      </c>
    </row>
    <row r="36" spans="1:11" ht="24">
      <c r="A36" s="185" t="s">
        <v>738</v>
      </c>
      <c r="B36" s="179" t="s">
        <v>728</v>
      </c>
      <c r="C36" s="395" t="s">
        <v>1747</v>
      </c>
      <c r="D36" s="180">
        <f>Expense!E39</f>
        <v>1868319.3938102783</v>
      </c>
      <c r="E36" s="127"/>
      <c r="F36" s="127"/>
      <c r="G36" s="127"/>
      <c r="J36" s="29"/>
      <c r="K36" s="29"/>
    </row>
    <row r="37" spans="1:13" ht="24">
      <c r="A37" s="185"/>
      <c r="B37" s="181" t="s">
        <v>816</v>
      </c>
      <c r="C37" s="396"/>
      <c r="D37" s="180">
        <f>IF(D36&lt;0,0-D86,((D36*20%)-D86))</f>
        <v>338314.36876205564</v>
      </c>
      <c r="E37" s="127"/>
      <c r="F37" s="127"/>
      <c r="G37" s="127"/>
      <c r="J37" s="154"/>
      <c r="K37" s="154"/>
      <c r="M37" s="26">
        <f>+D36*0.2</f>
        <v>373663.87876205565</v>
      </c>
    </row>
    <row r="38" spans="1:13" ht="24">
      <c r="A38" s="186" t="s">
        <v>43</v>
      </c>
      <c r="B38" s="182" t="s">
        <v>996</v>
      </c>
      <c r="C38" s="399">
        <v>9788815.85</v>
      </c>
      <c r="D38" s="183">
        <v>8058381.58</v>
      </c>
      <c r="E38" s="155"/>
      <c r="F38" s="155"/>
      <c r="G38" s="155"/>
      <c r="M38" s="26"/>
    </row>
    <row r="39" spans="1:13" ht="24">
      <c r="A39" s="186" t="s">
        <v>44</v>
      </c>
      <c r="B39" s="184" t="s">
        <v>997</v>
      </c>
      <c r="C39" s="397">
        <v>27585723.7</v>
      </c>
      <c r="D39" s="183">
        <v>27689070.73</v>
      </c>
      <c r="E39" s="155"/>
      <c r="F39" s="155"/>
      <c r="G39" s="155"/>
      <c r="M39" s="26"/>
    </row>
    <row r="40" spans="1:7" ht="24">
      <c r="A40" s="186" t="s">
        <v>702</v>
      </c>
      <c r="B40" s="184" t="s">
        <v>998</v>
      </c>
      <c r="C40" s="398">
        <v>55490385.63</v>
      </c>
      <c r="D40" s="183">
        <v>60406261.69</v>
      </c>
      <c r="E40" s="155"/>
      <c r="F40" s="155"/>
      <c r="G40" s="155"/>
    </row>
    <row r="41" spans="1:7" ht="24" customHeight="1">
      <c r="A41" s="164"/>
      <c r="B41" s="24"/>
      <c r="C41" s="155"/>
      <c r="D41" s="27"/>
      <c r="E41" s="155"/>
      <c r="F41" s="155"/>
      <c r="G41" s="155"/>
    </row>
    <row r="42" spans="1:7" ht="24" customHeight="1">
      <c r="A42" s="617" t="s">
        <v>703</v>
      </c>
      <c r="B42" s="617"/>
      <c r="C42" s="618"/>
      <c r="D42" s="193" t="s">
        <v>1553</v>
      </c>
      <c r="E42" s="157"/>
      <c r="F42" s="157"/>
      <c r="G42" s="157"/>
    </row>
    <row r="43" spans="1:7" ht="24" customHeight="1">
      <c r="A43" s="128"/>
      <c r="B43" s="619" t="s">
        <v>704</v>
      </c>
      <c r="C43" s="619"/>
      <c r="D43" s="187">
        <f>SUM('2.WS-ยา วชภฯ'!J3)</f>
        <v>42752734.05</v>
      </c>
      <c r="E43" s="126"/>
      <c r="F43" s="126"/>
      <c r="G43" s="126"/>
    </row>
    <row r="44" spans="1:7" ht="24" customHeight="1">
      <c r="A44" s="128"/>
      <c r="B44" s="620" t="s">
        <v>705</v>
      </c>
      <c r="C44" s="620"/>
      <c r="D44" s="187">
        <f>SUM('2.WS-ยา วชภฯ'!J4)</f>
        <v>28419476.86</v>
      </c>
      <c r="E44" s="126"/>
      <c r="F44" s="126"/>
      <c r="G44" s="126"/>
    </row>
    <row r="45" spans="1:7" ht="24" customHeight="1">
      <c r="A45" s="128"/>
      <c r="B45" s="620" t="s">
        <v>706</v>
      </c>
      <c r="C45" s="620"/>
      <c r="D45" s="187">
        <f>SUM('2.WS-ยา วชภฯ'!J5)</f>
        <v>14623067.010000004</v>
      </c>
      <c r="E45" s="126"/>
      <c r="F45" s="126"/>
      <c r="G45" s="126"/>
    </row>
    <row r="46" spans="1:7" ht="24" customHeight="1">
      <c r="A46" s="128"/>
      <c r="B46" s="621" t="s">
        <v>666</v>
      </c>
      <c r="C46" s="622"/>
      <c r="D46" s="187">
        <f>SUM(D43:D45)</f>
        <v>85795277.92</v>
      </c>
      <c r="E46" s="126"/>
      <c r="F46" s="126"/>
      <c r="G46" s="126"/>
    </row>
    <row r="47" spans="1:7" ht="24" customHeight="1">
      <c r="A47" s="128"/>
      <c r="B47" s="126"/>
      <c r="C47" s="126"/>
      <c r="D47" s="26"/>
      <c r="E47" s="126"/>
      <c r="F47" s="126"/>
      <c r="G47" s="126"/>
    </row>
    <row r="48" spans="1:7" ht="24" customHeight="1">
      <c r="A48" s="188" t="s">
        <v>743</v>
      </c>
      <c r="B48" s="189"/>
      <c r="C48" s="188"/>
      <c r="D48" s="193" t="s">
        <v>1553</v>
      </c>
      <c r="E48" s="157"/>
      <c r="F48" s="157"/>
      <c r="G48" s="157"/>
    </row>
    <row r="49" spans="1:7" ht="24" customHeight="1">
      <c r="A49" s="128"/>
      <c r="B49" s="614" t="s">
        <v>624</v>
      </c>
      <c r="C49" s="614"/>
      <c r="D49" s="167">
        <f>SUM('3.WS-วัสดุอื่น'!G3)</f>
        <v>1827449</v>
      </c>
      <c r="E49" s="126"/>
      <c r="F49" s="126"/>
      <c r="G49" s="126"/>
    </row>
    <row r="50" spans="1:7" ht="24" customHeight="1">
      <c r="A50" s="128"/>
      <c r="B50" s="614" t="s">
        <v>625</v>
      </c>
      <c r="C50" s="614"/>
      <c r="D50" s="167">
        <f>SUM('3.WS-วัสดุอื่น'!G4)</f>
        <v>412100</v>
      </c>
      <c r="E50" s="126"/>
      <c r="F50" s="126"/>
      <c r="G50" s="126"/>
    </row>
    <row r="51" spans="1:9" ht="24" customHeight="1">
      <c r="A51" s="128"/>
      <c r="B51" s="614" t="s">
        <v>626</v>
      </c>
      <c r="C51" s="614"/>
      <c r="D51" s="167">
        <f>SUM('3.WS-วัสดุอื่น'!G5)</f>
        <v>2416560</v>
      </c>
      <c r="E51" s="126"/>
      <c r="F51" s="126"/>
      <c r="G51" s="126"/>
      <c r="H51" s="158"/>
      <c r="I51" s="158"/>
    </row>
    <row r="52" spans="1:9" ht="24" customHeight="1">
      <c r="A52" s="128"/>
      <c r="B52" s="614" t="s">
        <v>627</v>
      </c>
      <c r="C52" s="614"/>
      <c r="D52" s="167">
        <f>SUM('3.WS-วัสดุอื่น'!G6)</f>
        <v>1734652</v>
      </c>
      <c r="H52" s="158"/>
      <c r="I52" s="158"/>
    </row>
    <row r="53" spans="1:9" ht="24" customHeight="1">
      <c r="A53" s="128"/>
      <c r="B53" s="614" t="s">
        <v>628</v>
      </c>
      <c r="C53" s="614"/>
      <c r="D53" s="167">
        <f>SUM('3.WS-วัสดุอื่น'!G7)</f>
        <v>27950</v>
      </c>
      <c r="H53" s="158"/>
      <c r="I53" s="158"/>
    </row>
    <row r="54" spans="1:9" ht="24" customHeight="1">
      <c r="A54" s="128"/>
      <c r="B54" s="614" t="s">
        <v>629</v>
      </c>
      <c r="C54" s="614"/>
      <c r="D54" s="167">
        <f>SUM('3.WS-วัสดุอื่น'!G8)</f>
        <v>564180</v>
      </c>
      <c r="H54" s="158"/>
      <c r="I54" s="158"/>
    </row>
    <row r="55" spans="1:9" ht="24" customHeight="1">
      <c r="A55" s="128"/>
      <c r="B55" s="614" t="s">
        <v>630</v>
      </c>
      <c r="C55" s="614"/>
      <c r="D55" s="167">
        <f>SUM('3.WS-วัสดุอื่น'!G9)</f>
        <v>3597320</v>
      </c>
      <c r="H55" s="158"/>
      <c r="I55" s="158"/>
    </row>
    <row r="56" spans="1:9" ht="24" customHeight="1">
      <c r="A56" s="128"/>
      <c r="B56" s="614" t="s">
        <v>631</v>
      </c>
      <c r="C56" s="614"/>
      <c r="D56" s="167">
        <f>SUM('3.WS-วัสดุอื่น'!G10)</f>
        <v>3892653</v>
      </c>
      <c r="H56" s="158"/>
      <c r="I56" s="158"/>
    </row>
    <row r="57" spans="1:9" ht="24" customHeight="1">
      <c r="A57" s="128"/>
      <c r="B57" s="614" t="s">
        <v>632</v>
      </c>
      <c r="C57" s="614"/>
      <c r="D57" s="167">
        <f>SUM('3.WS-วัสดุอื่น'!G11)</f>
        <v>1673180</v>
      </c>
      <c r="H57" s="158"/>
      <c r="I57" s="158"/>
    </row>
    <row r="58" spans="1:9" ht="24" customHeight="1">
      <c r="A58" s="128"/>
      <c r="B58" s="614" t="s">
        <v>633</v>
      </c>
      <c r="C58" s="614"/>
      <c r="D58" s="167">
        <f>SUM('3.WS-วัสดุอื่น'!G12)</f>
        <v>1112975</v>
      </c>
      <c r="H58" s="158"/>
      <c r="I58" s="158"/>
    </row>
    <row r="59" spans="1:9" ht="24" customHeight="1">
      <c r="A59" s="128"/>
      <c r="B59" s="614" t="s">
        <v>634</v>
      </c>
      <c r="C59" s="614"/>
      <c r="D59" s="167">
        <f>SUM('3.WS-วัสดุอื่น'!G13)</f>
        <v>2330</v>
      </c>
      <c r="H59" s="158"/>
      <c r="I59" s="158"/>
    </row>
    <row r="60" spans="1:13" ht="24" customHeight="1">
      <c r="A60" s="128"/>
      <c r="B60" s="625" t="s">
        <v>666</v>
      </c>
      <c r="C60" s="625"/>
      <c r="D60" s="187">
        <f>SUM(D49:D59)</f>
        <v>17261349</v>
      </c>
      <c r="H60" s="158"/>
      <c r="I60" s="158"/>
      <c r="M60" s="315">
        <f>+D60+D46</f>
        <v>103056626.92</v>
      </c>
    </row>
    <row r="61" spans="1:9" ht="12.75" customHeight="1">
      <c r="A61" s="128"/>
      <c r="B61" s="159"/>
      <c r="C61" s="126"/>
      <c r="D61" s="27"/>
      <c r="E61" s="24"/>
      <c r="F61" s="24"/>
      <c r="G61" s="24"/>
      <c r="H61" s="158"/>
      <c r="I61" s="158"/>
    </row>
    <row r="62" spans="1:9" ht="24" customHeight="1">
      <c r="A62" s="626" t="s">
        <v>752</v>
      </c>
      <c r="B62" s="626"/>
      <c r="C62" s="626"/>
      <c r="D62" s="626"/>
      <c r="E62" s="157"/>
      <c r="F62" s="157"/>
      <c r="G62" s="157"/>
      <c r="H62" s="158"/>
      <c r="I62" s="158"/>
    </row>
    <row r="63" spans="1:9" ht="24" customHeight="1">
      <c r="A63" s="128"/>
      <c r="B63" s="623" t="s">
        <v>1554</v>
      </c>
      <c r="C63" s="624"/>
      <c r="D63" s="193" t="s">
        <v>707</v>
      </c>
      <c r="E63" s="160"/>
      <c r="F63" s="160"/>
      <c r="G63" s="160"/>
      <c r="H63" s="158"/>
      <c r="I63" s="158"/>
    </row>
    <row r="64" spans="1:9" ht="24" customHeight="1">
      <c r="A64" s="128"/>
      <c r="B64" s="629" t="s">
        <v>708</v>
      </c>
      <c r="C64" s="629"/>
      <c r="D64" s="167">
        <f>+'4.WS-แผน จน.'!F4</f>
        <v>45000000</v>
      </c>
      <c r="E64" s="24"/>
      <c r="F64" s="24"/>
      <c r="G64" s="24"/>
      <c r="H64" s="158"/>
      <c r="I64" s="158"/>
    </row>
    <row r="65" spans="1:9" ht="24" customHeight="1">
      <c r="A65" s="128"/>
      <c r="B65" s="629" t="s">
        <v>709</v>
      </c>
      <c r="C65" s="629"/>
      <c r="D65" s="167">
        <f>+'4.WS-แผน จน.'!F5</f>
        <v>20000000</v>
      </c>
      <c r="E65" s="24"/>
      <c r="F65" s="24"/>
      <c r="G65" s="24"/>
      <c r="H65" s="158"/>
      <c r="I65" s="158"/>
    </row>
    <row r="66" spans="1:9" ht="24" customHeight="1">
      <c r="A66" s="128"/>
      <c r="B66" s="629" t="s">
        <v>710</v>
      </c>
      <c r="C66" s="629"/>
      <c r="D66" s="167">
        <f>+'4.WS-แผน จน.'!F6</f>
        <v>12000000</v>
      </c>
      <c r="E66" s="24"/>
      <c r="F66" s="24"/>
      <c r="G66" s="24"/>
      <c r="H66" s="158"/>
      <c r="I66" s="158"/>
    </row>
    <row r="67" spans="1:9" ht="24" customHeight="1">
      <c r="A67" s="128"/>
      <c r="B67" s="629" t="s">
        <v>711</v>
      </c>
      <c r="C67" s="629"/>
      <c r="D67" s="167">
        <f>+'4.WS-แผน จน.'!F7</f>
        <v>9000000</v>
      </c>
      <c r="E67" s="24"/>
      <c r="F67" s="24"/>
      <c r="G67" s="24"/>
      <c r="H67" s="158"/>
      <c r="I67" s="158"/>
    </row>
    <row r="68" spans="1:9" ht="24" customHeight="1">
      <c r="A68" s="128"/>
      <c r="B68" s="629" t="s">
        <v>712</v>
      </c>
      <c r="C68" s="629"/>
      <c r="D68" s="167">
        <f>+'4.WS-แผน จน.'!F8</f>
        <v>40450040</v>
      </c>
      <c r="E68" s="24"/>
      <c r="F68" s="24"/>
      <c r="G68" s="24"/>
      <c r="H68" s="158"/>
      <c r="I68" s="158"/>
    </row>
    <row r="69" spans="1:9" ht="24" customHeight="1">
      <c r="A69" s="128"/>
      <c r="B69" s="629" t="s">
        <v>713</v>
      </c>
      <c r="C69" s="629"/>
      <c r="D69" s="167">
        <f>+'4.WS-แผน จน.'!F9</f>
        <v>11630227.84</v>
      </c>
      <c r="E69" s="24"/>
      <c r="F69" s="24"/>
      <c r="G69" s="24"/>
      <c r="H69" s="158"/>
      <c r="I69" s="158"/>
    </row>
    <row r="70" spans="1:11" ht="24" customHeight="1">
      <c r="A70" s="128"/>
      <c r="B70" s="629" t="s">
        <v>802</v>
      </c>
      <c r="C70" s="629"/>
      <c r="D70" s="167">
        <f>+'4.WS-แผน จน.'!F10</f>
        <v>16000000</v>
      </c>
      <c r="E70" s="24"/>
      <c r="F70" s="24"/>
      <c r="G70" s="24"/>
      <c r="H70" s="158"/>
      <c r="I70" s="158"/>
      <c r="J70" s="154"/>
      <c r="K70" s="154"/>
    </row>
    <row r="71" spans="1:9" ht="24" customHeight="1">
      <c r="A71" s="128"/>
      <c r="B71" s="629" t="s">
        <v>714</v>
      </c>
      <c r="C71" s="629"/>
      <c r="D71" s="167">
        <f>+'4.WS-แผน จน.'!F11</f>
        <v>40000000</v>
      </c>
      <c r="E71" s="24"/>
      <c r="F71" s="24"/>
      <c r="G71" s="24"/>
      <c r="H71" s="158"/>
      <c r="I71" s="158"/>
    </row>
    <row r="72" spans="1:9" ht="24" customHeight="1">
      <c r="A72" s="128"/>
      <c r="B72" s="625" t="s">
        <v>666</v>
      </c>
      <c r="C72" s="625"/>
      <c r="D72" s="187">
        <f>SUM(D64:D71)</f>
        <v>194080267.84</v>
      </c>
      <c r="E72" s="24"/>
      <c r="F72" s="24"/>
      <c r="G72" s="24"/>
      <c r="H72" s="158"/>
      <c r="I72" s="158"/>
    </row>
    <row r="73" spans="1:9" ht="13.5" customHeight="1">
      <c r="A73" s="128"/>
      <c r="B73" s="24"/>
      <c r="C73" s="126"/>
      <c r="D73" s="27"/>
      <c r="E73" s="24"/>
      <c r="F73" s="24"/>
      <c r="G73" s="24"/>
      <c r="H73" s="158"/>
      <c r="I73" s="158"/>
    </row>
    <row r="74" spans="1:9" ht="24" customHeight="1">
      <c r="A74" s="161" t="s">
        <v>753</v>
      </c>
      <c r="C74" s="161"/>
      <c r="D74" s="150"/>
      <c r="E74" s="161"/>
      <c r="F74" s="161"/>
      <c r="G74" s="161"/>
      <c r="H74" s="158"/>
      <c r="I74" s="158"/>
    </row>
    <row r="75" spans="1:9" ht="24" customHeight="1">
      <c r="A75" s="128"/>
      <c r="B75" s="627" t="s">
        <v>1555</v>
      </c>
      <c r="C75" s="627"/>
      <c r="D75" s="195" t="s">
        <v>707</v>
      </c>
      <c r="E75" s="24"/>
      <c r="F75" s="24"/>
      <c r="G75" s="24"/>
      <c r="H75" s="158"/>
      <c r="I75" s="158"/>
    </row>
    <row r="76" spans="1:7" ht="24" customHeight="1">
      <c r="A76" s="128"/>
      <c r="B76" s="628" t="s">
        <v>715</v>
      </c>
      <c r="C76" s="628"/>
      <c r="D76" s="167">
        <f>SUM('5.WS-แผน ลน.'!F4)</f>
        <v>40621939.17</v>
      </c>
      <c r="E76" s="24"/>
      <c r="F76" s="24"/>
      <c r="G76" s="24"/>
    </row>
    <row r="77" spans="1:7" ht="24" customHeight="1">
      <c r="A77" s="128"/>
      <c r="B77" s="628" t="s">
        <v>716</v>
      </c>
      <c r="C77" s="628"/>
      <c r="D77" s="167">
        <f>SUM('5.WS-แผน ลน.'!F5)</f>
        <v>7077197.12</v>
      </c>
      <c r="E77" s="24"/>
      <c r="F77" s="24"/>
      <c r="G77" s="24"/>
    </row>
    <row r="78" spans="1:7" ht="24" customHeight="1">
      <c r="A78" s="128"/>
      <c r="B78" s="628" t="s">
        <v>717</v>
      </c>
      <c r="C78" s="628"/>
      <c r="D78" s="167">
        <f>SUM('5.WS-แผน ลน.'!F6)</f>
        <v>30385114.92</v>
      </c>
      <c r="E78" s="24"/>
      <c r="F78" s="24"/>
      <c r="G78" s="24"/>
    </row>
    <row r="79" spans="1:7" ht="24" customHeight="1">
      <c r="A79" s="128"/>
      <c r="B79" s="628" t="s">
        <v>718</v>
      </c>
      <c r="C79" s="628"/>
      <c r="D79" s="167">
        <f>SUM('5.WS-แผน ลน.'!F7)</f>
        <v>308881.18</v>
      </c>
      <c r="E79" s="24"/>
      <c r="F79" s="24"/>
      <c r="G79" s="24"/>
    </row>
    <row r="80" spans="1:7" ht="24" customHeight="1">
      <c r="A80" s="128"/>
      <c r="B80" s="628" t="s">
        <v>719</v>
      </c>
      <c r="C80" s="628"/>
      <c r="D80" s="167">
        <f>SUM('5.WS-แผน ลน.'!F8)</f>
        <v>287475</v>
      </c>
      <c r="E80" s="24"/>
      <c r="F80" s="24"/>
      <c r="G80" s="24"/>
    </row>
    <row r="81" spans="1:7" ht="24" customHeight="1">
      <c r="A81" s="128"/>
      <c r="B81" s="628" t="s">
        <v>720</v>
      </c>
      <c r="C81" s="628"/>
      <c r="D81" s="167">
        <f>SUM('5.WS-แผน ลน.'!F9)</f>
        <v>4373097.95</v>
      </c>
      <c r="E81" s="24"/>
      <c r="F81" s="24"/>
      <c r="G81" s="24"/>
    </row>
    <row r="82" spans="1:7" ht="24" customHeight="1">
      <c r="A82" s="128"/>
      <c r="B82" s="628" t="s">
        <v>721</v>
      </c>
      <c r="C82" s="628"/>
      <c r="D82" s="167">
        <f>SUM('5.WS-แผน ลน.'!F10)</f>
        <v>5013627.66</v>
      </c>
      <c r="E82" s="126"/>
      <c r="F82" s="126"/>
      <c r="G82" s="126"/>
    </row>
    <row r="83" spans="1:9" ht="24" customHeight="1">
      <c r="A83" s="128"/>
      <c r="B83" s="625" t="s">
        <v>666</v>
      </c>
      <c r="C83" s="625"/>
      <c r="D83" s="187">
        <f>SUM(D76:D82)</f>
        <v>88067333.00000001</v>
      </c>
      <c r="E83" s="24"/>
      <c r="F83" s="24"/>
      <c r="G83" s="24"/>
      <c r="H83" s="158"/>
      <c r="I83" s="158"/>
    </row>
    <row r="84" spans="1:7" ht="27.75">
      <c r="A84" s="128"/>
      <c r="B84" s="24"/>
      <c r="C84" s="126"/>
      <c r="D84" s="27"/>
      <c r="E84" s="126"/>
      <c r="F84" s="126"/>
      <c r="G84" s="126"/>
    </row>
    <row r="85" spans="1:7" ht="24">
      <c r="A85" s="161" t="s">
        <v>754</v>
      </c>
      <c r="C85" s="161"/>
      <c r="D85" s="198" t="s">
        <v>707</v>
      </c>
      <c r="E85" s="161"/>
      <c r="F85" s="161"/>
      <c r="G85" s="161"/>
    </row>
    <row r="86" spans="1:7" ht="27.75">
      <c r="A86" s="164"/>
      <c r="B86" s="628" t="s">
        <v>1556</v>
      </c>
      <c r="C86" s="628"/>
      <c r="D86" s="192">
        <f>SUM('6.WS-แผนลงทุน'!G4)</f>
        <v>35349.51</v>
      </c>
      <c r="E86" s="155"/>
      <c r="F86" s="155"/>
      <c r="G86" s="155"/>
    </row>
    <row r="87" spans="1:12" ht="27.75">
      <c r="A87" s="164"/>
      <c r="B87" s="628" t="s">
        <v>1557</v>
      </c>
      <c r="C87" s="628"/>
      <c r="D87" s="192">
        <f>SUM('6.WS-แผนลงทุน'!G5)</f>
        <v>5509163.49</v>
      </c>
      <c r="E87" s="155"/>
      <c r="F87" s="155"/>
      <c r="G87" s="155"/>
      <c r="J87" s="158"/>
      <c r="K87" s="158"/>
      <c r="L87" s="158"/>
    </row>
    <row r="88" spans="1:13" ht="27.75">
      <c r="A88" s="164"/>
      <c r="B88" s="628" t="s">
        <v>1558</v>
      </c>
      <c r="C88" s="628"/>
      <c r="D88" s="192">
        <f>SUM('6.WS-แผนลงทุน'!G6)</f>
        <v>110073400</v>
      </c>
      <c r="E88" s="155">
        <f>SUM(D87:D88)</f>
        <v>115582563.49</v>
      </c>
      <c r="F88" s="155"/>
      <c r="G88" s="155"/>
      <c r="J88" s="158"/>
      <c r="K88" s="158"/>
      <c r="L88" s="158"/>
      <c r="M88" s="150">
        <v>107308500</v>
      </c>
    </row>
    <row r="89" spans="1:13" ht="27.75">
      <c r="A89" s="128"/>
      <c r="B89" s="625" t="s">
        <v>666</v>
      </c>
      <c r="C89" s="625"/>
      <c r="D89" s="187">
        <f>SUM(D86:D88)</f>
        <v>115617913</v>
      </c>
      <c r="E89" s="126"/>
      <c r="F89" s="126"/>
      <c r="G89" s="126"/>
      <c r="J89" s="158"/>
      <c r="K89" s="158"/>
      <c r="L89" s="158"/>
      <c r="M89" s="596">
        <f>+M88-D88</f>
        <v>-2764900</v>
      </c>
    </row>
    <row r="90" spans="1:12" ht="27.75">
      <c r="A90" s="128"/>
      <c r="B90" s="126"/>
      <c r="C90" s="126"/>
      <c r="D90" s="26"/>
      <c r="E90" s="126"/>
      <c r="F90" s="126"/>
      <c r="G90" s="126"/>
      <c r="J90" s="158"/>
      <c r="K90" s="158"/>
      <c r="L90" s="158"/>
    </row>
    <row r="91" spans="1:7" ht="27.75">
      <c r="A91" s="128"/>
      <c r="B91" s="161" t="s">
        <v>755</v>
      </c>
      <c r="C91" s="161"/>
      <c r="D91" s="190" t="s">
        <v>707</v>
      </c>
      <c r="E91" s="161"/>
      <c r="F91" s="161"/>
      <c r="G91" s="161"/>
    </row>
    <row r="92" spans="1:7" ht="27.75">
      <c r="A92" s="164"/>
      <c r="B92" s="620" t="s">
        <v>793</v>
      </c>
      <c r="C92" s="620"/>
      <c r="D92" s="23">
        <f>SUM('7.WS-แผน รพ.สต.'!C19)</f>
        <v>5130000</v>
      </c>
      <c r="E92" s="24"/>
      <c r="F92" s="24"/>
      <c r="G92" s="24"/>
    </row>
    <row r="93" spans="1:7" ht="27.75">
      <c r="A93" s="164"/>
      <c r="B93" s="628" t="s">
        <v>790</v>
      </c>
      <c r="C93" s="628"/>
      <c r="D93" s="23">
        <f>SUM('7.WS-แผน รพ.สต.'!D19)</f>
        <v>9639630</v>
      </c>
      <c r="E93" s="24"/>
      <c r="F93" s="24"/>
      <c r="G93" s="24"/>
    </row>
    <row r="94" spans="1:7" ht="27.75">
      <c r="A94" s="164"/>
      <c r="B94" s="630" t="s">
        <v>788</v>
      </c>
      <c r="C94" s="630"/>
      <c r="D94" s="23">
        <f>SUM('7.WS-แผน รพ.สต.'!E19)</f>
        <v>2359168.6900000004</v>
      </c>
      <c r="E94" s="24"/>
      <c r="F94" s="24"/>
      <c r="G94" s="24"/>
    </row>
    <row r="95" spans="2:4" ht="24">
      <c r="B95" s="630" t="s">
        <v>789</v>
      </c>
      <c r="C95" s="630"/>
      <c r="D95" s="82">
        <f>SUM('7.WS-แผน รพ.สต.'!F19)</f>
        <v>0</v>
      </c>
    </row>
    <row r="96" spans="2:4" ht="24">
      <c r="B96" s="625" t="s">
        <v>666</v>
      </c>
      <c r="C96" s="625"/>
      <c r="D96" s="187">
        <f>SUM(D92:D95)</f>
        <v>17128798.69</v>
      </c>
    </row>
  </sheetData>
  <sheetProtection/>
  <mergeCells count="50">
    <mergeCell ref="B77:C77"/>
    <mergeCell ref="B80:C80"/>
    <mergeCell ref="B79:C79"/>
    <mergeCell ref="B78:C78"/>
    <mergeCell ref="B89:C89"/>
    <mergeCell ref="B92:C92"/>
    <mergeCell ref="B93:C93"/>
    <mergeCell ref="B94:C94"/>
    <mergeCell ref="B95:C95"/>
    <mergeCell ref="B96:C96"/>
    <mergeCell ref="B81:C81"/>
    <mergeCell ref="B82:C82"/>
    <mergeCell ref="B83:C83"/>
    <mergeCell ref="B86:C86"/>
    <mergeCell ref="B87:C87"/>
    <mergeCell ref="B88:C88"/>
    <mergeCell ref="B66:C66"/>
    <mergeCell ref="B70:C70"/>
    <mergeCell ref="B71:C71"/>
    <mergeCell ref="B72:C72"/>
    <mergeCell ref="B68:C68"/>
    <mergeCell ref="B69:C69"/>
    <mergeCell ref="B75:C75"/>
    <mergeCell ref="B76:C76"/>
    <mergeCell ref="B64:C64"/>
    <mergeCell ref="B65:C65"/>
    <mergeCell ref="B54:C54"/>
    <mergeCell ref="B55:C55"/>
    <mergeCell ref="B56:C56"/>
    <mergeCell ref="B57:C57"/>
    <mergeCell ref="B58:C58"/>
    <mergeCell ref="B67:C67"/>
    <mergeCell ref="B50:C50"/>
    <mergeCell ref="B51:C51"/>
    <mergeCell ref="B52:C52"/>
    <mergeCell ref="B2:D2"/>
    <mergeCell ref="B59:C59"/>
    <mergeCell ref="B63:C63"/>
    <mergeCell ref="B60:C60"/>
    <mergeCell ref="A62:D62"/>
    <mergeCell ref="G3:L3"/>
    <mergeCell ref="B53:C53"/>
    <mergeCell ref="A1:E1"/>
    <mergeCell ref="A3:E3"/>
    <mergeCell ref="A42:C42"/>
    <mergeCell ref="B43:C43"/>
    <mergeCell ref="B44:C44"/>
    <mergeCell ref="B45:C45"/>
    <mergeCell ref="B46:C46"/>
    <mergeCell ref="B49:C49"/>
  </mergeCells>
  <conditionalFormatting sqref="C33">
    <cfRule type="containsText" priority="5" dxfId="1" operator="containsText" text="สมดุล">
      <formula>NOT(ISERROR(SEARCH("สมดุล",C33)))</formula>
    </cfRule>
    <cfRule type="containsText" priority="6" dxfId="10" operator="containsText" text="ขาดดุล">
      <formula>NOT(ISERROR(SEARCH("ขาดดุล",C33)))</formula>
    </cfRule>
    <cfRule type="containsText" priority="7" dxfId="12" operator="containsText" text="เกินดุล">
      <formula>NOT(ISERROR(SEARCH("เกินดุล",C33)))</formula>
    </cfRule>
  </conditionalFormatting>
  <conditionalFormatting sqref="K5:L31">
    <cfRule type="cellIs" priority="3" dxfId="8" operator="greaterThan">
      <formula>0</formula>
    </cfRule>
    <cfRule type="cellIs" priority="4" dxfId="13" operator="lessThan">
      <formula>0</formula>
    </cfRule>
  </conditionalFormatting>
  <printOptions/>
  <pageMargins left="0.17" right="0" top="0.35" bottom="0.38" header="0.31496062992125984" footer="0.2"/>
  <pageSetup horizontalDpi="600" verticalDpi="600" orientation="portrait" paperSize="9" scale="75" r:id="rId3"/>
  <headerFooter>
    <oddFooter>&amp;LPlanfin60&amp;R&amp;P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" sqref="H13"/>
    </sheetView>
  </sheetViews>
  <sheetFormatPr defaultColWidth="9.140625" defaultRowHeight="15"/>
  <cols>
    <col min="1" max="1" width="21.421875" style="593" bestFit="1" customWidth="1"/>
    <col min="2" max="4" width="12.00390625" style="593" bestFit="1" customWidth="1"/>
    <col min="5" max="5" width="9.8515625" style="593" bestFit="1" customWidth="1"/>
    <col min="6" max="6" width="12.00390625" style="593" bestFit="1" customWidth="1"/>
    <col min="7" max="7" width="13.00390625" style="593" bestFit="1" customWidth="1"/>
    <col min="8" max="8" width="13.28125" style="585" bestFit="1" customWidth="1"/>
    <col min="9" max="9" width="12.00390625" style="585" bestFit="1" customWidth="1"/>
    <col min="10" max="10" width="14.140625" style="585" bestFit="1" customWidth="1"/>
    <col min="11" max="16384" width="9.00390625" style="585" customWidth="1"/>
  </cols>
  <sheetData>
    <row r="1" spans="1:7" ht="23.25">
      <c r="A1" s="695" t="s">
        <v>1679</v>
      </c>
      <c r="B1" s="695"/>
      <c r="C1" s="695"/>
      <c r="D1" s="695"/>
      <c r="E1" s="695"/>
      <c r="F1" s="695"/>
      <c r="G1" s="695"/>
    </row>
    <row r="2" spans="1:7" ht="23.25">
      <c r="A2" s="700" t="s">
        <v>756</v>
      </c>
      <c r="B2" s="696" t="s">
        <v>2083</v>
      </c>
      <c r="C2" s="696"/>
      <c r="D2" s="696"/>
      <c r="E2" s="696"/>
      <c r="F2" s="696"/>
      <c r="G2" s="697" t="s">
        <v>666</v>
      </c>
    </row>
    <row r="3" spans="1:7" ht="14.25" customHeight="1">
      <c r="A3" s="702"/>
      <c r="B3" s="700" t="s">
        <v>1815</v>
      </c>
      <c r="C3" s="700" t="s">
        <v>1665</v>
      </c>
      <c r="D3" s="700" t="s">
        <v>1666</v>
      </c>
      <c r="E3" s="700" t="s">
        <v>1667</v>
      </c>
      <c r="F3" s="700" t="s">
        <v>1668</v>
      </c>
      <c r="G3" s="698"/>
    </row>
    <row r="4" spans="1:7" ht="23.25" customHeight="1">
      <c r="A4" s="701"/>
      <c r="B4" s="701"/>
      <c r="C4" s="701"/>
      <c r="D4" s="701"/>
      <c r="E4" s="701"/>
      <c r="F4" s="701"/>
      <c r="G4" s="699"/>
    </row>
    <row r="5" spans="1:9" ht="23.25">
      <c r="A5" s="586" t="s">
        <v>623</v>
      </c>
      <c r="B5" s="587"/>
      <c r="C5" s="587"/>
      <c r="D5" s="587"/>
      <c r="E5" s="587">
        <v>100000</v>
      </c>
      <c r="F5" s="587">
        <v>42652734.05</v>
      </c>
      <c r="G5" s="588">
        <f>SUM(B5:F5)</f>
        <v>42752734.05</v>
      </c>
      <c r="I5" s="589"/>
    </row>
    <row r="6" spans="1:7" ht="23.25">
      <c r="A6" s="586" t="s">
        <v>1669</v>
      </c>
      <c r="B6" s="587"/>
      <c r="C6" s="587"/>
      <c r="D6" s="587"/>
      <c r="E6" s="587">
        <v>0</v>
      </c>
      <c r="F6" s="587">
        <v>1050027</v>
      </c>
      <c r="G6" s="588">
        <f aca="true" t="shared" si="0" ref="G6:G23">SUM(B6:F6)</f>
        <v>1050027</v>
      </c>
    </row>
    <row r="7" spans="1:7" ht="23.25">
      <c r="A7" s="586" t="s">
        <v>1670</v>
      </c>
      <c r="B7" s="587"/>
      <c r="C7" s="587">
        <f>6488040.28+1572900+105750+810482</f>
        <v>8977172.280000001</v>
      </c>
      <c r="D7" s="587"/>
      <c r="E7" s="587">
        <v>0</v>
      </c>
      <c r="F7" s="587">
        <v>8096365.58</v>
      </c>
      <c r="G7" s="588">
        <f t="shared" si="0"/>
        <v>17073537.86</v>
      </c>
    </row>
    <row r="8" spans="1:9" ht="23.25">
      <c r="A8" s="586" t="s">
        <v>1671</v>
      </c>
      <c r="B8" s="587"/>
      <c r="C8" s="587">
        <f>5981822+293640</f>
        <v>6275462</v>
      </c>
      <c r="D8" s="587"/>
      <c r="E8" s="587">
        <v>0</v>
      </c>
      <c r="F8" s="587"/>
      <c r="G8" s="588">
        <f t="shared" si="0"/>
        <v>6275462</v>
      </c>
      <c r="H8" s="585" t="s">
        <v>1715</v>
      </c>
      <c r="I8" s="589">
        <f>SUM(G7:G9)</f>
        <v>26711449.86</v>
      </c>
    </row>
    <row r="9" spans="1:9" ht="23.25">
      <c r="A9" s="586" t="s">
        <v>1672</v>
      </c>
      <c r="B9" s="587">
        <f>3052300+310150</f>
        <v>3362450</v>
      </c>
      <c r="C9" s="587"/>
      <c r="D9" s="587"/>
      <c r="E9" s="587">
        <v>0</v>
      </c>
      <c r="F9" s="587"/>
      <c r="G9" s="588">
        <f t="shared" si="0"/>
        <v>3362450</v>
      </c>
      <c r="H9" s="589" t="s">
        <v>2069</v>
      </c>
      <c r="I9" s="589">
        <f>+G6+G11</f>
        <v>1708027</v>
      </c>
    </row>
    <row r="10" spans="1:10" ht="24" thickBot="1">
      <c r="A10" s="586" t="s">
        <v>1673</v>
      </c>
      <c r="B10" s="587"/>
      <c r="C10" s="587">
        <v>69336</v>
      </c>
      <c r="D10" s="587">
        <f>14430664+239080</f>
        <v>14669744</v>
      </c>
      <c r="E10" s="587">
        <v>0</v>
      </c>
      <c r="F10" s="587"/>
      <c r="G10" s="588">
        <f t="shared" si="0"/>
        <v>14739080</v>
      </c>
      <c r="H10" s="585" t="s">
        <v>666</v>
      </c>
      <c r="I10" s="590">
        <f>SUM(I8:I9)</f>
        <v>28419476.86</v>
      </c>
      <c r="J10" s="589"/>
    </row>
    <row r="11" spans="1:7" ht="24" thickTop="1">
      <c r="A11" s="586" t="s">
        <v>1674</v>
      </c>
      <c r="B11" s="587"/>
      <c r="C11" s="587"/>
      <c r="D11" s="587"/>
      <c r="E11" s="587">
        <v>658000</v>
      </c>
      <c r="F11" s="587"/>
      <c r="G11" s="588">
        <f t="shared" si="0"/>
        <v>658000</v>
      </c>
    </row>
    <row r="12" spans="1:7" ht="23.25">
      <c r="A12" s="586" t="s">
        <v>624</v>
      </c>
      <c r="B12" s="587">
        <f>1362449+465000</f>
        <v>1827449</v>
      </c>
      <c r="C12" s="587"/>
      <c r="D12" s="587"/>
      <c r="E12" s="587">
        <v>0</v>
      </c>
      <c r="F12" s="587"/>
      <c r="G12" s="588">
        <f t="shared" si="0"/>
        <v>1827449</v>
      </c>
    </row>
    <row r="13" spans="1:7" ht="23.25">
      <c r="A13" s="586" t="s">
        <v>628</v>
      </c>
      <c r="B13" s="587">
        <v>27950</v>
      </c>
      <c r="C13" s="587"/>
      <c r="D13" s="587"/>
      <c r="E13" s="587">
        <v>0</v>
      </c>
      <c r="F13" s="587"/>
      <c r="G13" s="588">
        <f t="shared" si="0"/>
        <v>27950</v>
      </c>
    </row>
    <row r="14" spans="1:7" ht="23.25">
      <c r="A14" s="586" t="s">
        <v>630</v>
      </c>
      <c r="B14" s="587">
        <v>3597320</v>
      </c>
      <c r="C14" s="587"/>
      <c r="D14" s="587"/>
      <c r="E14" s="587">
        <v>0</v>
      </c>
      <c r="F14" s="587"/>
      <c r="G14" s="588">
        <f t="shared" si="0"/>
        <v>3597320</v>
      </c>
    </row>
    <row r="15" spans="1:7" ht="23.25">
      <c r="A15" s="586" t="s">
        <v>632</v>
      </c>
      <c r="B15" s="587">
        <v>1328680</v>
      </c>
      <c r="C15" s="587">
        <v>144500</v>
      </c>
      <c r="D15" s="587"/>
      <c r="E15" s="587">
        <v>200000</v>
      </c>
      <c r="F15" s="587"/>
      <c r="G15" s="588">
        <f t="shared" si="0"/>
        <v>1673180</v>
      </c>
    </row>
    <row r="16" spans="1:7" ht="23.25">
      <c r="A16" s="586" t="s">
        <v>627</v>
      </c>
      <c r="B16" s="587">
        <v>1734652</v>
      </c>
      <c r="C16" s="587"/>
      <c r="D16" s="587"/>
      <c r="E16" s="587"/>
      <c r="F16" s="587"/>
      <c r="G16" s="588">
        <f t="shared" si="0"/>
        <v>1734652</v>
      </c>
    </row>
    <row r="17" spans="1:7" ht="23.25">
      <c r="A17" s="586" t="s">
        <v>633</v>
      </c>
      <c r="B17" s="587">
        <v>1112975</v>
      </c>
      <c r="C17" s="587"/>
      <c r="D17" s="587"/>
      <c r="E17" s="587"/>
      <c r="F17" s="587"/>
      <c r="G17" s="588">
        <f t="shared" si="0"/>
        <v>1112975</v>
      </c>
    </row>
    <row r="18" spans="1:7" ht="23.25">
      <c r="A18" s="586" t="s">
        <v>629</v>
      </c>
      <c r="B18" s="587">
        <v>564180</v>
      </c>
      <c r="C18" s="587"/>
      <c r="D18" s="587"/>
      <c r="E18" s="587"/>
      <c r="F18" s="587"/>
      <c r="G18" s="588">
        <f t="shared" si="0"/>
        <v>564180</v>
      </c>
    </row>
    <row r="19" spans="1:7" ht="23.25">
      <c r="A19" s="586" t="s">
        <v>1675</v>
      </c>
      <c r="B19" s="587">
        <v>2330</v>
      </c>
      <c r="C19" s="587"/>
      <c r="D19" s="587"/>
      <c r="E19" s="587"/>
      <c r="F19" s="587"/>
      <c r="G19" s="588">
        <f t="shared" si="0"/>
        <v>2330</v>
      </c>
    </row>
    <row r="20" spans="1:7" ht="23.25">
      <c r="A20" s="586" t="s">
        <v>1676</v>
      </c>
      <c r="B20" s="587">
        <v>0</v>
      </c>
      <c r="C20" s="587"/>
      <c r="D20" s="587"/>
      <c r="E20" s="587"/>
      <c r="F20" s="587"/>
      <c r="G20" s="588">
        <f t="shared" si="0"/>
        <v>0</v>
      </c>
    </row>
    <row r="21" spans="1:7" ht="23.25">
      <c r="A21" s="586" t="s">
        <v>1677</v>
      </c>
      <c r="B21" s="587">
        <v>412100</v>
      </c>
      <c r="C21" s="587"/>
      <c r="D21" s="587"/>
      <c r="E21" s="587"/>
      <c r="F21" s="587"/>
      <c r="G21" s="588">
        <f t="shared" si="0"/>
        <v>412100</v>
      </c>
    </row>
    <row r="22" spans="1:7" ht="23.25">
      <c r="A22" s="586" t="s">
        <v>631</v>
      </c>
      <c r="B22" s="587">
        <v>3892653</v>
      </c>
      <c r="C22" s="587"/>
      <c r="D22" s="587"/>
      <c r="E22" s="587"/>
      <c r="F22" s="587"/>
      <c r="G22" s="588">
        <f t="shared" si="0"/>
        <v>3892653</v>
      </c>
    </row>
    <row r="23" spans="1:7" ht="23.25">
      <c r="A23" s="586" t="s">
        <v>1678</v>
      </c>
      <c r="B23" s="587">
        <v>2416560</v>
      </c>
      <c r="C23" s="587"/>
      <c r="D23" s="587"/>
      <c r="E23" s="587"/>
      <c r="F23" s="587"/>
      <c r="G23" s="588">
        <f t="shared" si="0"/>
        <v>2416560</v>
      </c>
    </row>
    <row r="24" spans="1:7" ht="23.25">
      <c r="A24" s="591" t="s">
        <v>666</v>
      </c>
      <c r="B24" s="592">
        <f aca="true" t="shared" si="1" ref="B24:G24">SUM(B5:B23)</f>
        <v>20279299</v>
      </c>
      <c r="C24" s="592">
        <f t="shared" si="1"/>
        <v>15466470.280000001</v>
      </c>
      <c r="D24" s="592">
        <f t="shared" si="1"/>
        <v>14669744</v>
      </c>
      <c r="E24" s="592">
        <f t="shared" si="1"/>
        <v>958000</v>
      </c>
      <c r="F24" s="592">
        <f t="shared" si="1"/>
        <v>51799126.629999995</v>
      </c>
      <c r="G24" s="588">
        <f t="shared" si="1"/>
        <v>103172639.91</v>
      </c>
    </row>
    <row r="26" ht="23.25">
      <c r="B26" s="594"/>
    </row>
    <row r="30" spans="4:6" ht="23.25">
      <c r="D30" s="595"/>
      <c r="E30" s="595"/>
      <c r="F30" s="595"/>
    </row>
  </sheetData>
  <sheetProtection/>
  <mergeCells count="9">
    <mergeCell ref="A1:G1"/>
    <mergeCell ref="B2:F2"/>
    <mergeCell ref="G2:G4"/>
    <mergeCell ref="B3:B4"/>
    <mergeCell ref="C3:C4"/>
    <mergeCell ref="D3:D4"/>
    <mergeCell ref="E3:E4"/>
    <mergeCell ref="F3:F4"/>
    <mergeCell ref="A2:A4"/>
  </mergeCells>
  <printOptions/>
  <pageMargins left="0.2755905511811024" right="0.1968503937007874" top="0.7480314960629921" bottom="0.7480314960629921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"/>
  <dimension ref="A1:D73"/>
  <sheetViews>
    <sheetView zoomScalePageLayoutView="0" workbookViewId="0" topLeftCell="A28">
      <selection activeCell="I41" sqref="I41"/>
    </sheetView>
  </sheetViews>
  <sheetFormatPr defaultColWidth="9.140625" defaultRowHeight="15"/>
  <cols>
    <col min="1" max="1" width="29.421875" style="0" customWidth="1"/>
    <col min="2" max="2" width="26.421875" style="0" customWidth="1"/>
  </cols>
  <sheetData>
    <row r="1" ht="14.25">
      <c r="A1" t="s">
        <v>1626</v>
      </c>
    </row>
    <row r="2" spans="1:4" ht="42.75">
      <c r="A2" s="703"/>
      <c r="B2" s="377" t="s">
        <v>1735</v>
      </c>
      <c r="C2" s="377" t="s">
        <v>1735</v>
      </c>
      <c r="D2" s="377" t="s">
        <v>1738</v>
      </c>
    </row>
    <row r="3" spans="1:4" ht="42.75">
      <c r="A3" s="703"/>
      <c r="B3" s="377" t="s">
        <v>1736</v>
      </c>
      <c r="C3" s="377" t="s">
        <v>1737</v>
      </c>
      <c r="D3" s="377" t="s">
        <v>1739</v>
      </c>
    </row>
    <row r="4" spans="1:4" ht="42.75">
      <c r="A4" s="703"/>
      <c r="B4" s="377"/>
      <c r="C4" s="377"/>
      <c r="D4" s="377" t="s">
        <v>1740</v>
      </c>
    </row>
    <row r="5" spans="1:4" ht="14.25">
      <c r="A5" s="379" t="s">
        <v>1741</v>
      </c>
      <c r="B5" s="380"/>
      <c r="C5" s="380"/>
      <c r="D5" s="380"/>
    </row>
    <row r="6" spans="1:4" ht="14.25">
      <c r="A6" s="378" t="s">
        <v>1</v>
      </c>
      <c r="B6" s="381">
        <v>118822021.72</v>
      </c>
      <c r="C6" s="382">
        <v>0</v>
      </c>
      <c r="D6" s="382">
        <v>0</v>
      </c>
    </row>
    <row r="7" spans="1:4" ht="14.25">
      <c r="A7" s="378" t="s">
        <v>1742</v>
      </c>
      <c r="B7" s="381">
        <v>208066.66</v>
      </c>
      <c r="C7" s="382">
        <v>0</v>
      </c>
      <c r="D7" s="382">
        <v>0</v>
      </c>
    </row>
    <row r="8" spans="1:4" ht="14.25">
      <c r="A8" s="378" t="s">
        <v>5</v>
      </c>
      <c r="B8" s="381">
        <v>679813.33</v>
      </c>
      <c r="C8" s="382">
        <v>0</v>
      </c>
      <c r="D8" s="382">
        <v>0</v>
      </c>
    </row>
    <row r="9" spans="1:4" ht="14.25">
      <c r="A9" s="378" t="s">
        <v>731</v>
      </c>
      <c r="B9" s="381">
        <v>3772288.46</v>
      </c>
      <c r="C9" s="382">
        <v>0</v>
      </c>
      <c r="D9" s="382">
        <v>0</v>
      </c>
    </row>
    <row r="10" spans="1:4" ht="28.5">
      <c r="A10" s="378" t="s">
        <v>7</v>
      </c>
      <c r="B10" s="381">
        <v>29292590.85</v>
      </c>
      <c r="C10" s="382">
        <v>0</v>
      </c>
      <c r="D10" s="382">
        <v>0</v>
      </c>
    </row>
    <row r="11" spans="1:4" ht="14.25">
      <c r="A11" s="378" t="s">
        <v>9</v>
      </c>
      <c r="B11" s="381">
        <v>6035900.69</v>
      </c>
      <c r="C11" s="382">
        <v>0</v>
      </c>
      <c r="D11" s="382">
        <v>0</v>
      </c>
    </row>
    <row r="12" spans="1:4" ht="14.25">
      <c r="A12" s="378" t="s">
        <v>11</v>
      </c>
      <c r="B12" s="381">
        <v>3273912.05</v>
      </c>
      <c r="C12" s="382">
        <v>0</v>
      </c>
      <c r="D12" s="382">
        <v>0</v>
      </c>
    </row>
    <row r="13" spans="1:4" ht="14.25">
      <c r="A13" s="378" t="s">
        <v>13</v>
      </c>
      <c r="B13" s="381">
        <v>40384617.51</v>
      </c>
      <c r="C13" s="382">
        <v>0</v>
      </c>
      <c r="D13" s="382">
        <v>0</v>
      </c>
    </row>
    <row r="14" spans="1:4" ht="14.25">
      <c r="A14" s="378" t="s">
        <v>15</v>
      </c>
      <c r="B14" s="381">
        <v>74673498.76</v>
      </c>
      <c r="C14" s="382">
        <v>0</v>
      </c>
      <c r="D14" s="382">
        <v>0</v>
      </c>
    </row>
    <row r="15" spans="1:4" ht="14.25">
      <c r="A15" s="378" t="s">
        <v>17</v>
      </c>
      <c r="B15" s="381">
        <v>10605545.44</v>
      </c>
      <c r="C15" s="382">
        <v>0</v>
      </c>
      <c r="D15" s="382">
        <v>0</v>
      </c>
    </row>
    <row r="16" spans="1:4" ht="14.25">
      <c r="A16" s="378" t="s">
        <v>690</v>
      </c>
      <c r="B16" s="381">
        <v>11408758.76</v>
      </c>
      <c r="C16" s="382">
        <v>0</v>
      </c>
      <c r="D16" s="382">
        <v>0</v>
      </c>
    </row>
    <row r="17" spans="1:4" ht="14.25">
      <c r="A17" s="379" t="s">
        <v>676</v>
      </c>
      <c r="B17" s="383">
        <v>299157014.23</v>
      </c>
      <c r="C17" s="380">
        <v>0</v>
      </c>
      <c r="D17" s="380">
        <v>0</v>
      </c>
    </row>
    <row r="18" spans="1:4" ht="14.25">
      <c r="A18" s="378" t="s">
        <v>20</v>
      </c>
      <c r="B18" s="381">
        <v>30794360.37</v>
      </c>
      <c r="C18" s="382">
        <v>0</v>
      </c>
      <c r="D18" s="382">
        <v>0</v>
      </c>
    </row>
    <row r="19" spans="1:4" ht="28.5">
      <c r="A19" s="378" t="s">
        <v>22</v>
      </c>
      <c r="B19" s="381">
        <v>13343535.22</v>
      </c>
      <c r="C19" s="382">
        <v>0</v>
      </c>
      <c r="D19" s="382">
        <v>0</v>
      </c>
    </row>
    <row r="20" spans="1:4" ht="14.25">
      <c r="A20" s="378" t="s">
        <v>733</v>
      </c>
      <c r="B20" s="381">
        <v>555182.66</v>
      </c>
      <c r="C20" s="382">
        <v>0</v>
      </c>
      <c r="D20" s="382">
        <v>0</v>
      </c>
    </row>
    <row r="21" spans="1:4" ht="14.25">
      <c r="A21" s="378" t="s">
        <v>24</v>
      </c>
      <c r="B21" s="381">
        <v>14895565.52</v>
      </c>
      <c r="C21" s="382">
        <v>0</v>
      </c>
      <c r="D21" s="382">
        <v>0</v>
      </c>
    </row>
    <row r="22" spans="1:4" ht="14.25">
      <c r="A22" s="378" t="s">
        <v>26</v>
      </c>
      <c r="B22" s="381">
        <v>74679220.33</v>
      </c>
      <c r="C22" s="382">
        <v>0</v>
      </c>
      <c r="D22" s="382">
        <v>0</v>
      </c>
    </row>
    <row r="23" spans="1:4" ht="14.25">
      <c r="A23" s="378" t="s">
        <v>28</v>
      </c>
      <c r="B23" s="381">
        <v>22814993.25</v>
      </c>
      <c r="C23" s="382">
        <v>0</v>
      </c>
      <c r="D23" s="382">
        <v>0</v>
      </c>
    </row>
    <row r="24" spans="1:4" ht="14.25">
      <c r="A24" s="378" t="s">
        <v>30</v>
      </c>
      <c r="B24" s="381">
        <v>43064250.64</v>
      </c>
      <c r="C24" s="382">
        <v>0</v>
      </c>
      <c r="D24" s="382">
        <v>0</v>
      </c>
    </row>
    <row r="25" spans="1:4" ht="14.25">
      <c r="A25" s="378" t="s">
        <v>657</v>
      </c>
      <c r="B25" s="381">
        <v>4151650.92</v>
      </c>
      <c r="C25" s="382">
        <v>0</v>
      </c>
      <c r="D25" s="382">
        <v>0</v>
      </c>
    </row>
    <row r="26" spans="1:4" ht="14.25">
      <c r="A26" s="378" t="s">
        <v>34</v>
      </c>
      <c r="B26" s="381">
        <v>25240788.49</v>
      </c>
      <c r="C26" s="382">
        <v>0</v>
      </c>
      <c r="D26" s="382">
        <v>0</v>
      </c>
    </row>
    <row r="27" spans="1:4" ht="14.25">
      <c r="A27" s="378" t="s">
        <v>648</v>
      </c>
      <c r="B27" s="381">
        <v>8226674.31</v>
      </c>
      <c r="C27" s="382">
        <v>0</v>
      </c>
      <c r="D27" s="382">
        <v>0</v>
      </c>
    </row>
    <row r="28" spans="1:4" ht="14.25">
      <c r="A28" s="378" t="s">
        <v>646</v>
      </c>
      <c r="B28" s="381">
        <v>8826690.54</v>
      </c>
      <c r="C28" s="382">
        <v>0</v>
      </c>
      <c r="D28" s="382">
        <v>0</v>
      </c>
    </row>
    <row r="29" spans="1:4" ht="14.25">
      <c r="A29" s="378" t="s">
        <v>40</v>
      </c>
      <c r="B29" s="381">
        <v>35332635.25</v>
      </c>
      <c r="C29" s="382">
        <v>0</v>
      </c>
      <c r="D29" s="382">
        <v>0</v>
      </c>
    </row>
    <row r="30" spans="1:4" ht="14.25">
      <c r="A30" s="378" t="s">
        <v>735</v>
      </c>
      <c r="B30" s="381">
        <v>3847626.65</v>
      </c>
      <c r="C30" s="382">
        <v>0</v>
      </c>
      <c r="D30" s="382">
        <v>0</v>
      </c>
    </row>
    <row r="31" spans="1:4" ht="14.25">
      <c r="A31" s="378" t="s">
        <v>42</v>
      </c>
      <c r="B31" s="381">
        <v>15098098.89</v>
      </c>
      <c r="C31" s="382">
        <v>0</v>
      </c>
      <c r="D31" s="382">
        <v>0</v>
      </c>
    </row>
    <row r="32" spans="1:4" ht="14.25">
      <c r="A32" s="379" t="s">
        <v>698</v>
      </c>
      <c r="B32" s="383">
        <v>300871273.04</v>
      </c>
      <c r="C32" s="380">
        <v>0</v>
      </c>
      <c r="D32" s="380">
        <v>0</v>
      </c>
    </row>
    <row r="33" spans="1:4" ht="14.25">
      <c r="A33" s="379" t="s">
        <v>1743</v>
      </c>
      <c r="B33" s="384">
        <v>-1714258.81</v>
      </c>
      <c r="C33" s="380">
        <v>0</v>
      </c>
      <c r="D33" s="380">
        <v>0</v>
      </c>
    </row>
    <row r="34" spans="1:4" ht="28.5">
      <c r="A34" s="378" t="s">
        <v>728</v>
      </c>
      <c r="B34" s="382" t="s">
        <v>1744</v>
      </c>
      <c r="C34" s="382">
        <v>0</v>
      </c>
      <c r="D34" s="382" t="s">
        <v>1744</v>
      </c>
    </row>
    <row r="35" spans="1:4" ht="14.25">
      <c r="A35" s="378" t="s">
        <v>730</v>
      </c>
      <c r="B35" s="382" t="s">
        <v>1745</v>
      </c>
      <c r="C35" s="382">
        <v>0</v>
      </c>
      <c r="D35" s="382" t="s">
        <v>1744</v>
      </c>
    </row>
    <row r="36" spans="1:4" ht="28.5">
      <c r="A36" s="378" t="s">
        <v>1575</v>
      </c>
      <c r="B36" s="382">
        <v>0</v>
      </c>
      <c r="C36" s="382">
        <v>0</v>
      </c>
      <c r="D36" s="382" t="s">
        <v>1744</v>
      </c>
    </row>
    <row r="37" spans="1:4" ht="28.5">
      <c r="A37" s="378" t="s">
        <v>1746</v>
      </c>
      <c r="B37" s="382" t="s">
        <v>1747</v>
      </c>
      <c r="C37" s="382">
        <v>0</v>
      </c>
      <c r="D37" s="382" t="s">
        <v>1744</v>
      </c>
    </row>
    <row r="38" spans="1:4" ht="28.5">
      <c r="A38" s="378" t="s">
        <v>1748</v>
      </c>
      <c r="B38" s="381">
        <v>9788815.85</v>
      </c>
      <c r="C38" s="382" t="s">
        <v>1744</v>
      </c>
      <c r="D38" s="382" t="s">
        <v>1744</v>
      </c>
    </row>
    <row r="39" spans="1:4" ht="14.25">
      <c r="A39" s="378" t="s">
        <v>1749</v>
      </c>
      <c r="B39" s="381">
        <v>27585723.7</v>
      </c>
      <c r="C39" s="382" t="s">
        <v>1744</v>
      </c>
      <c r="D39" s="382" t="s">
        <v>1744</v>
      </c>
    </row>
    <row r="40" spans="1:4" ht="14.25">
      <c r="A40" s="378" t="s">
        <v>1750</v>
      </c>
      <c r="B40" s="381">
        <v>55490385.63</v>
      </c>
      <c r="C40" s="382" t="s">
        <v>1744</v>
      </c>
      <c r="D40" s="382" t="s">
        <v>1744</v>
      </c>
    </row>
    <row r="42" ht="14.25">
      <c r="A42" t="s">
        <v>1751</v>
      </c>
    </row>
    <row r="43" spans="1:2" ht="14.25">
      <c r="A43" s="377"/>
      <c r="B43" s="377" t="s">
        <v>1553</v>
      </c>
    </row>
    <row r="44" spans="1:2" ht="15">
      <c r="A44" s="378" t="s">
        <v>1752</v>
      </c>
      <c r="B44" s="382"/>
    </row>
    <row r="45" spans="1:2" ht="42.75">
      <c r="A45" s="378" t="s">
        <v>1753</v>
      </c>
      <c r="B45" s="382"/>
    </row>
    <row r="46" spans="1:2" ht="42.75">
      <c r="A46" s="378" t="s">
        <v>1754</v>
      </c>
      <c r="B46" s="382"/>
    </row>
    <row r="48" ht="14.25">
      <c r="A48" t="s">
        <v>1755</v>
      </c>
    </row>
    <row r="49" spans="1:2" ht="14.25">
      <c r="A49" s="377"/>
      <c r="B49" s="377" t="s">
        <v>1553</v>
      </c>
    </row>
    <row r="50" spans="1:2" ht="15">
      <c r="A50" s="378" t="s">
        <v>624</v>
      </c>
      <c r="B50" s="382"/>
    </row>
    <row r="51" spans="1:2" ht="15">
      <c r="A51" s="378" t="s">
        <v>625</v>
      </c>
      <c r="B51" s="382"/>
    </row>
    <row r="52" spans="1:2" ht="28.5">
      <c r="A52" s="378" t="s">
        <v>626</v>
      </c>
      <c r="B52" s="382"/>
    </row>
    <row r="53" spans="1:2" ht="15">
      <c r="A53" s="378" t="s">
        <v>627</v>
      </c>
      <c r="B53" s="382"/>
    </row>
    <row r="54" spans="1:2" ht="15">
      <c r="A54" s="378" t="s">
        <v>628</v>
      </c>
      <c r="B54" s="382"/>
    </row>
    <row r="55" spans="1:2" ht="15">
      <c r="A55" s="378" t="s">
        <v>629</v>
      </c>
      <c r="B55" s="382"/>
    </row>
    <row r="56" spans="1:2" ht="15">
      <c r="A56" s="378" t="s">
        <v>630</v>
      </c>
      <c r="B56" s="382"/>
    </row>
    <row r="57" spans="1:2" ht="15">
      <c r="A57" s="378" t="s">
        <v>631</v>
      </c>
      <c r="B57" s="382"/>
    </row>
    <row r="58" spans="1:2" ht="15">
      <c r="A58" s="378" t="s">
        <v>632</v>
      </c>
      <c r="B58" s="382"/>
    </row>
    <row r="59" spans="1:2" ht="15">
      <c r="A59" s="378" t="s">
        <v>633</v>
      </c>
      <c r="B59" s="382"/>
    </row>
    <row r="60" spans="1:2" ht="15">
      <c r="A60" s="378" t="s">
        <v>634</v>
      </c>
      <c r="B60" s="382"/>
    </row>
    <row r="62" ht="14.25">
      <c r="A62" t="s">
        <v>752</v>
      </c>
    </row>
    <row r="63" spans="1:2" ht="14.25">
      <c r="A63" s="377"/>
      <c r="B63" s="377" t="s">
        <v>707</v>
      </c>
    </row>
    <row r="64" spans="1:2" ht="14.25" customHeight="1">
      <c r="A64" s="704" t="s">
        <v>1756</v>
      </c>
      <c r="B64" s="704"/>
    </row>
    <row r="65" spans="1:2" ht="14.25">
      <c r="A65" s="378" t="s">
        <v>1554</v>
      </c>
      <c r="B65" s="380">
        <v>0</v>
      </c>
    </row>
    <row r="66" spans="1:2" ht="15">
      <c r="A66" s="378" t="s">
        <v>1757</v>
      </c>
      <c r="B66" s="382"/>
    </row>
    <row r="67" spans="1:2" ht="15">
      <c r="A67" s="378" t="s">
        <v>1758</v>
      </c>
      <c r="B67" s="382"/>
    </row>
    <row r="68" spans="1:2" ht="15">
      <c r="A68" s="378" t="s">
        <v>1759</v>
      </c>
      <c r="B68" s="382"/>
    </row>
    <row r="69" spans="1:2" ht="15">
      <c r="A69" s="378" t="s">
        <v>1760</v>
      </c>
      <c r="B69" s="382"/>
    </row>
    <row r="70" spans="1:2" ht="28.5">
      <c r="A70" s="378" t="s">
        <v>1761</v>
      </c>
      <c r="B70" s="382"/>
    </row>
    <row r="71" spans="1:2" ht="28.5">
      <c r="A71" s="378" t="s">
        <v>1762</v>
      </c>
      <c r="B71" s="382"/>
    </row>
    <row r="72" spans="1:2" ht="15">
      <c r="A72" s="378" t="s">
        <v>1763</v>
      </c>
      <c r="B72" s="382"/>
    </row>
    <row r="73" spans="1:2" ht="19.5">
      <c r="A73" s="385" t="s">
        <v>1764</v>
      </c>
      <c r="B73" s="376"/>
    </row>
  </sheetData>
  <sheetProtection/>
  <mergeCells count="2">
    <mergeCell ref="A2:A4"/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C1:K56"/>
  <sheetViews>
    <sheetView zoomScale="90" zoomScaleNormal="90" zoomScalePageLayoutView="0" workbookViewId="0" topLeftCell="A43">
      <selection activeCell="G8" sqref="G8"/>
    </sheetView>
  </sheetViews>
  <sheetFormatPr defaultColWidth="9.140625" defaultRowHeight="15"/>
  <cols>
    <col min="1" max="1" width="2.140625" style="1" customWidth="1"/>
    <col min="2" max="2" width="3.140625" style="1" customWidth="1"/>
    <col min="3" max="3" width="10.8515625" style="3" customWidth="1"/>
    <col min="4" max="4" width="55.57421875" style="1" customWidth="1"/>
    <col min="5" max="5" width="15.421875" style="1" customWidth="1"/>
    <col min="6" max="6" width="15.00390625" style="1" customWidth="1"/>
    <col min="7" max="7" width="18.28125" style="1" customWidth="1"/>
    <col min="8" max="9" width="9.00390625" style="1" customWidth="1"/>
    <col min="10" max="10" width="18.00390625" style="39" customWidth="1"/>
    <col min="11" max="11" width="11.7109375" style="1" bestFit="1" customWidth="1"/>
    <col min="12" max="16384" width="9.00390625" style="1" customWidth="1"/>
  </cols>
  <sheetData>
    <row r="1" spans="3:7" ht="30.75">
      <c r="C1" s="42"/>
      <c r="D1" s="83" t="s">
        <v>742</v>
      </c>
      <c r="E1" s="631">
        <v>2561</v>
      </c>
      <c r="F1" s="632"/>
      <c r="G1" s="633"/>
    </row>
    <row r="2" spans="3:10" s="4" customFormat="1" ht="53.25" customHeight="1">
      <c r="C2" s="43">
        <v>1</v>
      </c>
      <c r="D2" s="44" t="s">
        <v>637</v>
      </c>
      <c r="E2" s="5" t="s">
        <v>641</v>
      </c>
      <c r="F2" s="34" t="s">
        <v>643</v>
      </c>
      <c r="G2" s="49" t="s">
        <v>642</v>
      </c>
      <c r="J2" s="40"/>
    </row>
    <row r="3" spans="3:7" ht="24">
      <c r="C3" s="50">
        <v>41010</v>
      </c>
      <c r="D3" s="51" t="s">
        <v>1</v>
      </c>
      <c r="E3" s="32">
        <v>197179</v>
      </c>
      <c r="F3" s="6">
        <f>G3/E3</f>
        <v>350.31121090892196</v>
      </c>
      <c r="G3" s="52">
        <f>SUMIF('1.WS-Re-Exp'!$E$3:$E$599,Revenue!C3,'1.WS-Re-Exp'!$C$3:$C$599)</f>
        <v>69074014.25581032</v>
      </c>
    </row>
    <row r="4" spans="3:8" ht="24">
      <c r="C4" s="50">
        <v>41020</v>
      </c>
      <c r="D4" s="51" t="s">
        <v>5</v>
      </c>
      <c r="E4" s="33"/>
      <c r="F4" s="7" t="e">
        <f aca="true" t="shared" si="0" ref="F4:F10">G4/E4</f>
        <v>#DIV/0!</v>
      </c>
      <c r="G4" s="53">
        <f>SUMIF('1.WS-Re-Exp'!$E$3:$E$599,Revenue!C4,'1.WS-Re-Exp'!$C$3:$C$599)</f>
        <v>0</v>
      </c>
      <c r="H4" s="1">
        <v>1</v>
      </c>
    </row>
    <row r="5" spans="3:7" ht="24">
      <c r="C5" s="50">
        <v>41030</v>
      </c>
      <c r="D5" s="51" t="s">
        <v>679</v>
      </c>
      <c r="E5" s="33">
        <v>2084</v>
      </c>
      <c r="F5" s="7">
        <f t="shared" si="0"/>
        <v>1097.2637332053744</v>
      </c>
      <c r="G5" s="53">
        <f>SUMIF('1.WS-Re-Exp'!$E$3:$E$599,Revenue!C5,'1.WS-Re-Exp'!$C$3:$C$599)</f>
        <v>2286697.62</v>
      </c>
    </row>
    <row r="6" spans="3:7" ht="24">
      <c r="C6" s="50">
        <v>41040</v>
      </c>
      <c r="D6" s="51" t="s">
        <v>7</v>
      </c>
      <c r="E6" s="33">
        <v>25814</v>
      </c>
      <c r="F6" s="7">
        <f t="shared" si="0"/>
        <v>745.3370372665995</v>
      </c>
      <c r="G6" s="53">
        <f>SUMIF('1.WS-Re-Exp'!$E$3:$E$599,Revenue!C6,'1.WS-Re-Exp'!$C$3:$C$599)</f>
        <v>19240130.28</v>
      </c>
    </row>
    <row r="7" spans="3:7" ht="24">
      <c r="C7" s="50">
        <v>41050</v>
      </c>
      <c r="D7" s="51" t="s">
        <v>9</v>
      </c>
      <c r="E7" s="33">
        <v>15260</v>
      </c>
      <c r="F7" s="7">
        <f t="shared" si="0"/>
        <v>347.384120576671</v>
      </c>
      <c r="G7" s="53">
        <f>SUMIF('1.WS-Re-Exp'!$E$3:$E$599,Revenue!C7,'1.WS-Re-Exp'!$C$3:$C$599)</f>
        <v>5301081.68</v>
      </c>
    </row>
    <row r="8" spans="3:7" ht="24">
      <c r="C8" s="50">
        <v>41060</v>
      </c>
      <c r="D8" s="51" t="s">
        <v>11</v>
      </c>
      <c r="E8" s="33">
        <v>2510</v>
      </c>
      <c r="F8" s="7">
        <f t="shared" si="0"/>
        <v>625.2640876494024</v>
      </c>
      <c r="G8" s="53">
        <f>SUMIF('1.WS-Re-Exp'!$E$3:$E$599,Revenue!C8,'1.WS-Re-Exp'!$C$3:$C$599)</f>
        <v>1569412.86</v>
      </c>
    </row>
    <row r="9" spans="3:7" ht="24">
      <c r="C9" s="50">
        <v>41070</v>
      </c>
      <c r="D9" s="51" t="s">
        <v>13</v>
      </c>
      <c r="E9" s="33">
        <v>23335</v>
      </c>
      <c r="F9" s="7">
        <f t="shared" si="0"/>
        <v>643.2926676665952</v>
      </c>
      <c r="G9" s="53">
        <f>SUMIF('1.WS-Re-Exp'!$E$3:$E$599,Revenue!C9,'1.WS-Re-Exp'!$C$3:$C$599)</f>
        <v>15011234.399999999</v>
      </c>
    </row>
    <row r="10" spans="3:7" ht="24">
      <c r="C10" s="50">
        <v>41111</v>
      </c>
      <c r="D10" s="18" t="s">
        <v>677</v>
      </c>
      <c r="E10" s="35">
        <f>SUM(E3:E9)</f>
        <v>266182</v>
      </c>
      <c r="F10" s="7">
        <f t="shared" si="0"/>
        <v>422.5776765363936</v>
      </c>
      <c r="G10" s="54">
        <f>SUM(G3:G9)</f>
        <v>112482571.09581032</v>
      </c>
    </row>
    <row r="11" spans="3:7" ht="24">
      <c r="C11" s="45">
        <v>2</v>
      </c>
      <c r="D11" s="46" t="s">
        <v>740</v>
      </c>
      <c r="E11" s="15" t="s">
        <v>791</v>
      </c>
      <c r="F11" s="36" t="s">
        <v>640</v>
      </c>
      <c r="G11" s="55" t="s">
        <v>741</v>
      </c>
    </row>
    <row r="12" spans="3:7" ht="24">
      <c r="C12" s="50">
        <v>42010</v>
      </c>
      <c r="D12" s="51" t="s">
        <v>1</v>
      </c>
      <c r="E12" s="410">
        <v>8861</v>
      </c>
      <c r="F12" s="7">
        <f aca="true" t="shared" si="1" ref="F12:F19">G12/E12</f>
        <v>9078.737086107663</v>
      </c>
      <c r="G12" s="53">
        <f>SUMIF('1.WS-Re-Exp'!$E$3:$E$599,Revenue!C12,'1.WS-Re-Exp'!$C$3:$C$599)</f>
        <v>80446689.32000001</v>
      </c>
    </row>
    <row r="13" spans="3:8" ht="24">
      <c r="C13" s="50">
        <v>42020</v>
      </c>
      <c r="D13" s="51" t="s">
        <v>5</v>
      </c>
      <c r="E13" s="410">
        <v>32.6198</v>
      </c>
      <c r="F13" s="7">
        <f t="shared" si="1"/>
        <v>21882.537599862662</v>
      </c>
      <c r="G13" s="53">
        <f>SUMIF('1.WS-Re-Exp'!$E$3:$E$599,Revenue!C13,'1.WS-Re-Exp'!$C$3:$C$599)</f>
        <v>713804</v>
      </c>
      <c r="H13" s="1">
        <v>2</v>
      </c>
    </row>
    <row r="14" spans="3:7" ht="24">
      <c r="C14" s="50">
        <v>42030</v>
      </c>
      <c r="D14" s="51" t="s">
        <v>679</v>
      </c>
      <c r="E14" s="410">
        <v>173.0773</v>
      </c>
      <c r="F14" s="7">
        <f t="shared" si="1"/>
        <v>9263.029871623836</v>
      </c>
      <c r="G14" s="53">
        <f>SUMIF('1.WS-Re-Exp'!$E$3:$E$599,Revenue!C14,'1.WS-Re-Exp'!$C$3:$C$599)</f>
        <v>1603220.2000000002</v>
      </c>
    </row>
    <row r="15" spans="3:7" ht="24">
      <c r="C15" s="50">
        <v>42040</v>
      </c>
      <c r="D15" s="51" t="s">
        <v>7</v>
      </c>
      <c r="E15" s="410">
        <v>798.967</v>
      </c>
      <c r="F15" s="7">
        <f t="shared" si="1"/>
        <v>14462.38476683017</v>
      </c>
      <c r="G15" s="53">
        <f>SUMIF('1.WS-Re-Exp'!$E$3:$E$599,Revenue!C15,'1.WS-Re-Exp'!$C$3:$C$599)</f>
        <v>11554968.17</v>
      </c>
    </row>
    <row r="16" spans="3:7" ht="24">
      <c r="C16" s="50">
        <v>42050</v>
      </c>
      <c r="D16" s="51" t="s">
        <v>9</v>
      </c>
      <c r="E16" s="410">
        <v>517.99</v>
      </c>
      <c r="F16" s="7">
        <f t="shared" si="1"/>
        <v>6062.919747485472</v>
      </c>
      <c r="G16" s="53">
        <f>SUMIF('1.WS-Re-Exp'!$E$3:$E$599,Revenue!C16,'1.WS-Re-Exp'!$C$3:$C$599)</f>
        <v>3140531.8</v>
      </c>
    </row>
    <row r="17" spans="3:7" ht="24">
      <c r="C17" s="50">
        <v>42060</v>
      </c>
      <c r="D17" s="51" t="s">
        <v>11</v>
      </c>
      <c r="E17" s="410">
        <v>42.938</v>
      </c>
      <c r="F17" s="7">
        <f t="shared" si="1"/>
        <v>16914.281755088734</v>
      </c>
      <c r="G17" s="53">
        <f>SUMIF('1.WS-Re-Exp'!$E$3:$E$599,Revenue!C17,'1.WS-Re-Exp'!$C$3:$C$599)</f>
        <v>726265.43</v>
      </c>
    </row>
    <row r="18" spans="3:7" ht="24">
      <c r="C18" s="50">
        <v>42070</v>
      </c>
      <c r="D18" s="51" t="s">
        <v>13</v>
      </c>
      <c r="E18" s="410">
        <v>1668.74</v>
      </c>
      <c r="F18" s="7">
        <f t="shared" si="1"/>
        <v>12637.453407960496</v>
      </c>
      <c r="G18" s="53">
        <f>SUMIF('1.WS-Re-Exp'!$E$3:$E$599,Revenue!C18,'1.WS-Re-Exp'!$C$3:$C$599)</f>
        <v>21088624</v>
      </c>
    </row>
    <row r="19" spans="3:7" ht="24">
      <c r="C19" s="50">
        <v>42222</v>
      </c>
      <c r="D19" s="18" t="s">
        <v>678</v>
      </c>
      <c r="E19" s="14">
        <f>SUM(E12:E18)</f>
        <v>12095.332100000001</v>
      </c>
      <c r="F19" s="8">
        <f t="shared" si="1"/>
        <v>9861.168088142036</v>
      </c>
      <c r="G19" s="54">
        <f>SUM(G12:G18)</f>
        <v>119274102.92000002</v>
      </c>
    </row>
    <row r="20" spans="3:7" ht="24">
      <c r="C20" s="45">
        <v>3</v>
      </c>
      <c r="D20" s="46" t="s">
        <v>664</v>
      </c>
      <c r="E20" s="9"/>
      <c r="F20" s="8"/>
      <c r="G20" s="53"/>
    </row>
    <row r="21" spans="3:7" ht="24">
      <c r="C21" s="50">
        <v>43010</v>
      </c>
      <c r="D21" s="51" t="s">
        <v>1</v>
      </c>
      <c r="E21" s="9"/>
      <c r="F21" s="8"/>
      <c r="G21" s="53">
        <f>SUMIF('1.WS-Re-Exp'!$E$3:$E$599,Revenue!C21,'1.WS-Re-Exp'!$C$3:$C$599)</f>
        <v>17373009.84</v>
      </c>
    </row>
    <row r="22" spans="3:8" ht="24">
      <c r="C22" s="50">
        <v>43020</v>
      </c>
      <c r="D22" s="56" t="s">
        <v>7</v>
      </c>
      <c r="E22" s="9"/>
      <c r="F22" s="8"/>
      <c r="G22" s="53">
        <f>SUMIF('1.WS-Re-Exp'!$E$3:$E$599,Revenue!C22,'1.WS-Re-Exp'!$C$3:$C$599)</f>
        <v>0</v>
      </c>
      <c r="H22" s="1">
        <v>3</v>
      </c>
    </row>
    <row r="23" spans="3:7" ht="24">
      <c r="C23" s="50">
        <v>43030</v>
      </c>
      <c r="D23" s="51" t="s">
        <v>9</v>
      </c>
      <c r="E23" s="9"/>
      <c r="F23" s="8"/>
      <c r="G23" s="53">
        <f>SUMIF('1.WS-Re-Exp'!$E$3:$E$599,Revenue!C23,'1.WS-Re-Exp'!$C$3:$C$599)</f>
        <v>69213</v>
      </c>
    </row>
    <row r="24" spans="3:7" ht="24">
      <c r="C24" s="50">
        <v>43040</v>
      </c>
      <c r="D24" s="51" t="s">
        <v>11</v>
      </c>
      <c r="E24" s="9"/>
      <c r="F24" s="8"/>
      <c r="G24" s="53">
        <f>SUMIF('1.WS-Re-Exp'!$E$3:$E$599,Revenue!C24,'1.WS-Re-Exp'!$C$3:$C$599)</f>
        <v>3200000</v>
      </c>
    </row>
    <row r="25" spans="3:7" ht="24">
      <c r="C25" s="50">
        <v>43050</v>
      </c>
      <c r="D25" s="51" t="s">
        <v>13</v>
      </c>
      <c r="E25" s="9"/>
      <c r="F25" s="8"/>
      <c r="G25" s="53">
        <f>SUMIF('1.WS-Re-Exp'!$E$3:$E$599,Revenue!C25,'1.WS-Re-Exp'!$C$3:$C$599)</f>
        <v>2099043.71</v>
      </c>
    </row>
    <row r="26" spans="3:7" ht="18" customHeight="1">
      <c r="C26" s="50">
        <v>43060</v>
      </c>
      <c r="D26" s="51" t="s">
        <v>3</v>
      </c>
      <c r="E26" s="9"/>
      <c r="F26" s="8"/>
      <c r="G26" s="53">
        <f>SUMIF('1.WS-Re-Exp'!$E$3:$E$599,Revenue!C26,'1.WS-Re-Exp'!$C$3:$C$599)</f>
        <v>218000</v>
      </c>
    </row>
    <row r="27" spans="3:10" s="10" customFormat="1" ht="24">
      <c r="C27" s="57">
        <v>43333</v>
      </c>
      <c r="D27" s="58" t="s">
        <v>682</v>
      </c>
      <c r="E27" s="12"/>
      <c r="F27" s="13"/>
      <c r="G27" s="54">
        <f>SUM(G21:G26)</f>
        <v>22959266.55</v>
      </c>
      <c r="J27" s="11"/>
    </row>
    <row r="28" spans="3:7" ht="24">
      <c r="C28" s="45">
        <v>4</v>
      </c>
      <c r="D28" s="46" t="s">
        <v>749</v>
      </c>
      <c r="E28" s="8"/>
      <c r="F28" s="8"/>
      <c r="G28" s="59"/>
    </row>
    <row r="29" spans="3:11" ht="24">
      <c r="C29" s="50">
        <v>44010</v>
      </c>
      <c r="D29" s="90" t="s">
        <v>668</v>
      </c>
      <c r="E29" s="91"/>
      <c r="F29" s="92"/>
      <c r="G29" s="93">
        <f>SUMIF('1.WS-Re-Exp'!$E$3:$E$599,Revenue!C29,'1.WS-Re-Exp'!$C$3:$C$599)</f>
        <v>-57502716.589999996</v>
      </c>
      <c r="K29" s="41"/>
    </row>
    <row r="30" spans="3:11" ht="24">
      <c r="C30" s="50">
        <v>44020</v>
      </c>
      <c r="D30" s="90" t="s">
        <v>669</v>
      </c>
      <c r="E30" s="91"/>
      <c r="F30" s="92"/>
      <c r="G30" s="93">
        <f>SUMIF('1.WS-Re-Exp'!$E$3:$E$599,Revenue!C30,'1.WS-Re-Exp'!$C$3:$C$599)</f>
        <v>0</v>
      </c>
      <c r="K30" s="41"/>
    </row>
    <row r="31" spans="3:11" ht="24">
      <c r="C31" s="50">
        <v>44030</v>
      </c>
      <c r="D31" s="90" t="s">
        <v>670</v>
      </c>
      <c r="E31" s="91"/>
      <c r="F31" s="92"/>
      <c r="G31" s="93">
        <f>SUMIF('1.WS-Re-Exp'!$E$3:$E$599,Revenue!C31,'1.WS-Re-Exp'!$C$3:$C$599)</f>
        <v>39350</v>
      </c>
      <c r="K31" s="41"/>
    </row>
    <row r="32" spans="3:11" ht="24">
      <c r="C32" s="50">
        <v>44040</v>
      </c>
      <c r="D32" s="90" t="s">
        <v>671</v>
      </c>
      <c r="E32" s="91"/>
      <c r="F32" s="92"/>
      <c r="G32" s="93">
        <f>SUMIF('1.WS-Re-Exp'!$E$3:$E$599,Revenue!C32,'1.WS-Re-Exp'!$C$3:$C$599)</f>
        <v>-1832944.7600000002</v>
      </c>
      <c r="K32" s="41"/>
    </row>
    <row r="33" spans="3:11" ht="24">
      <c r="C33" s="50">
        <v>44050</v>
      </c>
      <c r="D33" s="90" t="s">
        <v>672</v>
      </c>
      <c r="E33" s="91"/>
      <c r="F33" s="92"/>
      <c r="G33" s="93">
        <f>SUMIF('1.WS-Re-Exp'!$E$3:$E$599,Revenue!C33,'1.WS-Re-Exp'!$C$3:$C$599)</f>
        <v>0</v>
      </c>
      <c r="K33" s="41"/>
    </row>
    <row r="34" spans="3:7" ht="24">
      <c r="C34" s="50">
        <v>44444</v>
      </c>
      <c r="D34" s="94" t="s">
        <v>723</v>
      </c>
      <c r="E34" s="91"/>
      <c r="F34" s="92"/>
      <c r="G34" s="95">
        <f>SUM(G29:G33)</f>
        <v>-59296311.349999994</v>
      </c>
    </row>
    <row r="35" spans="3:7" ht="24">
      <c r="C35" s="47">
        <v>5</v>
      </c>
      <c r="D35" s="46" t="s">
        <v>744</v>
      </c>
      <c r="E35" s="9"/>
      <c r="F35" s="8"/>
      <c r="G35" s="53"/>
    </row>
    <row r="36" spans="3:8" ht="24">
      <c r="C36" s="50">
        <v>45010</v>
      </c>
      <c r="D36" s="92" t="s">
        <v>683</v>
      </c>
      <c r="E36" s="91"/>
      <c r="F36" s="92"/>
      <c r="G36" s="93">
        <f>SUM(G3,G12,G21,G29)</f>
        <v>109390996.82581031</v>
      </c>
      <c r="H36" s="1">
        <v>5</v>
      </c>
    </row>
    <row r="37" spans="3:7" ht="24">
      <c r="C37" s="50">
        <v>45020</v>
      </c>
      <c r="D37" s="92" t="s">
        <v>684</v>
      </c>
      <c r="E37" s="91"/>
      <c r="F37" s="92"/>
      <c r="G37" s="93">
        <f>SUM(G4,G13)</f>
        <v>713804</v>
      </c>
    </row>
    <row r="38" spans="3:7" ht="24">
      <c r="C38" s="50">
        <v>45030</v>
      </c>
      <c r="D38" s="92" t="s">
        <v>679</v>
      </c>
      <c r="E38" s="91"/>
      <c r="F38" s="92"/>
      <c r="G38" s="93">
        <f>SUM(G5,G14,G31)</f>
        <v>3929267.8200000003</v>
      </c>
    </row>
    <row r="39" spans="3:7" ht="24">
      <c r="C39" s="50">
        <v>45040</v>
      </c>
      <c r="D39" s="92" t="s">
        <v>685</v>
      </c>
      <c r="E39" s="91"/>
      <c r="F39" s="92"/>
      <c r="G39" s="93">
        <f>SUM(G6,G15,G22,G30)</f>
        <v>30795098.450000003</v>
      </c>
    </row>
    <row r="40" spans="3:7" ht="24">
      <c r="C40" s="50">
        <v>45050</v>
      </c>
      <c r="D40" s="92" t="s">
        <v>686</v>
      </c>
      <c r="E40" s="91"/>
      <c r="F40" s="92"/>
      <c r="G40" s="93">
        <f>SUM(G7,G16,G23,G32)</f>
        <v>6677881.720000001</v>
      </c>
    </row>
    <row r="41" spans="3:7" ht="24">
      <c r="C41" s="50">
        <v>45060</v>
      </c>
      <c r="D41" s="92" t="s">
        <v>687</v>
      </c>
      <c r="E41" s="91"/>
      <c r="F41" s="92"/>
      <c r="G41" s="93">
        <f>SUM(G8,G17,G24,G33)</f>
        <v>5495678.29</v>
      </c>
    </row>
    <row r="42" spans="3:7" ht="24">
      <c r="C42" s="50">
        <v>45070</v>
      </c>
      <c r="D42" s="60" t="s">
        <v>13</v>
      </c>
      <c r="E42" s="9"/>
      <c r="F42" s="8"/>
      <c r="G42" s="53">
        <f>SUM(G9,G18,G25)</f>
        <v>38198902.11</v>
      </c>
    </row>
    <row r="43" spans="3:7" ht="24">
      <c r="C43" s="50">
        <v>45080</v>
      </c>
      <c r="D43" s="61" t="s">
        <v>3</v>
      </c>
      <c r="E43" s="9"/>
      <c r="F43" s="8"/>
      <c r="G43" s="53">
        <f>G26</f>
        <v>218000</v>
      </c>
    </row>
    <row r="44" spans="3:7" ht="24">
      <c r="C44" s="50">
        <v>45090</v>
      </c>
      <c r="D44" s="58" t="s">
        <v>688</v>
      </c>
      <c r="E44" s="9"/>
      <c r="F44" s="8"/>
      <c r="G44" s="54">
        <f>SUM(G36:G43)</f>
        <v>195419629.2158103</v>
      </c>
    </row>
    <row r="45" spans="3:10" s="2" customFormat="1" ht="24">
      <c r="C45" s="50">
        <v>45100</v>
      </c>
      <c r="D45" s="51" t="s">
        <v>15</v>
      </c>
      <c r="E45" s="17"/>
      <c r="F45" s="18"/>
      <c r="G45" s="62">
        <f>SUMIF('1.WS-Re-Exp'!$E$3:$E$599,Revenue!C45,'1.WS-Re-Exp'!$C$3:$C$599)</f>
        <v>75183740</v>
      </c>
      <c r="J45" s="11"/>
    </row>
    <row r="46" spans="3:7" ht="24">
      <c r="C46" s="50">
        <v>45110</v>
      </c>
      <c r="D46" s="8" t="s">
        <v>17</v>
      </c>
      <c r="E46" s="9"/>
      <c r="F46" s="8"/>
      <c r="G46" s="53">
        <f>SUMIF('1.WS-Re-Exp'!$E$3:$E$599,Revenue!C46,'1.WS-Re-Exp'!$C$3:$C$599)</f>
        <v>8075551.62</v>
      </c>
    </row>
    <row r="47" spans="3:7" ht="24">
      <c r="C47" s="50">
        <v>45555</v>
      </c>
      <c r="D47" s="18" t="s">
        <v>689</v>
      </c>
      <c r="E47" s="9"/>
      <c r="F47" s="8"/>
      <c r="G47" s="54">
        <f>SUM(G44:G46)</f>
        <v>278678920.8358103</v>
      </c>
    </row>
    <row r="48" spans="3:7" ht="24">
      <c r="C48" s="47">
        <v>6</v>
      </c>
      <c r="D48" s="48" t="s">
        <v>690</v>
      </c>
      <c r="E48" s="9"/>
      <c r="F48" s="8"/>
      <c r="G48" s="53"/>
    </row>
    <row r="49" spans="3:7" ht="24">
      <c r="C49" s="50">
        <v>46010</v>
      </c>
      <c r="D49" s="8" t="s">
        <v>673</v>
      </c>
      <c r="E49" s="9"/>
      <c r="F49" s="8"/>
      <c r="G49" s="53">
        <f>SUMIF('1.WS-Re-Exp'!$E$3:$E$599,Revenue!C49,'1.WS-Re-Exp'!$C$3:$C$599)</f>
        <v>0</v>
      </c>
    </row>
    <row r="50" spans="3:7" ht="24">
      <c r="C50" s="50">
        <v>46020</v>
      </c>
      <c r="D50" s="8" t="s">
        <v>674</v>
      </c>
      <c r="E50" s="9"/>
      <c r="F50" s="8"/>
      <c r="G50" s="53">
        <f>SUMIF('1.WS-Re-Exp'!$E$3:$E$599,Revenue!C50,'1.WS-Re-Exp'!$C$3:$C$599)</f>
        <v>110073400</v>
      </c>
    </row>
    <row r="51" spans="3:7" ht="24">
      <c r="C51" s="50">
        <v>46030</v>
      </c>
      <c r="D51" s="8" t="s">
        <v>675</v>
      </c>
      <c r="E51" s="9"/>
      <c r="F51" s="8"/>
      <c r="G51" s="53">
        <f>SUMIF('1.WS-Re-Exp'!$E$3:$E$599,Revenue!C51,'1.WS-Re-Exp'!$C$3:$C$599)</f>
        <v>0</v>
      </c>
    </row>
    <row r="52" spans="3:7" ht="24.75" thickBot="1">
      <c r="C52" s="63" t="s">
        <v>725</v>
      </c>
      <c r="D52" s="13" t="s">
        <v>676</v>
      </c>
      <c r="E52" s="8"/>
      <c r="F52" s="8"/>
      <c r="G52" s="64">
        <f>SUM(G47,G49:G51)</f>
        <v>388752320.8358103</v>
      </c>
    </row>
    <row r="53" spans="3:7" ht="24.75" thickBot="1">
      <c r="C53" s="65"/>
      <c r="D53" s="66"/>
      <c r="E53" s="66"/>
      <c r="F53" s="66"/>
      <c r="G53" s="67"/>
    </row>
    <row r="55" ht="24">
      <c r="E55" s="10" t="s">
        <v>750</v>
      </c>
    </row>
    <row r="56" ht="24">
      <c r="E56" s="21" t="s">
        <v>751</v>
      </c>
    </row>
  </sheetData>
  <sheetProtection/>
  <mergeCells count="1">
    <mergeCell ref="E1:G1"/>
  </mergeCells>
  <printOptions/>
  <pageMargins left="0.984251968503937" right="0.15748031496062992" top="0.5511811023622047" bottom="0.5511811023622047" header="0.31496062992125984" footer="0.31496062992125984"/>
  <pageSetup horizontalDpi="600" verticalDpi="600" orientation="portrait" paperSize="9" scale="65" r:id="rId3"/>
  <headerFooter>
    <oddFooter>&amp;L&amp;14Revenue&amp;R&amp;12 3&amp;11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F43"/>
  <sheetViews>
    <sheetView zoomScalePageLayoutView="0" workbookViewId="0" topLeftCell="A28">
      <selection activeCell="G12" sqref="G11:G12"/>
    </sheetView>
  </sheetViews>
  <sheetFormatPr defaultColWidth="9.140625" defaultRowHeight="15"/>
  <cols>
    <col min="1" max="1" width="3.57421875" style="1" customWidth="1"/>
    <col min="2" max="2" width="4.57421875" style="1" customWidth="1"/>
    <col min="3" max="3" width="11.57421875" style="19" bestFit="1" customWidth="1"/>
    <col min="4" max="4" width="46.421875" style="1" bestFit="1" customWidth="1"/>
    <col min="5" max="5" width="20.00390625" style="1" customWidth="1"/>
    <col min="6" max="6" width="14.421875" style="1" hidden="1" customWidth="1"/>
    <col min="7" max="7" width="13.00390625" style="1" customWidth="1"/>
    <col min="8" max="16384" width="9.00390625" style="1" customWidth="1"/>
  </cols>
  <sheetData>
    <row r="1" spans="3:6" ht="24" customHeight="1">
      <c r="C1" s="634" t="s">
        <v>800</v>
      </c>
      <c r="D1" s="635"/>
      <c r="E1" s="104" t="s">
        <v>1639</v>
      </c>
      <c r="F1" s="69"/>
    </row>
    <row r="2" spans="3:6" s="16" customFormat="1" ht="24">
      <c r="C2" s="105">
        <v>1</v>
      </c>
      <c r="D2" s="98" t="s">
        <v>639</v>
      </c>
      <c r="E2" s="106" t="s">
        <v>665</v>
      </c>
      <c r="F2" s="97" t="s">
        <v>739</v>
      </c>
    </row>
    <row r="3" spans="3:6" ht="21.75">
      <c r="C3" s="107">
        <v>51010</v>
      </c>
      <c r="D3" s="99" t="s">
        <v>221</v>
      </c>
      <c r="E3" s="108">
        <f>SUMIF('1.WS-Re-Exp'!$E$3:$E$599,Expense!C3,'1.WS-Re-Exp'!$C$3:$C$599)</f>
        <v>31362076.79</v>
      </c>
      <c r="F3" s="70"/>
    </row>
    <row r="4" spans="3:6" ht="21.75">
      <c r="C4" s="107">
        <v>51020</v>
      </c>
      <c r="D4" s="99" t="s">
        <v>223</v>
      </c>
      <c r="E4" s="108">
        <f>SUMIF('1.WS-Re-Exp'!$E$3:$E$599,Expense!C4,'1.WS-Re-Exp'!$C$3:$C$599)</f>
        <v>682524</v>
      </c>
      <c r="F4" s="70"/>
    </row>
    <row r="5" spans="3:6" ht="21.75">
      <c r="C5" s="107">
        <v>51030</v>
      </c>
      <c r="D5" s="99" t="s">
        <v>644</v>
      </c>
      <c r="E5" s="108">
        <f>SUMIF('1.WS-Re-Exp'!$E$3:$E$599,Expense!C5,'1.WS-Re-Exp'!$C$3:$C$599)</f>
        <v>12863955.47</v>
      </c>
      <c r="F5" s="70"/>
    </row>
    <row r="6" spans="3:6" ht="21.75">
      <c r="C6" s="107">
        <v>51040</v>
      </c>
      <c r="D6" s="99" t="s">
        <v>645</v>
      </c>
      <c r="E6" s="108">
        <f>SUMIF('1.WS-Re-Exp'!$E$3:$E$599,Expense!C6,'1.WS-Re-Exp'!$C$3:$C$599)</f>
        <v>15154248.86</v>
      </c>
      <c r="F6" s="70"/>
    </row>
    <row r="7" spans="3:6" ht="21.75">
      <c r="C7" s="107">
        <v>51050</v>
      </c>
      <c r="D7" s="99" t="s">
        <v>226</v>
      </c>
      <c r="E7" s="108">
        <f>SUMIF('1.WS-Re-Exp'!$E$3:$E$599,Expense!C7,'1.WS-Re-Exp'!$C$3:$C$599)</f>
        <v>590047.2</v>
      </c>
      <c r="F7" s="70"/>
    </row>
    <row r="8" spans="3:6" ht="21.75">
      <c r="C8" s="107">
        <v>51060</v>
      </c>
      <c r="D8" s="99" t="s">
        <v>646</v>
      </c>
      <c r="E8" s="108">
        <f>SUMIF('1.WS-Re-Exp'!$E$3:$E$599,Expense!C8,'1.WS-Re-Exp'!$C$3:$C$599)</f>
        <v>14615386.02</v>
      </c>
      <c r="F8" s="70"/>
    </row>
    <row r="9" spans="3:6" ht="21.75">
      <c r="C9" s="107">
        <v>51070</v>
      </c>
      <c r="D9" s="99" t="s">
        <v>647</v>
      </c>
      <c r="E9" s="108">
        <f>SUMIF('1.WS-Re-Exp'!$E$3:$E$599,Expense!C9,'1.WS-Re-Exp'!$C$3:$C$599)</f>
        <v>32676000</v>
      </c>
      <c r="F9" s="70"/>
    </row>
    <row r="10" spans="3:6" ht="21.75">
      <c r="C10" s="107">
        <v>51080</v>
      </c>
      <c r="D10" s="99" t="s">
        <v>648</v>
      </c>
      <c r="E10" s="108">
        <f>SUMIF('1.WS-Re-Exp'!$E$3:$E$599,Expense!C10,'1.WS-Re-Exp'!$C$3:$C$599)</f>
        <v>8634007.389999999</v>
      </c>
      <c r="F10" s="70"/>
    </row>
    <row r="11" spans="3:6" ht="21.75">
      <c r="C11" s="107">
        <v>51090</v>
      </c>
      <c r="D11" s="99" t="s">
        <v>372</v>
      </c>
      <c r="E11" s="109">
        <f>SUMIF('1.WS-Re-Exp'!$E$3:$E$599,Expense!C11,'1.WS-Re-Exp'!$C$3:$C$599)</f>
        <v>20000000</v>
      </c>
      <c r="F11" s="62"/>
    </row>
    <row r="12" spans="3:6" ht="21.75">
      <c r="C12" s="107">
        <v>51100</v>
      </c>
      <c r="D12" s="99" t="s">
        <v>649</v>
      </c>
      <c r="E12" s="109">
        <f>SUMIF('1.WS-Re-Exp'!$E$3:$E$599,Expense!C12,'1.WS-Re-Exp'!$C$3:$C$599)</f>
        <v>655000</v>
      </c>
      <c r="F12" s="62"/>
    </row>
    <row r="13" spans="3:6" ht="21.75">
      <c r="C13" s="107">
        <v>51110</v>
      </c>
      <c r="D13" s="99" t="s">
        <v>650</v>
      </c>
      <c r="E13" s="109">
        <f>SUMIF('1.WS-Re-Exp'!$E$3:$E$599,Expense!C13,'1.WS-Re-Exp'!$C$3:$C$599)</f>
        <v>1060000</v>
      </c>
      <c r="F13" s="62"/>
    </row>
    <row r="14" spans="3:6" ht="21.75">
      <c r="C14" s="107">
        <v>51120</v>
      </c>
      <c r="D14" s="99" t="s">
        <v>651</v>
      </c>
      <c r="E14" s="109">
        <f>SUMIF('1.WS-Re-Exp'!$E$3:$E$599,Expense!C14,'1.WS-Re-Exp'!$C$3:$C$599)</f>
        <v>1472000</v>
      </c>
      <c r="F14" s="62"/>
    </row>
    <row r="15" spans="3:6" ht="21.75">
      <c r="C15" s="107">
        <v>51130</v>
      </c>
      <c r="D15" s="99" t="s">
        <v>652</v>
      </c>
      <c r="E15" s="109">
        <f>SUMIF('1.WS-Re-Exp'!$E$3:$E$599,Expense!C15,'1.WS-Re-Exp'!$C$3:$C$599)</f>
        <v>923293.5</v>
      </c>
      <c r="F15" s="62"/>
    </row>
    <row r="16" spans="3:6" ht="21.75">
      <c r="C16" s="107">
        <v>51140</v>
      </c>
      <c r="D16" s="99" t="s">
        <v>653</v>
      </c>
      <c r="E16" s="109">
        <f>SUMIF('1.WS-Re-Exp'!$E$3:$E$599,Expense!C16,'1.WS-Re-Exp'!$C$3:$C$599)</f>
        <v>559000</v>
      </c>
      <c r="F16" s="62"/>
    </row>
    <row r="17" spans="3:6" ht="28.5" thickBot="1">
      <c r="C17" s="110">
        <v>51111</v>
      </c>
      <c r="D17" s="96" t="s">
        <v>666</v>
      </c>
      <c r="E17" s="111">
        <f>SUM(E3:E16)</f>
        <v>141247539.23000002</v>
      </c>
      <c r="F17" s="71">
        <f>SUM(F3:F16)</f>
        <v>0</v>
      </c>
    </row>
    <row r="18" spans="3:6" ht="24">
      <c r="C18" s="112">
        <v>2</v>
      </c>
      <c r="D18" s="100" t="s">
        <v>638</v>
      </c>
      <c r="E18" s="111"/>
      <c r="F18" s="72"/>
    </row>
    <row r="19" spans="2:6" ht="24">
      <c r="B19" s="30"/>
      <c r="C19" s="107">
        <v>52010</v>
      </c>
      <c r="D19" s="99" t="s">
        <v>26</v>
      </c>
      <c r="E19" s="109">
        <f>SUMIF('1.WS-Re-Exp'!$E$3:$E$599,Expense!C19,'1.WS-Re-Exp'!$C$3:$C$599)</f>
        <v>75183740</v>
      </c>
      <c r="F19" s="73"/>
    </row>
    <row r="20" spans="3:6" ht="21.75">
      <c r="C20" s="107">
        <v>52020</v>
      </c>
      <c r="D20" s="99" t="s">
        <v>654</v>
      </c>
      <c r="E20" s="109">
        <f>SUMIF('1.WS-Re-Exp'!$E$3:$E$599,Expense!C20,'1.WS-Re-Exp'!$C$3:$C$599)</f>
        <v>11202055.780000001</v>
      </c>
      <c r="F20" s="73"/>
    </row>
    <row r="21" spans="3:6" ht="21.75">
      <c r="C21" s="107">
        <v>52030</v>
      </c>
      <c r="D21" s="99" t="s">
        <v>28</v>
      </c>
      <c r="E21" s="109">
        <f>SUMIF('1.WS-Re-Exp'!$E$3:$E$599,Expense!C21,'1.WS-Re-Exp'!$C$3:$C$599)</f>
        <v>15237991.56</v>
      </c>
      <c r="F21" s="73"/>
    </row>
    <row r="22" spans="3:6" ht="21.75">
      <c r="C22" s="107">
        <v>52040</v>
      </c>
      <c r="D22" s="99" t="s">
        <v>655</v>
      </c>
      <c r="E22" s="109">
        <f>SUMIF('1.WS-Re-Exp'!$E$3:$E$599,Expense!C22,'1.WS-Re-Exp'!$C$3:$C$599)</f>
        <v>0</v>
      </c>
      <c r="F22" s="73"/>
    </row>
    <row r="23" spans="3:6" ht="21.75">
      <c r="C23" s="113">
        <v>52050</v>
      </c>
      <c r="D23" s="101" t="s">
        <v>656</v>
      </c>
      <c r="E23" s="111">
        <f>SUM(E19:E22)</f>
        <v>101623787.34</v>
      </c>
      <c r="F23" s="72">
        <f>SUM(F19:F22)</f>
        <v>0</v>
      </c>
    </row>
    <row r="24" spans="3:6" ht="21.75">
      <c r="C24" s="107">
        <v>52060</v>
      </c>
      <c r="D24" s="99" t="s">
        <v>657</v>
      </c>
      <c r="E24" s="109">
        <f>SUMIF('1.WS-Re-Exp'!$E$3:$E$599,Expense!C24,'1.WS-Re-Exp'!$C$3:$C$599)</f>
        <v>6660612.66</v>
      </c>
      <c r="F24" s="73"/>
    </row>
    <row r="25" spans="3:6" ht="24">
      <c r="C25" s="107">
        <v>52070</v>
      </c>
      <c r="D25" s="99" t="s">
        <v>658</v>
      </c>
      <c r="E25" s="114">
        <f>SUMIF('1.WS-Re-Exp'!$E$3:$E$599,Expense!C25,'1.WS-Re-Exp'!$C$3:$C$599)</f>
        <v>4020000</v>
      </c>
      <c r="F25" s="74"/>
    </row>
    <row r="26" spans="3:6" ht="21.75">
      <c r="C26" s="107">
        <v>52080</v>
      </c>
      <c r="D26" s="99" t="s">
        <v>691</v>
      </c>
      <c r="E26" s="109">
        <f>SUMIF('1.WS-Re-Exp'!$E$3:$E$599,Expense!C26,'1.WS-Re-Exp'!$C$3:$C$599)</f>
        <v>8880000</v>
      </c>
      <c r="F26" s="73"/>
    </row>
    <row r="27" spans="3:6" ht="21.75">
      <c r="C27" s="107">
        <v>52090</v>
      </c>
      <c r="D27" s="99" t="s">
        <v>692</v>
      </c>
      <c r="E27" s="109">
        <f>SUMIF('1.WS-Re-Exp'!$E$3:$E$599,Expense!C27,'1.WS-Re-Exp'!$C$3:$C$599)</f>
        <v>0</v>
      </c>
      <c r="F27" s="73"/>
    </row>
    <row r="28" spans="3:6" ht="21.75">
      <c r="C28" s="107">
        <v>52100</v>
      </c>
      <c r="D28" s="99" t="s">
        <v>663</v>
      </c>
      <c r="E28" s="316">
        <f>SUMIF('1.WS-Re-Exp'!$E$3:$E$599,Expense!C28,'1.WS-Re-Exp'!$C$3:$C$599)</f>
        <v>3181975</v>
      </c>
      <c r="F28" s="75"/>
    </row>
    <row r="29" spans="3:6" s="10" customFormat="1" ht="24">
      <c r="C29" s="115">
        <v>52222</v>
      </c>
      <c r="D29" s="102" t="s">
        <v>667</v>
      </c>
      <c r="E29" s="116">
        <f>SUM(E23,E24,E25,E26,E27,E28)</f>
        <v>124366375</v>
      </c>
      <c r="F29" s="74">
        <f>SUM(F23,F24,F25,F26,F27,F28)</f>
        <v>0</v>
      </c>
    </row>
    <row r="30" spans="3:6" s="10" customFormat="1" ht="24">
      <c r="C30" s="112">
        <v>3</v>
      </c>
      <c r="D30" s="100" t="s">
        <v>664</v>
      </c>
      <c r="E30" s="116"/>
      <c r="F30" s="74"/>
    </row>
    <row r="31" spans="3:6" ht="21.75">
      <c r="C31" s="107">
        <v>53010</v>
      </c>
      <c r="D31" s="99" t="s">
        <v>662</v>
      </c>
      <c r="E31" s="109">
        <f>SUMIF('1.WS-Re-Exp'!$E$3:$E$599,Expense!C31,'1.WS-Re-Exp'!$C$3:$C$599)</f>
        <v>3325093.572</v>
      </c>
      <c r="F31" s="75"/>
    </row>
    <row r="32" spans="3:6" ht="24">
      <c r="C32" s="107">
        <v>53020</v>
      </c>
      <c r="D32" s="99" t="s">
        <v>659</v>
      </c>
      <c r="E32" s="109">
        <f>SUMIF('1.WS-Re-Exp'!$E$3:$E$599,Expense!C32,'1.WS-Re-Exp'!$C$3:$C$599)</f>
        <v>12624396.24</v>
      </c>
      <c r="F32" s="74"/>
    </row>
    <row r="33" spans="3:6" ht="21.75">
      <c r="C33" s="107">
        <v>53030</v>
      </c>
      <c r="D33" s="99" t="s">
        <v>660</v>
      </c>
      <c r="E33" s="109">
        <f>SUMIF('1.WS-Re-Exp'!$E$3:$E$599,Expense!C33,'1.WS-Re-Exp'!$C$3:$C$599)</f>
        <v>25334850.288</v>
      </c>
      <c r="F33" s="75"/>
    </row>
    <row r="34" spans="3:6" ht="21.75">
      <c r="C34" s="107">
        <v>53040</v>
      </c>
      <c r="D34" s="99" t="s">
        <v>680</v>
      </c>
      <c r="E34" s="109">
        <f>SUMIF('1.WS-Re-Exp'!$E$3:$E$599,Expense!C34,'1.WS-Re-Exp'!$C$3:$C$599)</f>
        <v>6011593.640000001</v>
      </c>
      <c r="F34" s="75"/>
    </row>
    <row r="35" spans="3:6" ht="21.75">
      <c r="C35" s="107">
        <v>53050</v>
      </c>
      <c r="D35" s="103" t="s">
        <v>681</v>
      </c>
      <c r="E35" s="109">
        <f>SUMIF('1.WS-Re-Exp'!$E$3:$E$599,Expense!C35,'1.WS-Re-Exp'!$C$3:$C$599)</f>
        <v>1860000</v>
      </c>
      <c r="F35" s="75"/>
    </row>
    <row r="36" spans="3:6" ht="21.75">
      <c r="C36" s="107">
        <v>53060</v>
      </c>
      <c r="D36" s="99" t="s">
        <v>661</v>
      </c>
      <c r="E36" s="109">
        <f>SUMIF('1.WS-Re-Exp'!$E$3:$E$599,Expense!C36,'1.WS-Re-Exp'!$C$3:$C$599)</f>
        <v>7309.4400000000005</v>
      </c>
      <c r="F36" s="75"/>
    </row>
    <row r="37" spans="3:6" ht="24">
      <c r="C37" s="107" t="s">
        <v>726</v>
      </c>
      <c r="D37" s="101" t="s">
        <v>722</v>
      </c>
      <c r="E37" s="116">
        <f>SUM(E17,E29,E31:E36)</f>
        <v>314777157.41</v>
      </c>
      <c r="F37" s="76">
        <f>SUM(F17,F29,F31:F36)</f>
        <v>0</v>
      </c>
    </row>
    <row r="38" spans="3:6" s="10" customFormat="1" ht="24">
      <c r="C38" s="115">
        <v>61000</v>
      </c>
      <c r="D38" s="102" t="s">
        <v>727</v>
      </c>
      <c r="E38" s="117">
        <f>Revenue!G52-Expense!E37</f>
        <v>73975163.42581028</v>
      </c>
      <c r="F38" s="77"/>
    </row>
    <row r="39" spans="3:6" s="10" customFormat="1" ht="24">
      <c r="C39" s="115">
        <v>62000</v>
      </c>
      <c r="D39" s="102" t="s">
        <v>792</v>
      </c>
      <c r="E39" s="117">
        <f>Revenue!G47-Expense!E37+E32+E33+E36</f>
        <v>1868319.3938102783</v>
      </c>
      <c r="F39" s="78"/>
    </row>
    <row r="40" spans="3:6" ht="22.5" thickBot="1">
      <c r="C40" s="118"/>
      <c r="D40" s="119"/>
      <c r="E40" s="120"/>
      <c r="F40" s="67"/>
    </row>
    <row r="41" ht="21.75">
      <c r="D41" s="2"/>
    </row>
    <row r="42" spans="4:5" ht="24">
      <c r="D42" s="68"/>
      <c r="E42" s="10" t="s">
        <v>750</v>
      </c>
    </row>
    <row r="43" ht="21.75">
      <c r="E43" s="21" t="s">
        <v>751</v>
      </c>
    </row>
  </sheetData>
  <sheetProtection/>
  <mergeCells count="1">
    <mergeCell ref="C1:D1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portrait" paperSize="9" scale="80" r:id="rId3"/>
  <headerFooter>
    <oddFooter>&amp;LEXPENSE&amp;R&amp;12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7" sqref="F7"/>
    </sheetView>
  </sheetViews>
  <sheetFormatPr defaultColWidth="9.140625" defaultRowHeight="15"/>
  <cols>
    <col min="3" max="3" width="39.7109375" style="0" bestFit="1" customWidth="1"/>
    <col min="4" max="4" width="14.28125" style="84" bestFit="1" customWidth="1"/>
    <col min="5" max="5" width="9.28125" style="84" bestFit="1" customWidth="1"/>
    <col min="6" max="6" width="17.421875" style="84" customWidth="1"/>
    <col min="7" max="7" width="15.28125" style="252" bestFit="1" customWidth="1"/>
    <col min="8" max="8" width="12.7109375" style="0" customWidth="1"/>
    <col min="9" max="9" width="14.28125" style="0" bestFit="1" customWidth="1"/>
  </cols>
  <sheetData>
    <row r="1" spans="1:9" ht="14.25">
      <c r="A1" s="256" t="s">
        <v>1643</v>
      </c>
      <c r="B1" s="256" t="s">
        <v>1644</v>
      </c>
      <c r="C1" s="256" t="s">
        <v>1645</v>
      </c>
      <c r="D1" s="256" t="s">
        <v>665</v>
      </c>
      <c r="E1" s="256" t="s">
        <v>1646</v>
      </c>
      <c r="F1" s="256" t="s">
        <v>1647</v>
      </c>
      <c r="G1" s="257" t="s">
        <v>1649</v>
      </c>
      <c r="H1" s="256" t="s">
        <v>1650</v>
      </c>
      <c r="I1" s="256" t="s">
        <v>1651</v>
      </c>
    </row>
    <row r="2" spans="1:9" ht="14.25">
      <c r="A2">
        <v>1</v>
      </c>
      <c r="B2" t="s">
        <v>0</v>
      </c>
      <c r="C2" t="s">
        <v>1</v>
      </c>
      <c r="D2" s="253">
        <v>95570926.72</v>
      </c>
      <c r="E2" s="253">
        <v>-1.21747797208742</v>
      </c>
      <c r="F2" s="253">
        <v>121256933.55</v>
      </c>
      <c r="G2" s="254">
        <v>49658528.1985454</v>
      </c>
      <c r="H2" s="255">
        <v>1</v>
      </c>
      <c r="I2" s="144">
        <f>SUM(F2:G2)</f>
        <v>170915461.7485454</v>
      </c>
    </row>
    <row r="3" spans="1:9" ht="14.25">
      <c r="A3">
        <v>2</v>
      </c>
      <c r="B3" t="s">
        <v>2</v>
      </c>
      <c r="C3" t="s">
        <v>3</v>
      </c>
      <c r="D3" s="253">
        <v>274266.6667</v>
      </c>
      <c r="E3" s="253">
        <v>24.3275914324569</v>
      </c>
      <c r="F3" s="253">
        <v>136258.333337687</v>
      </c>
      <c r="G3" s="254">
        <v>93366.9816658791</v>
      </c>
      <c r="H3" s="255">
        <v>4</v>
      </c>
      <c r="I3" s="144">
        <f aca="true" t="shared" si="0" ref="I3:I28">SUM(F3:G3)</f>
        <v>229625.3150035661</v>
      </c>
    </row>
    <row r="4" spans="1:9" ht="14.25">
      <c r="A4">
        <v>3</v>
      </c>
      <c r="B4" t="s">
        <v>4</v>
      </c>
      <c r="C4" t="s">
        <v>5</v>
      </c>
      <c r="D4" s="253">
        <v>1304765.333</v>
      </c>
      <c r="E4" s="253">
        <v>-18.5778113024339</v>
      </c>
      <c r="F4" s="253">
        <v>1689025.1491875</v>
      </c>
      <c r="G4" s="254">
        <v>2306936.65618198</v>
      </c>
      <c r="H4" s="255">
        <v>1</v>
      </c>
      <c r="I4" s="144">
        <f t="shared" si="0"/>
        <v>3995961.8053694796</v>
      </c>
    </row>
    <row r="5" spans="1:9" ht="14.25">
      <c r="A5">
        <v>4</v>
      </c>
      <c r="B5" t="s">
        <v>1304</v>
      </c>
      <c r="C5" t="s">
        <v>731</v>
      </c>
      <c r="D5" s="253">
        <v>3474454.08</v>
      </c>
      <c r="E5" s="253">
        <v>1.91959148128339</v>
      </c>
      <c r="F5" s="253">
        <v>4296532.33520625</v>
      </c>
      <c r="G5" s="254">
        <v>2573110.89766466</v>
      </c>
      <c r="H5" s="255">
        <v>1</v>
      </c>
      <c r="I5" s="144">
        <f t="shared" si="0"/>
        <v>6869643.23287091</v>
      </c>
    </row>
    <row r="6" spans="1:9" ht="14.25">
      <c r="A6">
        <v>5</v>
      </c>
      <c r="B6" t="s">
        <v>6</v>
      </c>
      <c r="C6" t="s">
        <v>7</v>
      </c>
      <c r="D6" s="253">
        <v>27023943.87</v>
      </c>
      <c r="E6" s="253">
        <v>20.7318584512304</v>
      </c>
      <c r="F6" s="253">
        <v>35648986.096875</v>
      </c>
      <c r="G6" s="254">
        <v>16651311.464956</v>
      </c>
      <c r="H6" s="255">
        <v>1</v>
      </c>
      <c r="I6" s="144">
        <f t="shared" si="0"/>
        <v>52300297.561831</v>
      </c>
    </row>
    <row r="7" spans="1:9" ht="14.25">
      <c r="A7">
        <v>6</v>
      </c>
      <c r="B7" t="s">
        <v>8</v>
      </c>
      <c r="C7" t="s">
        <v>9</v>
      </c>
      <c r="D7" s="253">
        <v>8355394.72</v>
      </c>
      <c r="E7" s="253">
        <v>-3.04713326550689</v>
      </c>
      <c r="F7" s="253">
        <v>17758830.4568125</v>
      </c>
      <c r="G7" s="254">
        <v>12405970.1317923</v>
      </c>
      <c r="H7" s="255">
        <v>1</v>
      </c>
      <c r="I7" s="144">
        <f t="shared" si="0"/>
        <v>30164800.5886048</v>
      </c>
    </row>
    <row r="8" spans="1:9" ht="14.25">
      <c r="A8">
        <v>7</v>
      </c>
      <c r="B8" t="s">
        <v>10</v>
      </c>
      <c r="C8" t="s">
        <v>11</v>
      </c>
      <c r="D8" s="253">
        <v>2454183.067</v>
      </c>
      <c r="E8" s="253">
        <v>-8.07916880222768</v>
      </c>
      <c r="F8" s="253">
        <v>5642653.05645831</v>
      </c>
      <c r="G8" s="254">
        <v>8522303.30906177</v>
      </c>
      <c r="H8" s="255">
        <v>1</v>
      </c>
      <c r="I8" s="144">
        <f t="shared" si="0"/>
        <v>14164956.365520079</v>
      </c>
    </row>
    <row r="9" spans="1:9" ht="14.25">
      <c r="A9">
        <v>8</v>
      </c>
      <c r="B9" t="s">
        <v>12</v>
      </c>
      <c r="C9" t="s">
        <v>13</v>
      </c>
      <c r="D9" s="253">
        <v>36191465.33</v>
      </c>
      <c r="E9" s="253">
        <v>24.3782828907513</v>
      </c>
      <c r="F9" s="253">
        <v>37064854.405625</v>
      </c>
      <c r="G9" s="254">
        <v>18123793.5736786</v>
      </c>
      <c r="H9" s="255">
        <v>1</v>
      </c>
      <c r="I9" s="144">
        <f t="shared" si="0"/>
        <v>55188647.9793036</v>
      </c>
    </row>
    <row r="10" spans="1:9" ht="14.25">
      <c r="A10">
        <v>9</v>
      </c>
      <c r="B10" t="s">
        <v>14</v>
      </c>
      <c r="C10" t="s">
        <v>15</v>
      </c>
      <c r="D10" s="253">
        <v>76156422.41</v>
      </c>
      <c r="E10" s="253">
        <v>9.1927685594348</v>
      </c>
      <c r="F10" s="253">
        <v>87003764.00625</v>
      </c>
      <c r="G10" s="254">
        <v>24472197.6215796</v>
      </c>
      <c r="H10" s="255">
        <v>1</v>
      </c>
      <c r="I10" s="144">
        <f t="shared" si="0"/>
        <v>111475961.6278296</v>
      </c>
    </row>
    <row r="11" spans="1:9" ht="14.25">
      <c r="A11">
        <v>10</v>
      </c>
      <c r="B11" t="s">
        <v>16</v>
      </c>
      <c r="C11" t="s">
        <v>17</v>
      </c>
      <c r="D11" s="253">
        <v>12584112.21</v>
      </c>
      <c r="E11" s="253">
        <v>-22.4808655033738</v>
      </c>
      <c r="F11" s="253">
        <v>26218421.235625</v>
      </c>
      <c r="G11" s="254">
        <v>20409480.395895</v>
      </c>
      <c r="H11" s="255">
        <v>1</v>
      </c>
      <c r="I11" s="144">
        <f t="shared" si="0"/>
        <v>46627901.63152</v>
      </c>
    </row>
    <row r="12" spans="1:9" ht="14.25">
      <c r="A12">
        <v>11</v>
      </c>
      <c r="B12" t="s">
        <v>18</v>
      </c>
      <c r="C12" t="s">
        <v>690</v>
      </c>
      <c r="D12" s="253">
        <v>23059928.29</v>
      </c>
      <c r="E12" s="253">
        <v>188.050233023994</v>
      </c>
      <c r="F12" s="253">
        <v>25264794.4341875</v>
      </c>
      <c r="G12" s="254">
        <v>16355110.5673983</v>
      </c>
      <c r="H12" s="255">
        <v>1</v>
      </c>
      <c r="I12" s="144">
        <f t="shared" si="0"/>
        <v>41619905.001585804</v>
      </c>
    </row>
    <row r="13" spans="1:9" ht="14.25">
      <c r="A13">
        <v>12</v>
      </c>
      <c r="B13" t="s">
        <v>696</v>
      </c>
      <c r="C13" t="s">
        <v>676</v>
      </c>
      <c r="D13" s="253">
        <v>286449862.7</v>
      </c>
      <c r="E13" s="253">
        <v>10.7120468358569</v>
      </c>
      <c r="F13" s="253">
        <v>361981053.05625</v>
      </c>
      <c r="G13" s="254">
        <v>73750296.2449618</v>
      </c>
      <c r="H13" s="255">
        <v>1</v>
      </c>
      <c r="I13" s="144">
        <f t="shared" si="0"/>
        <v>435731349.3012118</v>
      </c>
    </row>
    <row r="14" spans="1:9" ht="14.25">
      <c r="A14">
        <v>13</v>
      </c>
      <c r="B14" t="s">
        <v>19</v>
      </c>
      <c r="C14" t="s">
        <v>20</v>
      </c>
      <c r="D14" s="253">
        <v>34122747.79</v>
      </c>
      <c r="E14" s="253">
        <v>49.8559224105637</v>
      </c>
      <c r="F14" s="253">
        <v>46444605.060625</v>
      </c>
      <c r="G14" s="254">
        <v>18522966.9593006</v>
      </c>
      <c r="H14" s="255">
        <v>1</v>
      </c>
      <c r="I14" s="144">
        <f t="shared" si="0"/>
        <v>64967572.0199256</v>
      </c>
    </row>
    <row r="15" spans="1:9" ht="14.25">
      <c r="A15">
        <v>14</v>
      </c>
      <c r="B15" t="s">
        <v>21</v>
      </c>
      <c r="C15" t="s">
        <v>22</v>
      </c>
      <c r="D15" s="253">
        <v>16842870.15</v>
      </c>
      <c r="E15" s="253">
        <v>31.4206177051046</v>
      </c>
      <c r="F15" s="253">
        <v>23070114.8335625</v>
      </c>
      <c r="G15" s="254">
        <v>8181485.27168346</v>
      </c>
      <c r="H15" s="255">
        <v>1</v>
      </c>
      <c r="I15" s="144">
        <f t="shared" si="0"/>
        <v>31251600.105245963</v>
      </c>
    </row>
    <row r="16" spans="1:9" ht="14.25">
      <c r="A16">
        <v>15</v>
      </c>
      <c r="B16" t="s">
        <v>732</v>
      </c>
      <c r="C16" t="s">
        <v>733</v>
      </c>
      <c r="D16" s="253">
        <v>718061.3333</v>
      </c>
      <c r="E16" s="253">
        <v>-22.9225391204473</v>
      </c>
      <c r="F16" s="253">
        <v>944871.81998125</v>
      </c>
      <c r="G16" s="254">
        <v>612503.68356279</v>
      </c>
      <c r="H16" s="255">
        <v>1</v>
      </c>
      <c r="I16" s="144">
        <f t="shared" si="0"/>
        <v>1557375.50354404</v>
      </c>
    </row>
    <row r="17" spans="1:9" ht="14.25">
      <c r="A17">
        <v>16</v>
      </c>
      <c r="B17" t="s">
        <v>23</v>
      </c>
      <c r="C17" t="s">
        <v>24</v>
      </c>
      <c r="D17" s="253">
        <v>9574315.467</v>
      </c>
      <c r="E17" s="253">
        <v>-18.1462512386725</v>
      </c>
      <c r="F17" s="253">
        <v>14206216.2335625</v>
      </c>
      <c r="G17" s="254">
        <v>6984276.56997436</v>
      </c>
      <c r="H17" s="255">
        <v>1</v>
      </c>
      <c r="I17" s="144">
        <f t="shared" si="0"/>
        <v>21190492.80353686</v>
      </c>
    </row>
    <row r="18" spans="1:9" ht="14.25">
      <c r="A18">
        <v>17</v>
      </c>
      <c r="B18" t="s">
        <v>25</v>
      </c>
      <c r="C18" t="s">
        <v>26</v>
      </c>
      <c r="D18" s="253">
        <v>76337670.09</v>
      </c>
      <c r="E18" s="253">
        <v>8.87071961958723</v>
      </c>
      <c r="F18" s="253">
        <v>87008117.74125</v>
      </c>
      <c r="G18" s="254">
        <v>25375253.6022513</v>
      </c>
      <c r="H18" s="255">
        <v>1</v>
      </c>
      <c r="I18" s="144">
        <f t="shared" si="0"/>
        <v>112383371.3435013</v>
      </c>
    </row>
    <row r="19" spans="1:9" ht="14.25">
      <c r="A19">
        <v>18</v>
      </c>
      <c r="B19" t="s">
        <v>27</v>
      </c>
      <c r="C19" t="s">
        <v>724</v>
      </c>
      <c r="D19" s="253">
        <v>22034983.73</v>
      </c>
      <c r="E19" s="253">
        <v>4.57518901678008</v>
      </c>
      <c r="F19" s="253">
        <v>29807104.820625</v>
      </c>
      <c r="G19" s="254">
        <v>8949684.85606129</v>
      </c>
      <c r="H19" s="255">
        <v>1</v>
      </c>
      <c r="I19" s="144">
        <f t="shared" si="0"/>
        <v>38756789.67668629</v>
      </c>
    </row>
    <row r="20" spans="1:9" ht="14.25">
      <c r="A20">
        <v>19</v>
      </c>
      <c r="B20" t="s">
        <v>29</v>
      </c>
      <c r="C20" t="s">
        <v>30</v>
      </c>
      <c r="D20" s="253">
        <v>29395008</v>
      </c>
      <c r="E20" s="253">
        <v>-12.3217878670161</v>
      </c>
      <c r="F20" s="253">
        <v>55223795.30875</v>
      </c>
      <c r="G20" s="254">
        <v>13826725.6287462</v>
      </c>
      <c r="H20" s="255">
        <v>1</v>
      </c>
      <c r="I20" s="144">
        <f t="shared" si="0"/>
        <v>69050520.9374962</v>
      </c>
    </row>
    <row r="21" spans="1:9" ht="14.25">
      <c r="A21">
        <v>20</v>
      </c>
      <c r="B21" t="s">
        <v>31</v>
      </c>
      <c r="C21" t="s">
        <v>32</v>
      </c>
      <c r="D21" s="253">
        <v>5741530.56</v>
      </c>
      <c r="E21" s="253">
        <v>-3.52100223681034</v>
      </c>
      <c r="F21" s="253">
        <v>6697695.17275</v>
      </c>
      <c r="G21" s="254">
        <v>2519310.24513646</v>
      </c>
      <c r="H21" s="255">
        <v>1</v>
      </c>
      <c r="I21" s="144">
        <f t="shared" si="0"/>
        <v>9217005.41788646</v>
      </c>
    </row>
    <row r="22" spans="1:9" ht="14.25">
      <c r="A22">
        <v>21</v>
      </c>
      <c r="B22" t="s">
        <v>33</v>
      </c>
      <c r="C22" t="s">
        <v>34</v>
      </c>
      <c r="D22" s="253">
        <v>25428151.05</v>
      </c>
      <c r="E22" s="253">
        <v>69.7935733406079</v>
      </c>
      <c r="F22" s="253">
        <v>29062147.5979375</v>
      </c>
      <c r="G22" s="254">
        <v>21251657.1880653</v>
      </c>
      <c r="H22" s="255">
        <v>1</v>
      </c>
      <c r="I22" s="144">
        <f t="shared" si="0"/>
        <v>50313804.7860028</v>
      </c>
    </row>
    <row r="23" spans="1:9" ht="14.25">
      <c r="A23">
        <v>22</v>
      </c>
      <c r="B23" t="s">
        <v>35</v>
      </c>
      <c r="C23" t="s">
        <v>36</v>
      </c>
      <c r="D23" s="253">
        <v>9884047.427</v>
      </c>
      <c r="E23" s="253">
        <v>-3.26871436518474</v>
      </c>
      <c r="F23" s="253">
        <v>11092702.0410625</v>
      </c>
      <c r="G23" s="254">
        <v>2545332.18054829</v>
      </c>
      <c r="H23" s="255">
        <v>1</v>
      </c>
      <c r="I23" s="144">
        <f t="shared" si="0"/>
        <v>13638034.22161079</v>
      </c>
    </row>
    <row r="24" spans="1:9" ht="14.25">
      <c r="A24">
        <v>23</v>
      </c>
      <c r="B24" t="s">
        <v>37</v>
      </c>
      <c r="C24" t="s">
        <v>38</v>
      </c>
      <c r="D24" s="253">
        <v>11237513.77</v>
      </c>
      <c r="E24" s="253">
        <v>1.78881694998038</v>
      </c>
      <c r="F24" s="253">
        <v>14193181.3429375</v>
      </c>
      <c r="G24" s="254">
        <v>6188608.16574377</v>
      </c>
      <c r="H24" s="255">
        <v>1</v>
      </c>
      <c r="I24" s="144">
        <f t="shared" si="0"/>
        <v>20381789.508681267</v>
      </c>
    </row>
    <row r="25" spans="1:9" ht="14.25">
      <c r="A25">
        <v>24</v>
      </c>
      <c r="B25" t="s">
        <v>39</v>
      </c>
      <c r="C25" t="s">
        <v>40</v>
      </c>
      <c r="D25" s="253">
        <v>33233155.88</v>
      </c>
      <c r="E25" s="253">
        <v>48.9776771457532</v>
      </c>
      <c r="F25" s="253">
        <v>36991936.5025</v>
      </c>
      <c r="G25" s="254">
        <v>14093458.5130661</v>
      </c>
      <c r="H25" s="255">
        <v>1</v>
      </c>
      <c r="I25" s="144">
        <f t="shared" si="0"/>
        <v>51085395.015566096</v>
      </c>
    </row>
    <row r="26" spans="1:9" ht="14.25">
      <c r="A26">
        <v>25</v>
      </c>
      <c r="B26" t="s">
        <v>734</v>
      </c>
      <c r="C26" t="s">
        <v>735</v>
      </c>
      <c r="D26" s="253">
        <v>2380997.933</v>
      </c>
      <c r="E26" s="253">
        <v>-87.111652915704</v>
      </c>
      <c r="F26" s="253">
        <v>3031072.06068981</v>
      </c>
      <c r="G26" s="254">
        <v>4995839.28937287</v>
      </c>
      <c r="H26" s="255">
        <v>1</v>
      </c>
      <c r="I26" s="144">
        <f t="shared" si="0"/>
        <v>8026911.3500626795</v>
      </c>
    </row>
    <row r="27" spans="1:9" ht="14.25">
      <c r="A27">
        <v>26</v>
      </c>
      <c r="B27" t="s">
        <v>41</v>
      </c>
      <c r="C27" t="s">
        <v>42</v>
      </c>
      <c r="D27" s="253">
        <v>6270850.16</v>
      </c>
      <c r="E27" s="253">
        <v>-67.0920410360099</v>
      </c>
      <c r="F27" s="253">
        <v>11496144.4018125</v>
      </c>
      <c r="G27" s="254">
        <v>9744549.24607187</v>
      </c>
      <c r="H27" s="255">
        <v>1</v>
      </c>
      <c r="I27" s="144">
        <f t="shared" si="0"/>
        <v>21240693.64788437</v>
      </c>
    </row>
    <row r="28" spans="1:9" ht="14.25">
      <c r="A28">
        <v>27</v>
      </c>
      <c r="B28" t="s">
        <v>697</v>
      </c>
      <c r="C28" t="s">
        <v>698</v>
      </c>
      <c r="D28" s="253">
        <v>283201903.3</v>
      </c>
      <c r="E28" s="253">
        <v>3.00055587593431</v>
      </c>
      <c r="F28" s="253">
        <v>369269704.95625</v>
      </c>
      <c r="G28" s="254">
        <v>76144276.7879334</v>
      </c>
      <c r="H28" s="255">
        <v>1</v>
      </c>
      <c r="I28" s="144">
        <f t="shared" si="0"/>
        <v>445413981.7441834</v>
      </c>
    </row>
    <row r="31" spans="4:5" ht="14.25">
      <c r="D31" s="288" t="s">
        <v>1664</v>
      </c>
      <c r="E31" s="28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="90" zoomScaleNormal="90" zoomScalePageLayoutView="0" workbookViewId="0" topLeftCell="L1">
      <selection activeCell="S11" sqref="S11"/>
    </sheetView>
  </sheetViews>
  <sheetFormatPr defaultColWidth="9.140625" defaultRowHeight="15"/>
  <cols>
    <col min="1" max="1" width="26.8515625" style="25" customWidth="1"/>
    <col min="2" max="2" width="21.28125" style="25" bestFit="1" customWidth="1"/>
    <col min="3" max="3" width="17.8515625" style="25" customWidth="1"/>
    <col min="4" max="4" width="13.28125" style="25" bestFit="1" customWidth="1"/>
    <col min="5" max="5" width="17.140625" style="25" bestFit="1" customWidth="1"/>
    <col min="6" max="6" width="16.7109375" style="25" bestFit="1" customWidth="1"/>
    <col min="7" max="7" width="21.140625" style="25" customWidth="1"/>
    <col min="8" max="8" width="17.57421875" style="25" bestFit="1" customWidth="1"/>
    <col min="9" max="9" width="17.140625" style="25" customWidth="1"/>
    <col min="10" max="10" width="14.57421875" style="25" bestFit="1" customWidth="1"/>
    <col min="11" max="11" width="21.140625" style="25" customWidth="1"/>
    <col min="12" max="12" width="14.7109375" style="25" bestFit="1" customWidth="1"/>
    <col min="13" max="13" width="17.7109375" style="25" bestFit="1" customWidth="1"/>
    <col min="14" max="14" width="22.140625" style="25" customWidth="1"/>
    <col min="15" max="15" width="20.140625" style="25" bestFit="1" customWidth="1"/>
    <col min="16" max="16" width="19.421875" style="25" bestFit="1" customWidth="1"/>
    <col min="17" max="17" width="20.7109375" style="25" bestFit="1" customWidth="1"/>
    <col min="18" max="18" width="13.57421875" style="25" customWidth="1"/>
    <col min="19" max="19" width="52.00390625" style="25" customWidth="1"/>
    <col min="20" max="23" width="9.140625" style="25" customWidth="1"/>
    <col min="24" max="24" width="6.421875" style="1" hidden="1" customWidth="1"/>
    <col min="25" max="25" width="18.57421875" style="1" hidden="1" customWidth="1"/>
    <col min="26" max="26" width="16.28125" style="1" hidden="1" customWidth="1"/>
    <col min="27" max="27" width="38.140625" style="1" hidden="1" customWidth="1"/>
    <col min="28" max="28" width="72.421875" style="1" hidden="1" customWidth="1"/>
    <col min="29" max="29" width="9.140625" style="25" customWidth="1"/>
    <col min="30" max="16384" width="9.140625" style="25" customWidth="1"/>
  </cols>
  <sheetData>
    <row r="1" spans="1:28" s="213" customFormat="1" ht="28.5" customHeight="1">
      <c r="A1" s="636" t="s">
        <v>1562</v>
      </c>
      <c r="B1" s="636" t="s">
        <v>1586</v>
      </c>
      <c r="C1" s="636" t="s">
        <v>1565</v>
      </c>
      <c r="D1" s="636" t="s">
        <v>1567</v>
      </c>
      <c r="E1" s="636" t="s">
        <v>1587</v>
      </c>
      <c r="F1" s="636" t="s">
        <v>1561</v>
      </c>
      <c r="G1" s="636" t="s">
        <v>1589</v>
      </c>
      <c r="H1" s="636" t="s">
        <v>1590</v>
      </c>
      <c r="I1" s="636" t="s">
        <v>1592</v>
      </c>
      <c r="J1" s="638" t="s">
        <v>1593</v>
      </c>
      <c r="K1" s="638" t="s">
        <v>1594</v>
      </c>
      <c r="L1" s="638" t="s">
        <v>1595</v>
      </c>
      <c r="M1" s="638" t="s">
        <v>1597</v>
      </c>
      <c r="N1" s="638" t="s">
        <v>1599</v>
      </c>
      <c r="O1" s="212" t="s">
        <v>1600</v>
      </c>
      <c r="P1" s="212" t="s">
        <v>1601</v>
      </c>
      <c r="Q1" s="212" t="s">
        <v>1602</v>
      </c>
      <c r="R1" s="214"/>
      <c r="S1" s="215"/>
      <c r="X1" s="246"/>
      <c r="Y1" s="246"/>
      <c r="Z1" s="246"/>
      <c r="AA1" s="246"/>
      <c r="AB1" s="246"/>
    </row>
    <row r="2" spans="1:28" s="213" customFormat="1" ht="28.5" customHeight="1" thickBot="1">
      <c r="A2" s="637"/>
      <c r="B2" s="637"/>
      <c r="C2" s="637"/>
      <c r="D2" s="637"/>
      <c r="E2" s="637"/>
      <c r="F2" s="637"/>
      <c r="G2" s="637"/>
      <c r="H2" s="637"/>
      <c r="I2" s="637"/>
      <c r="J2" s="639"/>
      <c r="K2" s="639"/>
      <c r="L2" s="639"/>
      <c r="M2" s="639"/>
      <c r="N2" s="639"/>
      <c r="O2" s="249" t="s">
        <v>1603</v>
      </c>
      <c r="P2" s="247"/>
      <c r="Q2" s="247"/>
      <c r="R2" s="248"/>
      <c r="S2" s="248"/>
      <c r="X2" s="246"/>
      <c r="Y2" s="246"/>
      <c r="Z2" s="246"/>
      <c r="AA2" s="246"/>
      <c r="AB2" s="246"/>
    </row>
    <row r="3" spans="1:28" s="201" customFormat="1" ht="96">
      <c r="A3" s="191" t="s">
        <v>689</v>
      </c>
      <c r="B3" s="191" t="s">
        <v>1573</v>
      </c>
      <c r="C3" s="191" t="s">
        <v>1574</v>
      </c>
      <c r="D3" s="191" t="s">
        <v>730</v>
      </c>
      <c r="E3" s="191" t="s">
        <v>1575</v>
      </c>
      <c r="F3" s="191" t="s">
        <v>1588</v>
      </c>
      <c r="G3" s="202" t="s">
        <v>1585</v>
      </c>
      <c r="H3" s="191" t="s">
        <v>816</v>
      </c>
      <c r="I3" s="191" t="s">
        <v>1591</v>
      </c>
      <c r="J3" s="191" t="s">
        <v>1576</v>
      </c>
      <c r="K3" s="202" t="s">
        <v>1577</v>
      </c>
      <c r="L3" s="191" t="s">
        <v>1596</v>
      </c>
      <c r="M3" s="208" t="s">
        <v>1578</v>
      </c>
      <c r="N3" s="191" t="s">
        <v>1598</v>
      </c>
      <c r="O3" s="191" t="s">
        <v>1579</v>
      </c>
      <c r="P3" s="242" t="s">
        <v>1580</v>
      </c>
      <c r="Q3" s="242" t="s">
        <v>1581</v>
      </c>
      <c r="R3" s="218" t="s">
        <v>1582</v>
      </c>
      <c r="S3" s="217" t="s">
        <v>1604</v>
      </c>
      <c r="X3" s="1"/>
      <c r="Y3" s="1"/>
      <c r="Z3" s="1"/>
      <c r="AA3" s="1"/>
      <c r="AB3" s="1"/>
    </row>
    <row r="4" spans="1:28" ht="24.75" thickBot="1">
      <c r="A4" s="197">
        <f>SUM(Planfin2561!D16-Planfin2561!D15)</f>
        <v>278678920.83581036</v>
      </c>
      <c r="B4" s="197">
        <f>SUM(Planfin2561!D31-Planfin2561!D28)</f>
        <v>276810601.44200003</v>
      </c>
      <c r="C4" s="194">
        <f>SUM(A4-B4)</f>
        <v>1868319.3938103318</v>
      </c>
      <c r="D4" s="205" t="str">
        <f>IF(C4&gt;0,"เกินดุล",IF(C4=0,"สมดุล","ขาดดุล"))</f>
        <v>เกินดุล</v>
      </c>
      <c r="E4" s="203">
        <f>IF(C4&lt;=0,0,ROUNDUP((C4*20%),2))</f>
        <v>373663.88</v>
      </c>
      <c r="F4" s="194">
        <f>SUM(Planfin2561!D86)</f>
        <v>35349.51</v>
      </c>
      <c r="G4" s="204">
        <f>IF(C4=0,0,(F4/C4)*100)</f>
        <v>1.8920485500022923</v>
      </c>
      <c r="H4" s="203">
        <f>E4-F4</f>
        <v>338314.37</v>
      </c>
      <c r="I4" s="197">
        <f>SUM(Planfin2561!D38)</f>
        <v>8058381.58</v>
      </c>
      <c r="J4" s="197">
        <f>SUM(Planfin2561!D39-Planfin2561!D40)</f>
        <v>-32717190.959999997</v>
      </c>
      <c r="K4" s="206">
        <f>SUM(B4/12)</f>
        <v>23067550.12016667</v>
      </c>
      <c r="L4" s="194">
        <f>SUM(I4/K4)</f>
        <v>0.3493384229370334</v>
      </c>
      <c r="M4" s="209">
        <f>SUM(H4:I4)</f>
        <v>8396695.95</v>
      </c>
      <c r="N4" s="207">
        <f>SUM(M4/K4)*100</f>
        <v>36.400466916767364</v>
      </c>
      <c r="O4" s="210" t="str">
        <f>IF(C4&gt;=0,"Normal","Risk")</f>
        <v>Normal</v>
      </c>
      <c r="P4" s="210" t="str">
        <f>IF(H4&gt;=0,"Normal","Risk")</f>
        <v>Normal</v>
      </c>
      <c r="Q4" s="211" t="str">
        <f>IF(N4&gt;1,"Normal","Risk")</f>
        <v>Normal</v>
      </c>
      <c r="R4" s="85" t="e">
        <f>#VALUE!</f>
        <v>#VALUE!</v>
      </c>
      <c r="S4" s="216" t="e">
        <f>VLOOKUP(R4,$X$9:$AB$16,5,0)</f>
        <v>#VALUE!</v>
      </c>
      <c r="Y4" s="220" t="s">
        <v>1605</v>
      </c>
      <c r="Z4" s="220" t="s">
        <v>1606</v>
      </c>
      <c r="AA4" s="220" t="s">
        <v>1607</v>
      </c>
      <c r="AB4" s="220"/>
    </row>
    <row r="5" spans="24:28" ht="24">
      <c r="X5" s="221" t="s">
        <v>1608</v>
      </c>
      <c r="Y5" s="221" t="s">
        <v>1609</v>
      </c>
      <c r="Z5" s="221" t="s">
        <v>1610</v>
      </c>
      <c r="AA5" s="221" t="s">
        <v>1611</v>
      </c>
      <c r="AB5" s="640" t="s">
        <v>1604</v>
      </c>
    </row>
    <row r="6" spans="24:28" ht="24">
      <c r="X6" s="222" t="s">
        <v>1612</v>
      </c>
      <c r="Y6" s="223" t="s">
        <v>1613</v>
      </c>
      <c r="Z6" s="222" t="s">
        <v>1614</v>
      </c>
      <c r="AA6" s="223" t="s">
        <v>1615</v>
      </c>
      <c r="AB6" s="641"/>
    </row>
    <row r="7" spans="24:28" ht="24">
      <c r="X7" s="224"/>
      <c r="Y7" s="223" t="s">
        <v>1616</v>
      </c>
      <c r="Z7" s="225" t="s">
        <v>1627</v>
      </c>
      <c r="AA7" s="225" t="s">
        <v>1628</v>
      </c>
      <c r="AB7" s="641"/>
    </row>
    <row r="8" spans="24:28" ht="24.75" thickBot="1">
      <c r="X8" s="226"/>
      <c r="Y8" s="226"/>
      <c r="Z8" s="227" t="s">
        <v>1617</v>
      </c>
      <c r="AA8" s="226"/>
      <c r="AB8" s="642"/>
    </row>
    <row r="9" spans="24:28" ht="25.5" thickBot="1" thickTop="1">
      <c r="X9" s="228">
        <v>1</v>
      </c>
      <c r="Y9" s="228" t="s">
        <v>1618</v>
      </c>
      <c r="Z9" s="228" t="s">
        <v>1619</v>
      </c>
      <c r="AA9" s="228" t="s">
        <v>1583</v>
      </c>
      <c r="AB9" s="237" t="s">
        <v>1620</v>
      </c>
    </row>
    <row r="10" spans="24:28" ht="24.75" thickBot="1">
      <c r="X10" s="229">
        <v>2</v>
      </c>
      <c r="Y10" s="229" t="s">
        <v>1618</v>
      </c>
      <c r="Z10" s="229" t="s">
        <v>1619</v>
      </c>
      <c r="AA10" s="230" t="s">
        <v>1584</v>
      </c>
      <c r="AB10" s="238" t="s">
        <v>1621</v>
      </c>
    </row>
    <row r="11" spans="24:28" ht="24.75" thickBot="1">
      <c r="X11" s="233">
        <v>3</v>
      </c>
      <c r="Y11" s="233" t="s">
        <v>1618</v>
      </c>
      <c r="Z11" s="233" t="s">
        <v>1629</v>
      </c>
      <c r="AA11" s="233" t="s">
        <v>1583</v>
      </c>
      <c r="AB11" s="239" t="s">
        <v>1631</v>
      </c>
    </row>
    <row r="12" spans="24:28" ht="24.75" thickBot="1">
      <c r="X12" s="234">
        <v>4</v>
      </c>
      <c r="Y12" s="234" t="s">
        <v>1618</v>
      </c>
      <c r="Z12" s="234" t="s">
        <v>1629</v>
      </c>
      <c r="AA12" s="235" t="s">
        <v>1584</v>
      </c>
      <c r="AB12" s="240" t="s">
        <v>1635</v>
      </c>
    </row>
    <row r="13" spans="24:28" ht="24.75" thickBot="1">
      <c r="X13" s="231">
        <v>5</v>
      </c>
      <c r="Y13" s="232" t="s">
        <v>1584</v>
      </c>
      <c r="Z13" s="232" t="s">
        <v>1630</v>
      </c>
      <c r="AA13" s="231" t="s">
        <v>1583</v>
      </c>
      <c r="AB13" s="241" t="s">
        <v>1623</v>
      </c>
    </row>
    <row r="14" spans="24:28" ht="24.75" thickBot="1">
      <c r="X14" s="234">
        <v>6</v>
      </c>
      <c r="Y14" s="235" t="s">
        <v>1584</v>
      </c>
      <c r="Z14" s="235" t="s">
        <v>1630</v>
      </c>
      <c r="AA14" s="235" t="s">
        <v>1624</v>
      </c>
      <c r="AB14" s="240" t="s">
        <v>1634</v>
      </c>
    </row>
    <row r="15" spans="24:28" ht="24.75" thickBot="1">
      <c r="X15" s="233">
        <v>7</v>
      </c>
      <c r="Y15" s="236" t="s">
        <v>1584</v>
      </c>
      <c r="Z15" s="236" t="s">
        <v>1624</v>
      </c>
      <c r="AA15" s="233" t="s">
        <v>1583</v>
      </c>
      <c r="AB15" s="239" t="s">
        <v>1632</v>
      </c>
    </row>
    <row r="16" spans="24:28" ht="24">
      <c r="X16" s="234">
        <v>8</v>
      </c>
      <c r="Y16" s="235" t="s">
        <v>1584</v>
      </c>
      <c r="Z16" s="235" t="s">
        <v>1624</v>
      </c>
      <c r="AA16" s="235" t="s">
        <v>1584</v>
      </c>
      <c r="AB16" s="240" t="s">
        <v>1633</v>
      </c>
    </row>
  </sheetData>
  <sheetProtection/>
  <mergeCells count="15">
    <mergeCell ref="H1:H2"/>
    <mergeCell ref="I1:I2"/>
    <mergeCell ref="J1:J2"/>
    <mergeCell ref="K1:K2"/>
    <mergeCell ref="L1:L2"/>
    <mergeCell ref="AB5:AB8"/>
    <mergeCell ref="M1:M2"/>
    <mergeCell ref="N1:N2"/>
    <mergeCell ref="G1:G2"/>
    <mergeCell ref="F1:F2"/>
    <mergeCell ref="A1:A2"/>
    <mergeCell ref="B1:B2"/>
    <mergeCell ref="C1:C2"/>
    <mergeCell ref="D1:D2"/>
    <mergeCell ref="E1:E2"/>
  </mergeCells>
  <conditionalFormatting sqref="D1 D3:D65536">
    <cfRule type="containsText" priority="13" dxfId="12" operator="containsText" text="เกินดุล">
      <formula>NOT(ISERROR(SEARCH("เกินดุล",D1)))</formula>
    </cfRule>
    <cfRule type="containsText" priority="14" dxfId="1" operator="containsText" text="สมดุล">
      <formula>NOT(ISERROR(SEARCH("สมดุล",D1)))</formula>
    </cfRule>
    <cfRule type="containsText" priority="15" dxfId="10" operator="containsText" text="ขาดดุล">
      <formula>NOT(ISERROR(SEARCH("ขาดดุล",D1)))</formula>
    </cfRule>
    <cfRule type="containsText" priority="16" dxfId="0" operator="containsText" text="สมดุล">
      <formula>NOT(ISERROR(SEARCH("สมดุล",D1)))</formula>
    </cfRule>
  </conditionalFormatting>
  <conditionalFormatting sqref="H4">
    <cfRule type="cellIs" priority="12" dxfId="8" operator="lessThan">
      <formula>0</formula>
    </cfRule>
  </conditionalFormatting>
  <conditionalFormatting sqref="R4">
    <cfRule type="cellIs" priority="1" dxfId="7" operator="equal">
      <formula>8</formula>
    </cfRule>
    <cfRule type="cellIs" priority="2" dxfId="3" operator="equal">
      <formula>7</formula>
    </cfRule>
    <cfRule type="cellIs" priority="3" dxfId="3" operator="equal">
      <formula>6</formula>
    </cfRule>
    <cfRule type="cellIs" priority="4" dxfId="1" operator="equal">
      <formula>5</formula>
    </cfRule>
    <cfRule type="cellIs" priority="5" dxfId="3" operator="equal">
      <formula>4</formula>
    </cfRule>
    <cfRule type="cellIs" priority="6" dxfId="1" operator="equal">
      <formula>3</formula>
    </cfRule>
    <cfRule type="cellIs" priority="9" dxfId="1" operator="equal">
      <formula>2</formula>
    </cfRule>
    <cfRule type="cellIs" priority="10" dxfId="0" operator="equal">
      <formula>1</formula>
    </cfRule>
    <cfRule type="colorScale" priority="11" dxfId="1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98"/>
  <sheetViews>
    <sheetView zoomScale="80" zoomScaleNormal="80" zoomScalePageLayoutView="0" workbookViewId="0" topLeftCell="A1">
      <pane xSplit="4" ySplit="1" topLeftCell="E2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D72" sqref="D72"/>
    </sheetView>
  </sheetViews>
  <sheetFormatPr defaultColWidth="9.140625" defaultRowHeight="15"/>
  <cols>
    <col min="1" max="1" width="19.8515625" style="81" customWidth="1"/>
    <col min="2" max="2" width="60.7109375" style="81" customWidth="1"/>
    <col min="3" max="3" width="14.00390625" style="81" bestFit="1" customWidth="1"/>
    <col min="4" max="4" width="30.28125" style="81" bestFit="1" customWidth="1"/>
    <col min="5" max="5" width="17.00390625" style="128" bestFit="1" customWidth="1"/>
    <col min="6" max="6" width="42.140625" style="81" bestFit="1" customWidth="1"/>
    <col min="7" max="7" width="7.00390625" style="81" bestFit="1" customWidth="1"/>
    <col min="8" max="8" width="8.7109375" style="81" bestFit="1" customWidth="1"/>
    <col min="9" max="16384" width="9.00390625" style="81" customWidth="1"/>
  </cols>
  <sheetData>
    <row r="1" spans="1:11" ht="27.75">
      <c r="A1" s="131" t="s">
        <v>1402</v>
      </c>
      <c r="B1" s="131" t="s">
        <v>1403</v>
      </c>
      <c r="C1" s="132" t="s">
        <v>745</v>
      </c>
      <c r="D1" s="132" t="s">
        <v>746</v>
      </c>
      <c r="E1" s="129" t="s">
        <v>747</v>
      </c>
      <c r="F1" s="130" t="s">
        <v>748</v>
      </c>
      <c r="G1" s="137" t="s">
        <v>1400</v>
      </c>
      <c r="H1" s="137" t="s">
        <v>1401</v>
      </c>
      <c r="I1" s="81" t="s">
        <v>1404</v>
      </c>
      <c r="J1" s="81" t="s">
        <v>1405</v>
      </c>
      <c r="K1" s="81" t="s">
        <v>1406</v>
      </c>
    </row>
    <row r="2" spans="1:11" ht="27.75">
      <c r="A2" s="135" t="s">
        <v>999</v>
      </c>
      <c r="B2" s="135" t="s">
        <v>1000</v>
      </c>
      <c r="C2" s="135" t="s">
        <v>16</v>
      </c>
      <c r="D2" s="135" t="s">
        <v>17</v>
      </c>
      <c r="E2" s="135" t="s">
        <v>1338</v>
      </c>
      <c r="F2" s="135" t="s">
        <v>17</v>
      </c>
      <c r="G2" s="136">
        <v>12</v>
      </c>
      <c r="H2" s="135" t="s">
        <v>1338</v>
      </c>
      <c r="I2" s="81" t="s">
        <v>1407</v>
      </c>
      <c r="J2" s="81">
        <v>42643</v>
      </c>
      <c r="K2" s="81" t="s">
        <v>1408</v>
      </c>
    </row>
    <row r="3" spans="1:11" ht="27.75">
      <c r="A3" s="135" t="s">
        <v>144</v>
      </c>
      <c r="B3" s="135" t="s">
        <v>145</v>
      </c>
      <c r="C3" s="135" t="s">
        <v>16</v>
      </c>
      <c r="D3" s="135" t="s">
        <v>17</v>
      </c>
      <c r="E3" s="135" t="s">
        <v>1338</v>
      </c>
      <c r="F3" s="135" t="s">
        <v>17</v>
      </c>
      <c r="G3" s="136">
        <v>12</v>
      </c>
      <c r="H3" s="135" t="s">
        <v>1338</v>
      </c>
      <c r="I3" s="81" t="s">
        <v>1409</v>
      </c>
      <c r="K3" s="81" t="s">
        <v>1408</v>
      </c>
    </row>
    <row r="4" spans="1:11" ht="27.75">
      <c r="A4" s="135" t="s">
        <v>146</v>
      </c>
      <c r="B4" s="135" t="s">
        <v>147</v>
      </c>
      <c r="C4" s="135" t="s">
        <v>16</v>
      </c>
      <c r="D4" s="135" t="s">
        <v>17</v>
      </c>
      <c r="E4" s="135" t="s">
        <v>1338</v>
      </c>
      <c r="F4" s="135" t="s">
        <v>17</v>
      </c>
      <c r="G4" s="136">
        <v>12</v>
      </c>
      <c r="H4" s="135" t="s">
        <v>1338</v>
      </c>
      <c r="I4" s="81" t="s">
        <v>1409</v>
      </c>
      <c r="K4" s="81" t="s">
        <v>1408</v>
      </c>
    </row>
    <row r="5" spans="1:11" ht="27.75">
      <c r="A5" s="135" t="s">
        <v>148</v>
      </c>
      <c r="B5" s="135" t="s">
        <v>149</v>
      </c>
      <c r="C5" s="135" t="s">
        <v>16</v>
      </c>
      <c r="D5" s="135" t="s">
        <v>17</v>
      </c>
      <c r="E5" s="135" t="s">
        <v>1338</v>
      </c>
      <c r="F5" s="135" t="s">
        <v>17</v>
      </c>
      <c r="G5" s="136">
        <v>12</v>
      </c>
      <c r="H5" s="135" t="s">
        <v>1338</v>
      </c>
      <c r="I5" s="81" t="s">
        <v>1409</v>
      </c>
      <c r="K5" s="81" t="s">
        <v>1408</v>
      </c>
    </row>
    <row r="6" spans="1:11" ht="27.75">
      <c r="A6" s="135" t="s">
        <v>150</v>
      </c>
      <c r="B6" s="135" t="s">
        <v>151</v>
      </c>
      <c r="C6" s="135" t="s">
        <v>16</v>
      </c>
      <c r="D6" s="135" t="s">
        <v>17</v>
      </c>
      <c r="E6" s="135" t="s">
        <v>1338</v>
      </c>
      <c r="F6" s="135" t="s">
        <v>17</v>
      </c>
      <c r="G6" s="136">
        <v>12</v>
      </c>
      <c r="H6" s="135" t="s">
        <v>1338</v>
      </c>
      <c r="I6" s="81" t="s">
        <v>1409</v>
      </c>
      <c r="K6" s="81" t="s">
        <v>1408</v>
      </c>
    </row>
    <row r="7" spans="1:11" ht="27.75">
      <c r="A7" s="135" t="s">
        <v>152</v>
      </c>
      <c r="B7" s="135" t="s">
        <v>1410</v>
      </c>
      <c r="C7" s="135" t="s">
        <v>16</v>
      </c>
      <c r="D7" s="135" t="s">
        <v>17</v>
      </c>
      <c r="E7" s="135" t="s">
        <v>1338</v>
      </c>
      <c r="F7" s="135" t="s">
        <v>17</v>
      </c>
      <c r="G7" s="136">
        <v>12</v>
      </c>
      <c r="H7" s="135" t="s">
        <v>1338</v>
      </c>
      <c r="I7" s="81" t="s">
        <v>1409</v>
      </c>
      <c r="K7" s="81" t="s">
        <v>1408</v>
      </c>
    </row>
    <row r="8" spans="1:11" ht="27.75">
      <c r="A8" s="135" t="s">
        <v>1001</v>
      </c>
      <c r="B8" s="135" t="s">
        <v>1002</v>
      </c>
      <c r="C8" s="135" t="s">
        <v>16</v>
      </c>
      <c r="D8" s="135" t="s">
        <v>17</v>
      </c>
      <c r="E8" s="135" t="s">
        <v>1338</v>
      </c>
      <c r="F8" s="135" t="s">
        <v>17</v>
      </c>
      <c r="G8" s="136">
        <v>12</v>
      </c>
      <c r="H8" s="135" t="s">
        <v>1338</v>
      </c>
      <c r="I8" s="81" t="s">
        <v>1407</v>
      </c>
      <c r="J8" s="81">
        <v>42643</v>
      </c>
      <c r="K8" s="81" t="s">
        <v>1408</v>
      </c>
    </row>
    <row r="9" spans="1:11" ht="27.75">
      <c r="A9" s="135" t="s">
        <v>153</v>
      </c>
      <c r="B9" s="135" t="s">
        <v>154</v>
      </c>
      <c r="C9" s="135" t="s">
        <v>16</v>
      </c>
      <c r="D9" s="135" t="s">
        <v>17</v>
      </c>
      <c r="E9" s="135" t="s">
        <v>1338</v>
      </c>
      <c r="F9" s="135" t="s">
        <v>17</v>
      </c>
      <c r="G9" s="136">
        <v>12</v>
      </c>
      <c r="H9" s="135" t="s">
        <v>1338</v>
      </c>
      <c r="I9" s="81" t="s">
        <v>1409</v>
      </c>
      <c r="K9" s="81" t="s">
        <v>1408</v>
      </c>
    </row>
    <row r="10" spans="1:11" ht="27.75">
      <c r="A10" s="135" t="s">
        <v>1003</v>
      </c>
      <c r="B10" s="135" t="s">
        <v>1004</v>
      </c>
      <c r="C10" s="135" t="s">
        <v>16</v>
      </c>
      <c r="D10" s="135" t="s">
        <v>17</v>
      </c>
      <c r="E10" s="135" t="s">
        <v>1338</v>
      </c>
      <c r="F10" s="135" t="s">
        <v>17</v>
      </c>
      <c r="G10" s="136">
        <v>12</v>
      </c>
      <c r="H10" s="135" t="s">
        <v>1338</v>
      </c>
      <c r="I10" s="81" t="s">
        <v>1407</v>
      </c>
      <c r="J10" s="81">
        <v>42643</v>
      </c>
      <c r="K10" s="81" t="s">
        <v>1408</v>
      </c>
    </row>
    <row r="11" spans="1:11" ht="27.75">
      <c r="A11" s="135" t="s">
        <v>1005</v>
      </c>
      <c r="B11" s="135" t="s">
        <v>1006</v>
      </c>
      <c r="C11" s="135" t="s">
        <v>16</v>
      </c>
      <c r="D11" s="135" t="s">
        <v>17</v>
      </c>
      <c r="E11" s="135" t="s">
        <v>1338</v>
      </c>
      <c r="F11" s="135" t="s">
        <v>17</v>
      </c>
      <c r="G11" s="136">
        <v>12</v>
      </c>
      <c r="H11" s="135" t="s">
        <v>1338</v>
      </c>
      <c r="I11" s="81" t="s">
        <v>1407</v>
      </c>
      <c r="J11" s="81">
        <v>42643</v>
      </c>
      <c r="K11" s="81" t="s">
        <v>1408</v>
      </c>
    </row>
    <row r="12" spans="1:11" ht="27.75">
      <c r="A12" s="135" t="s">
        <v>155</v>
      </c>
      <c r="B12" s="135" t="s">
        <v>177</v>
      </c>
      <c r="C12" s="135" t="s">
        <v>16</v>
      </c>
      <c r="D12" s="135" t="s">
        <v>17</v>
      </c>
      <c r="E12" s="135" t="s">
        <v>1338</v>
      </c>
      <c r="F12" s="135" t="s">
        <v>17</v>
      </c>
      <c r="G12" s="136">
        <v>12</v>
      </c>
      <c r="H12" s="135" t="s">
        <v>1338</v>
      </c>
      <c r="I12" s="81" t="s">
        <v>1409</v>
      </c>
      <c r="K12" s="81" t="s">
        <v>1408</v>
      </c>
    </row>
    <row r="13" spans="1:11" ht="27.75">
      <c r="A13" s="135" t="s">
        <v>156</v>
      </c>
      <c r="B13" s="135" t="s">
        <v>179</v>
      </c>
      <c r="C13" s="135" t="s">
        <v>16</v>
      </c>
      <c r="D13" s="135" t="s">
        <v>17</v>
      </c>
      <c r="E13" s="135" t="s">
        <v>1338</v>
      </c>
      <c r="F13" s="135" t="s">
        <v>17</v>
      </c>
      <c r="G13" s="136">
        <v>12</v>
      </c>
      <c r="H13" s="135" t="s">
        <v>1338</v>
      </c>
      <c r="I13" s="81" t="s">
        <v>1409</v>
      </c>
      <c r="K13" s="81" t="s">
        <v>1408</v>
      </c>
    </row>
    <row r="14" spans="1:11" ht="27.75">
      <c r="A14" s="135" t="s">
        <v>157</v>
      </c>
      <c r="B14" s="135" t="s">
        <v>158</v>
      </c>
      <c r="C14" s="135" t="s">
        <v>16</v>
      </c>
      <c r="D14" s="135" t="s">
        <v>17</v>
      </c>
      <c r="E14" s="135" t="s">
        <v>1338</v>
      </c>
      <c r="F14" s="135" t="s">
        <v>17</v>
      </c>
      <c r="G14" s="136">
        <v>12</v>
      </c>
      <c r="H14" s="135" t="s">
        <v>1338</v>
      </c>
      <c r="I14" s="81" t="s">
        <v>1409</v>
      </c>
      <c r="K14" s="81" t="s">
        <v>1408</v>
      </c>
    </row>
    <row r="15" spans="1:11" ht="27.75">
      <c r="A15" s="135" t="s">
        <v>1007</v>
      </c>
      <c r="B15" s="135" t="s">
        <v>1008</v>
      </c>
      <c r="C15" s="135" t="s">
        <v>16</v>
      </c>
      <c r="D15" s="135" t="s">
        <v>17</v>
      </c>
      <c r="E15" s="135" t="s">
        <v>1338</v>
      </c>
      <c r="F15" s="135" t="s">
        <v>17</v>
      </c>
      <c r="G15" s="136">
        <v>12</v>
      </c>
      <c r="H15" s="135" t="s">
        <v>1338</v>
      </c>
      <c r="I15" s="81" t="s">
        <v>1407</v>
      </c>
      <c r="J15" s="81">
        <v>42643</v>
      </c>
      <c r="K15" s="81" t="s">
        <v>1408</v>
      </c>
    </row>
    <row r="16" spans="1:11" ht="27.75">
      <c r="A16" s="135" t="s">
        <v>1009</v>
      </c>
      <c r="B16" s="135" t="s">
        <v>1010</v>
      </c>
      <c r="C16" s="135" t="s">
        <v>16</v>
      </c>
      <c r="D16" s="135" t="s">
        <v>17</v>
      </c>
      <c r="E16" s="135" t="s">
        <v>1338</v>
      </c>
      <c r="F16" s="135" t="s">
        <v>17</v>
      </c>
      <c r="G16" s="136">
        <v>12</v>
      </c>
      <c r="H16" s="135" t="s">
        <v>1338</v>
      </c>
      <c r="I16" s="81" t="s">
        <v>1407</v>
      </c>
      <c r="J16" s="81">
        <v>42643</v>
      </c>
      <c r="K16" s="81" t="s">
        <v>1408</v>
      </c>
    </row>
    <row r="17" spans="1:11" ht="27.75">
      <c r="A17" s="135" t="s">
        <v>159</v>
      </c>
      <c r="B17" s="135" t="s">
        <v>160</v>
      </c>
      <c r="C17" s="135" t="s">
        <v>16</v>
      </c>
      <c r="D17" s="135" t="s">
        <v>17</v>
      </c>
      <c r="E17" s="135" t="s">
        <v>1338</v>
      </c>
      <c r="F17" s="135" t="s">
        <v>17</v>
      </c>
      <c r="G17" s="136">
        <v>12</v>
      </c>
      <c r="H17" s="135" t="s">
        <v>1338</v>
      </c>
      <c r="I17" s="81" t="s">
        <v>1409</v>
      </c>
      <c r="K17" s="81" t="s">
        <v>1408</v>
      </c>
    </row>
    <row r="18" spans="1:11" ht="27.75">
      <c r="A18" s="135" t="s">
        <v>117</v>
      </c>
      <c r="B18" s="135" t="s">
        <v>118</v>
      </c>
      <c r="C18" s="135" t="s">
        <v>12</v>
      </c>
      <c r="D18" s="135" t="s">
        <v>13</v>
      </c>
      <c r="E18" s="135" t="s">
        <v>1331</v>
      </c>
      <c r="F18" s="135" t="s">
        <v>1332</v>
      </c>
      <c r="G18" s="136">
        <v>10</v>
      </c>
      <c r="H18" s="135" t="s">
        <v>1331</v>
      </c>
      <c r="I18" s="81" t="s">
        <v>1409</v>
      </c>
      <c r="K18" s="81" t="s">
        <v>1408</v>
      </c>
    </row>
    <row r="19" spans="1:11" ht="27.75">
      <c r="A19" s="135" t="s">
        <v>119</v>
      </c>
      <c r="B19" s="135" t="s">
        <v>120</v>
      </c>
      <c r="C19" s="135" t="s">
        <v>12</v>
      </c>
      <c r="D19" s="135" t="s">
        <v>13</v>
      </c>
      <c r="E19" s="135" t="s">
        <v>1331</v>
      </c>
      <c r="F19" s="135" t="s">
        <v>1332</v>
      </c>
      <c r="G19" s="136">
        <v>10</v>
      </c>
      <c r="H19" s="135" t="s">
        <v>1331</v>
      </c>
      <c r="I19" s="81" t="s">
        <v>1409</v>
      </c>
      <c r="K19" s="81" t="s">
        <v>1408</v>
      </c>
    </row>
    <row r="20" spans="1:11" ht="27.75">
      <c r="A20" s="135" t="s">
        <v>835</v>
      </c>
      <c r="B20" s="135" t="s">
        <v>122</v>
      </c>
      <c r="C20" s="135" t="s">
        <v>12</v>
      </c>
      <c r="D20" s="135" t="s">
        <v>13</v>
      </c>
      <c r="E20" s="135" t="s">
        <v>1331</v>
      </c>
      <c r="F20" s="135" t="s">
        <v>1332</v>
      </c>
      <c r="G20" s="136">
        <v>10</v>
      </c>
      <c r="H20" s="135" t="s">
        <v>1331</v>
      </c>
      <c r="I20" s="81" t="s">
        <v>1409</v>
      </c>
      <c r="K20" s="81" t="s">
        <v>1411</v>
      </c>
    </row>
    <row r="21" spans="1:11" ht="27.75">
      <c r="A21" s="135" t="s">
        <v>836</v>
      </c>
      <c r="B21" s="135" t="s">
        <v>123</v>
      </c>
      <c r="C21" s="135" t="s">
        <v>12</v>
      </c>
      <c r="D21" s="135" t="s">
        <v>13</v>
      </c>
      <c r="E21" s="135" t="s">
        <v>1331</v>
      </c>
      <c r="F21" s="135" t="s">
        <v>1332</v>
      </c>
      <c r="G21" s="136">
        <v>10</v>
      </c>
      <c r="H21" s="135" t="s">
        <v>1331</v>
      </c>
      <c r="I21" s="81" t="s">
        <v>1409</v>
      </c>
      <c r="K21" s="81" t="s">
        <v>1411</v>
      </c>
    </row>
    <row r="22" spans="1:11" ht="27.75">
      <c r="A22" s="135" t="s">
        <v>837</v>
      </c>
      <c r="B22" s="135" t="s">
        <v>838</v>
      </c>
      <c r="C22" s="135" t="s">
        <v>12</v>
      </c>
      <c r="D22" s="135" t="s">
        <v>13</v>
      </c>
      <c r="E22" s="135" t="s">
        <v>1331</v>
      </c>
      <c r="F22" s="135" t="s">
        <v>1332</v>
      </c>
      <c r="G22" s="136">
        <v>10</v>
      </c>
      <c r="H22" s="135" t="s">
        <v>1331</v>
      </c>
      <c r="I22" s="81" t="s">
        <v>1409</v>
      </c>
      <c r="K22" s="81" t="s">
        <v>1411</v>
      </c>
    </row>
    <row r="23" spans="1:11" ht="27.75">
      <c r="A23" s="135" t="s">
        <v>1011</v>
      </c>
      <c r="B23" s="135" t="s">
        <v>121</v>
      </c>
      <c r="C23" s="135" t="s">
        <v>12</v>
      </c>
      <c r="D23" s="135" t="s">
        <v>13</v>
      </c>
      <c r="E23" s="135" t="s">
        <v>1331</v>
      </c>
      <c r="F23" s="135" t="s">
        <v>1332</v>
      </c>
      <c r="G23" s="136">
        <v>10</v>
      </c>
      <c r="H23" s="135" t="s">
        <v>1331</v>
      </c>
      <c r="I23" s="81" t="s">
        <v>1407</v>
      </c>
      <c r="J23" s="81">
        <v>42643</v>
      </c>
      <c r="K23" s="81" t="s">
        <v>1408</v>
      </c>
    </row>
    <row r="24" spans="1:11" ht="27.75">
      <c r="A24" s="135" t="s">
        <v>1012</v>
      </c>
      <c r="B24" s="135" t="s">
        <v>84</v>
      </c>
      <c r="C24" s="135" t="s">
        <v>6</v>
      </c>
      <c r="D24" s="135" t="s">
        <v>7</v>
      </c>
      <c r="E24" s="135" t="s">
        <v>1310</v>
      </c>
      <c r="F24" s="135" t="s">
        <v>1311</v>
      </c>
      <c r="G24" s="136">
        <v>7</v>
      </c>
      <c r="H24" s="135" t="s">
        <v>1310</v>
      </c>
      <c r="I24" s="81" t="s">
        <v>1407</v>
      </c>
      <c r="J24" s="81">
        <v>42643</v>
      </c>
      <c r="K24" s="81" t="s">
        <v>1408</v>
      </c>
    </row>
    <row r="25" spans="1:11" ht="27.75">
      <c r="A25" s="135" t="s">
        <v>1013</v>
      </c>
      <c r="B25" s="135" t="s">
        <v>122</v>
      </c>
      <c r="C25" s="135" t="s">
        <v>12</v>
      </c>
      <c r="D25" s="135" t="s">
        <v>13</v>
      </c>
      <c r="E25" s="135" t="s">
        <v>1331</v>
      </c>
      <c r="F25" s="135" t="s">
        <v>1332</v>
      </c>
      <c r="G25" s="136">
        <v>10</v>
      </c>
      <c r="H25" s="135" t="s">
        <v>1331</v>
      </c>
      <c r="I25" s="81" t="s">
        <v>1407</v>
      </c>
      <c r="J25" s="81">
        <v>42643</v>
      </c>
      <c r="K25" s="81" t="s">
        <v>1408</v>
      </c>
    </row>
    <row r="26" spans="1:11" ht="27.75">
      <c r="A26" s="135" t="s">
        <v>1014</v>
      </c>
      <c r="B26" s="135" t="s">
        <v>123</v>
      </c>
      <c r="C26" s="135" t="s">
        <v>12</v>
      </c>
      <c r="D26" s="135" t="s">
        <v>13</v>
      </c>
      <c r="E26" s="135" t="s">
        <v>1331</v>
      </c>
      <c r="F26" s="135" t="s">
        <v>1332</v>
      </c>
      <c r="G26" s="136">
        <v>10</v>
      </c>
      <c r="H26" s="135" t="s">
        <v>1331</v>
      </c>
      <c r="I26" s="81" t="s">
        <v>1407</v>
      </c>
      <c r="J26" s="81">
        <v>42643</v>
      </c>
      <c r="K26" s="81" t="s">
        <v>1408</v>
      </c>
    </row>
    <row r="27" spans="1:11" ht="27.75">
      <c r="A27" s="135" t="s">
        <v>124</v>
      </c>
      <c r="B27" s="135" t="s">
        <v>125</v>
      </c>
      <c r="C27" s="135" t="s">
        <v>12</v>
      </c>
      <c r="D27" s="135" t="s">
        <v>13</v>
      </c>
      <c r="E27" s="135" t="s">
        <v>1331</v>
      </c>
      <c r="F27" s="135" t="s">
        <v>1332</v>
      </c>
      <c r="G27" s="136">
        <v>10</v>
      </c>
      <c r="H27" s="135" t="s">
        <v>1331</v>
      </c>
      <c r="I27" s="81" t="s">
        <v>1409</v>
      </c>
      <c r="K27" s="81" t="s">
        <v>1408</v>
      </c>
    </row>
    <row r="28" spans="1:11" ht="27.75">
      <c r="A28" s="135" t="s">
        <v>126</v>
      </c>
      <c r="B28" s="135" t="s">
        <v>127</v>
      </c>
      <c r="C28" s="135" t="s">
        <v>12</v>
      </c>
      <c r="D28" s="135" t="s">
        <v>13</v>
      </c>
      <c r="E28" s="135" t="s">
        <v>1331</v>
      </c>
      <c r="F28" s="135" t="s">
        <v>1332</v>
      </c>
      <c r="G28" s="136">
        <v>10</v>
      </c>
      <c r="H28" s="135" t="s">
        <v>1331</v>
      </c>
      <c r="I28" s="81" t="s">
        <v>1409</v>
      </c>
      <c r="K28" s="81" t="s">
        <v>1408</v>
      </c>
    </row>
    <row r="29" spans="1:11" ht="27.75">
      <c r="A29" s="135" t="s">
        <v>839</v>
      </c>
      <c r="B29" s="135" t="s">
        <v>121</v>
      </c>
      <c r="C29" s="135" t="s">
        <v>12</v>
      </c>
      <c r="D29" s="135" t="s">
        <v>13</v>
      </c>
      <c r="E29" s="135" t="s">
        <v>1331</v>
      </c>
      <c r="F29" s="135" t="s">
        <v>1332</v>
      </c>
      <c r="G29" s="136">
        <v>10</v>
      </c>
      <c r="H29" s="135" t="s">
        <v>1331</v>
      </c>
      <c r="I29" s="81" t="s">
        <v>1409</v>
      </c>
      <c r="K29" s="81" t="s">
        <v>1411</v>
      </c>
    </row>
    <row r="30" spans="1:11" ht="27.75">
      <c r="A30" s="135" t="s">
        <v>840</v>
      </c>
      <c r="B30" s="135" t="s">
        <v>84</v>
      </c>
      <c r="C30" s="135" t="s">
        <v>6</v>
      </c>
      <c r="D30" s="135" t="s">
        <v>7</v>
      </c>
      <c r="E30" s="135" t="s">
        <v>1310</v>
      </c>
      <c r="F30" s="135" t="s">
        <v>1311</v>
      </c>
      <c r="G30" s="136">
        <v>7</v>
      </c>
      <c r="H30" s="135" t="s">
        <v>1310</v>
      </c>
      <c r="I30" s="81" t="s">
        <v>1409</v>
      </c>
      <c r="K30" s="81" t="s">
        <v>1411</v>
      </c>
    </row>
    <row r="31" spans="1:11" ht="27.75">
      <c r="A31" s="135" t="s">
        <v>841</v>
      </c>
      <c r="B31" s="135" t="s">
        <v>842</v>
      </c>
      <c r="C31" s="135" t="s">
        <v>2</v>
      </c>
      <c r="D31" s="135" t="s">
        <v>3</v>
      </c>
      <c r="E31" s="135" t="s">
        <v>1299</v>
      </c>
      <c r="F31" s="135" t="s">
        <v>3</v>
      </c>
      <c r="G31" s="136">
        <v>5</v>
      </c>
      <c r="H31" s="135" t="s">
        <v>1299</v>
      </c>
      <c r="I31" s="81" t="s">
        <v>1409</v>
      </c>
      <c r="K31" s="81" t="s">
        <v>1411</v>
      </c>
    </row>
    <row r="32" spans="1:11" ht="27.75">
      <c r="A32" s="135" t="s">
        <v>843</v>
      </c>
      <c r="B32" s="135" t="s">
        <v>844</v>
      </c>
      <c r="C32" s="135" t="s">
        <v>12</v>
      </c>
      <c r="D32" s="135" t="s">
        <v>13</v>
      </c>
      <c r="E32" s="135" t="s">
        <v>1331</v>
      </c>
      <c r="F32" s="135" t="s">
        <v>1332</v>
      </c>
      <c r="G32" s="136">
        <v>10</v>
      </c>
      <c r="H32" s="135" t="s">
        <v>1331</v>
      </c>
      <c r="I32" s="81" t="s">
        <v>1409</v>
      </c>
      <c r="K32" s="81" t="s">
        <v>1411</v>
      </c>
    </row>
    <row r="33" spans="1:11" ht="27.75">
      <c r="A33" s="135" t="s">
        <v>1015</v>
      </c>
      <c r="B33" s="135" t="s">
        <v>1016</v>
      </c>
      <c r="C33" s="135" t="s">
        <v>12</v>
      </c>
      <c r="D33" s="135" t="s">
        <v>13</v>
      </c>
      <c r="E33" s="135" t="s">
        <v>1331</v>
      </c>
      <c r="F33" s="135" t="s">
        <v>1332</v>
      </c>
      <c r="G33" s="136">
        <v>10</v>
      </c>
      <c r="H33" s="135" t="s">
        <v>1331</v>
      </c>
      <c r="I33" s="81" t="s">
        <v>1407</v>
      </c>
      <c r="J33" s="81">
        <v>42643</v>
      </c>
      <c r="K33" s="81" t="s">
        <v>1408</v>
      </c>
    </row>
    <row r="34" spans="1:11" ht="27.75">
      <c r="A34" s="135" t="s">
        <v>76</v>
      </c>
      <c r="B34" s="135" t="s">
        <v>1412</v>
      </c>
      <c r="C34" s="135" t="s">
        <v>4</v>
      </c>
      <c r="D34" s="135" t="s">
        <v>5</v>
      </c>
      <c r="E34" s="135" t="s">
        <v>1300</v>
      </c>
      <c r="F34" s="135" t="s">
        <v>1301</v>
      </c>
      <c r="G34" s="136">
        <v>6</v>
      </c>
      <c r="H34" s="135" t="s">
        <v>1300</v>
      </c>
      <c r="I34" s="81" t="s">
        <v>1409</v>
      </c>
      <c r="K34" s="81" t="s">
        <v>1408</v>
      </c>
    </row>
    <row r="35" spans="1:11" ht="27.75">
      <c r="A35" s="135" t="s">
        <v>77</v>
      </c>
      <c r="B35" s="135" t="s">
        <v>1413</v>
      </c>
      <c r="C35" s="135" t="s">
        <v>4</v>
      </c>
      <c r="D35" s="135" t="s">
        <v>5</v>
      </c>
      <c r="E35" s="135" t="s">
        <v>1302</v>
      </c>
      <c r="F35" s="135" t="s">
        <v>1303</v>
      </c>
      <c r="G35" s="136">
        <v>6</v>
      </c>
      <c r="H35" s="135" t="s">
        <v>1302</v>
      </c>
      <c r="I35" s="81" t="s">
        <v>1409</v>
      </c>
      <c r="K35" s="81" t="s">
        <v>1408</v>
      </c>
    </row>
    <row r="36" spans="1:11" ht="27.75">
      <c r="A36" s="135" t="s">
        <v>128</v>
      </c>
      <c r="B36" s="135" t="s">
        <v>1414</v>
      </c>
      <c r="C36" s="135" t="s">
        <v>12</v>
      </c>
      <c r="D36" s="135" t="s">
        <v>13</v>
      </c>
      <c r="E36" s="135" t="s">
        <v>1333</v>
      </c>
      <c r="F36" s="135" t="s">
        <v>1334</v>
      </c>
      <c r="G36" s="136">
        <v>10</v>
      </c>
      <c r="H36" s="135" t="s">
        <v>1333</v>
      </c>
      <c r="I36" s="81" t="s">
        <v>1409</v>
      </c>
      <c r="K36" s="81" t="s">
        <v>1408</v>
      </c>
    </row>
    <row r="37" spans="1:11" ht="27.75">
      <c r="A37" s="135" t="s">
        <v>129</v>
      </c>
      <c r="B37" s="135" t="s">
        <v>1415</v>
      </c>
      <c r="C37" s="135" t="s">
        <v>12</v>
      </c>
      <c r="D37" s="135" t="s">
        <v>13</v>
      </c>
      <c r="E37" s="135" t="s">
        <v>1335</v>
      </c>
      <c r="F37" s="135" t="s">
        <v>1336</v>
      </c>
      <c r="G37" s="136">
        <v>10</v>
      </c>
      <c r="H37" s="135" t="s">
        <v>1335</v>
      </c>
      <c r="I37" s="81" t="s">
        <v>1409</v>
      </c>
      <c r="K37" s="81" t="s">
        <v>1408</v>
      </c>
    </row>
    <row r="38" spans="1:11" ht="27.75">
      <c r="A38" s="135" t="s">
        <v>85</v>
      </c>
      <c r="B38" s="135" t="s">
        <v>1416</v>
      </c>
      <c r="C38" s="135" t="s">
        <v>6</v>
      </c>
      <c r="D38" s="135" t="s">
        <v>7</v>
      </c>
      <c r="E38" s="135" t="s">
        <v>1312</v>
      </c>
      <c r="F38" s="135" t="s">
        <v>1313</v>
      </c>
      <c r="G38" s="136">
        <v>7</v>
      </c>
      <c r="H38" s="135" t="s">
        <v>1312</v>
      </c>
      <c r="I38" s="81" t="s">
        <v>1409</v>
      </c>
      <c r="K38" s="81" t="s">
        <v>1408</v>
      </c>
    </row>
    <row r="39" spans="1:11" ht="27.75">
      <c r="A39" s="135" t="s">
        <v>86</v>
      </c>
      <c r="B39" s="135" t="s">
        <v>1417</v>
      </c>
      <c r="C39" s="135" t="s">
        <v>6</v>
      </c>
      <c r="D39" s="135" t="s">
        <v>7</v>
      </c>
      <c r="E39" s="135" t="s">
        <v>1314</v>
      </c>
      <c r="F39" s="135" t="s">
        <v>1315</v>
      </c>
      <c r="G39" s="136">
        <v>7</v>
      </c>
      <c r="H39" s="135" t="s">
        <v>1314</v>
      </c>
      <c r="I39" s="81" t="s">
        <v>1409</v>
      </c>
      <c r="K39" s="81" t="s">
        <v>1408</v>
      </c>
    </row>
    <row r="40" spans="1:11" ht="27.75">
      <c r="A40" s="135" t="s">
        <v>87</v>
      </c>
      <c r="B40" s="135" t="s">
        <v>88</v>
      </c>
      <c r="C40" s="135" t="s">
        <v>6</v>
      </c>
      <c r="D40" s="135" t="s">
        <v>7</v>
      </c>
      <c r="E40" s="135" t="s">
        <v>1316</v>
      </c>
      <c r="F40" s="135" t="s">
        <v>669</v>
      </c>
      <c r="G40" s="136">
        <v>7</v>
      </c>
      <c r="H40" s="135" t="s">
        <v>1316</v>
      </c>
      <c r="I40" s="81" t="s">
        <v>1409</v>
      </c>
      <c r="K40" s="81" t="s">
        <v>1408</v>
      </c>
    </row>
    <row r="41" spans="1:11" ht="27.75">
      <c r="A41" s="135" t="s">
        <v>89</v>
      </c>
      <c r="B41" s="135" t="s">
        <v>90</v>
      </c>
      <c r="C41" s="135" t="s">
        <v>6</v>
      </c>
      <c r="D41" s="135" t="s">
        <v>7</v>
      </c>
      <c r="E41" s="135" t="s">
        <v>1316</v>
      </c>
      <c r="F41" s="135" t="s">
        <v>669</v>
      </c>
      <c r="G41" s="136">
        <v>7</v>
      </c>
      <c r="H41" s="135" t="s">
        <v>1316</v>
      </c>
      <c r="I41" s="81" t="s">
        <v>1409</v>
      </c>
      <c r="K41" s="81" t="s">
        <v>1408</v>
      </c>
    </row>
    <row r="42" spans="1:11" ht="27.75">
      <c r="A42" s="135" t="s">
        <v>130</v>
      </c>
      <c r="B42" s="135" t="s">
        <v>1418</v>
      </c>
      <c r="C42" s="135" t="s">
        <v>12</v>
      </c>
      <c r="D42" s="135" t="s">
        <v>13</v>
      </c>
      <c r="E42" s="135" t="s">
        <v>1333</v>
      </c>
      <c r="F42" s="135" t="s">
        <v>1334</v>
      </c>
      <c r="G42" s="136">
        <v>10</v>
      </c>
      <c r="H42" s="135" t="s">
        <v>1333</v>
      </c>
      <c r="I42" s="81" t="s">
        <v>1409</v>
      </c>
      <c r="K42" s="81" t="s">
        <v>1408</v>
      </c>
    </row>
    <row r="43" spans="1:11" ht="27.75">
      <c r="A43" s="135" t="s">
        <v>131</v>
      </c>
      <c r="B43" s="135" t="s">
        <v>1419</v>
      </c>
      <c r="C43" s="135" t="s">
        <v>12</v>
      </c>
      <c r="D43" s="135" t="s">
        <v>13</v>
      </c>
      <c r="E43" s="135" t="s">
        <v>1335</v>
      </c>
      <c r="F43" s="135" t="s">
        <v>1336</v>
      </c>
      <c r="G43" s="136">
        <v>10</v>
      </c>
      <c r="H43" s="135" t="s">
        <v>1335</v>
      </c>
      <c r="I43" s="81" t="s">
        <v>1409</v>
      </c>
      <c r="K43" s="81" t="s">
        <v>1408</v>
      </c>
    </row>
    <row r="44" spans="1:11" ht="27.75">
      <c r="A44" s="135" t="s">
        <v>78</v>
      </c>
      <c r="B44" s="135" t="s">
        <v>1420</v>
      </c>
      <c r="C44" s="135" t="s">
        <v>1304</v>
      </c>
      <c r="D44" s="135" t="s">
        <v>731</v>
      </c>
      <c r="E44" s="135" t="s">
        <v>1305</v>
      </c>
      <c r="F44" s="135" t="s">
        <v>1306</v>
      </c>
      <c r="G44" s="136">
        <v>162</v>
      </c>
      <c r="H44" s="135" t="s">
        <v>1305</v>
      </c>
      <c r="I44" s="81" t="s">
        <v>1409</v>
      </c>
      <c r="K44" s="81" t="s">
        <v>1408</v>
      </c>
    </row>
    <row r="45" spans="1:11" ht="27.75">
      <c r="A45" s="135" t="s">
        <v>79</v>
      </c>
      <c r="B45" s="135" t="s">
        <v>1421</v>
      </c>
      <c r="C45" s="135" t="s">
        <v>1304</v>
      </c>
      <c r="D45" s="135" t="s">
        <v>731</v>
      </c>
      <c r="E45" s="135" t="s">
        <v>1307</v>
      </c>
      <c r="F45" s="135" t="s">
        <v>1308</v>
      </c>
      <c r="G45" s="136">
        <v>162</v>
      </c>
      <c r="H45" s="135" t="s">
        <v>1307</v>
      </c>
      <c r="I45" s="81" t="s">
        <v>1409</v>
      </c>
      <c r="K45" s="81" t="s">
        <v>1408</v>
      </c>
    </row>
    <row r="46" spans="1:11" ht="27.75">
      <c r="A46" s="135" t="s">
        <v>80</v>
      </c>
      <c r="B46" s="135" t="s">
        <v>81</v>
      </c>
      <c r="C46" s="135" t="s">
        <v>1304</v>
      </c>
      <c r="D46" s="135" t="s">
        <v>731</v>
      </c>
      <c r="E46" s="135" t="s">
        <v>1309</v>
      </c>
      <c r="F46" s="135" t="s">
        <v>670</v>
      </c>
      <c r="G46" s="136">
        <v>162</v>
      </c>
      <c r="H46" s="135" t="s">
        <v>1309</v>
      </c>
      <c r="I46" s="81" t="s">
        <v>1409</v>
      </c>
      <c r="K46" s="81" t="s">
        <v>1408</v>
      </c>
    </row>
    <row r="47" spans="1:11" ht="27.75">
      <c r="A47" s="135" t="s">
        <v>82</v>
      </c>
      <c r="B47" s="135" t="s">
        <v>83</v>
      </c>
      <c r="C47" s="135" t="s">
        <v>1304</v>
      </c>
      <c r="D47" s="135" t="s">
        <v>731</v>
      </c>
      <c r="E47" s="135" t="s">
        <v>1309</v>
      </c>
      <c r="F47" s="135" t="s">
        <v>670</v>
      </c>
      <c r="G47" s="136">
        <v>162</v>
      </c>
      <c r="H47" s="135" t="s">
        <v>1309</v>
      </c>
      <c r="I47" s="81" t="s">
        <v>1409</v>
      </c>
      <c r="K47" s="81" t="s">
        <v>1408</v>
      </c>
    </row>
    <row r="48" spans="1:11" ht="27.75">
      <c r="A48" s="135" t="s">
        <v>845</v>
      </c>
      <c r="B48" s="135" t="s">
        <v>846</v>
      </c>
      <c r="C48" s="135" t="s">
        <v>1304</v>
      </c>
      <c r="D48" s="135" t="s">
        <v>731</v>
      </c>
      <c r="E48" s="135" t="s">
        <v>1309</v>
      </c>
      <c r="F48" s="135" t="s">
        <v>670</v>
      </c>
      <c r="G48" s="136">
        <v>162</v>
      </c>
      <c r="H48" s="135" t="s">
        <v>1309</v>
      </c>
      <c r="I48" s="81" t="s">
        <v>1409</v>
      </c>
      <c r="K48" s="81" t="s">
        <v>1411</v>
      </c>
    </row>
    <row r="49" spans="1:11" ht="27.75">
      <c r="A49" s="135" t="s">
        <v>847</v>
      </c>
      <c r="B49" s="135" t="s">
        <v>848</v>
      </c>
      <c r="C49" s="135" t="s">
        <v>1304</v>
      </c>
      <c r="D49" s="135" t="s">
        <v>731</v>
      </c>
      <c r="E49" s="135" t="s">
        <v>1307</v>
      </c>
      <c r="F49" s="135" t="s">
        <v>1308</v>
      </c>
      <c r="G49" s="136">
        <v>162</v>
      </c>
      <c r="H49" s="135" t="s">
        <v>1307</v>
      </c>
      <c r="I49" s="81" t="s">
        <v>1409</v>
      </c>
      <c r="K49" s="81" t="s">
        <v>1411</v>
      </c>
    </row>
    <row r="50" spans="1:11" ht="27.75">
      <c r="A50" s="135" t="s">
        <v>849</v>
      </c>
      <c r="B50" s="135" t="s">
        <v>850</v>
      </c>
      <c r="C50" s="135" t="s">
        <v>1304</v>
      </c>
      <c r="D50" s="135" t="s">
        <v>731</v>
      </c>
      <c r="E50" s="135" t="s">
        <v>1309</v>
      </c>
      <c r="F50" s="135" t="s">
        <v>670</v>
      </c>
      <c r="G50" s="136">
        <v>162</v>
      </c>
      <c r="H50" s="135" t="s">
        <v>1309</v>
      </c>
      <c r="I50" s="81" t="s">
        <v>1409</v>
      </c>
      <c r="K50" s="81" t="s">
        <v>1411</v>
      </c>
    </row>
    <row r="51" spans="1:11" ht="27.75">
      <c r="A51" s="135" t="s">
        <v>851</v>
      </c>
      <c r="B51" s="135" t="s">
        <v>852</v>
      </c>
      <c r="C51" s="135" t="s">
        <v>1304</v>
      </c>
      <c r="D51" s="135" t="s">
        <v>731</v>
      </c>
      <c r="E51" s="135" t="s">
        <v>1309</v>
      </c>
      <c r="F51" s="135" t="s">
        <v>670</v>
      </c>
      <c r="G51" s="136">
        <v>162</v>
      </c>
      <c r="H51" s="135" t="s">
        <v>1309</v>
      </c>
      <c r="I51" s="81" t="s">
        <v>1409</v>
      </c>
      <c r="K51" s="81" t="s">
        <v>1411</v>
      </c>
    </row>
    <row r="52" spans="1:11" ht="27.75">
      <c r="A52" s="135" t="s">
        <v>853</v>
      </c>
      <c r="B52" s="135" t="s">
        <v>854</v>
      </c>
      <c r="C52" s="135" t="s">
        <v>1304</v>
      </c>
      <c r="D52" s="135" t="s">
        <v>731</v>
      </c>
      <c r="E52" s="135" t="s">
        <v>1309</v>
      </c>
      <c r="F52" s="135" t="s">
        <v>670</v>
      </c>
      <c r="G52" s="136">
        <v>162</v>
      </c>
      <c r="H52" s="135" t="s">
        <v>1309</v>
      </c>
      <c r="I52" s="81" t="s">
        <v>1409</v>
      </c>
      <c r="K52" s="81" t="s">
        <v>1411</v>
      </c>
    </row>
    <row r="53" spans="1:11" ht="27.75">
      <c r="A53" s="135" t="s">
        <v>855</v>
      </c>
      <c r="B53" s="135" t="s">
        <v>856</v>
      </c>
      <c r="C53" s="135" t="s">
        <v>1304</v>
      </c>
      <c r="D53" s="135" t="s">
        <v>731</v>
      </c>
      <c r="E53" s="135" t="s">
        <v>1307</v>
      </c>
      <c r="F53" s="135" t="s">
        <v>1308</v>
      </c>
      <c r="G53" s="136">
        <v>162</v>
      </c>
      <c r="H53" s="135" t="s">
        <v>1307</v>
      </c>
      <c r="I53" s="81" t="s">
        <v>1409</v>
      </c>
      <c r="K53" s="81" t="s">
        <v>1411</v>
      </c>
    </row>
    <row r="54" spans="1:11" ht="27.75">
      <c r="A54" s="135" t="s">
        <v>857</v>
      </c>
      <c r="B54" s="135" t="s">
        <v>858</v>
      </c>
      <c r="C54" s="135" t="s">
        <v>1304</v>
      </c>
      <c r="D54" s="135" t="s">
        <v>731</v>
      </c>
      <c r="E54" s="135" t="s">
        <v>1309</v>
      </c>
      <c r="F54" s="135" t="s">
        <v>670</v>
      </c>
      <c r="G54" s="136">
        <v>162</v>
      </c>
      <c r="H54" s="135" t="s">
        <v>1309</v>
      </c>
      <c r="I54" s="81" t="s">
        <v>1409</v>
      </c>
      <c r="K54" s="81" t="s">
        <v>1411</v>
      </c>
    </row>
    <row r="55" spans="1:11" ht="27.75">
      <c r="A55" s="135" t="s">
        <v>859</v>
      </c>
      <c r="B55" s="135" t="s">
        <v>860</v>
      </c>
      <c r="C55" s="135" t="s">
        <v>1304</v>
      </c>
      <c r="D55" s="135" t="s">
        <v>731</v>
      </c>
      <c r="E55" s="135" t="s">
        <v>1309</v>
      </c>
      <c r="F55" s="135" t="s">
        <v>670</v>
      </c>
      <c r="G55" s="136">
        <v>162</v>
      </c>
      <c r="H55" s="135" t="s">
        <v>1309</v>
      </c>
      <c r="I55" s="81" t="s">
        <v>1409</v>
      </c>
      <c r="K55" s="81" t="s">
        <v>1411</v>
      </c>
    </row>
    <row r="56" spans="1:11" ht="27.75">
      <c r="A56" s="135" t="s">
        <v>45</v>
      </c>
      <c r="B56" s="135" t="s">
        <v>1422</v>
      </c>
      <c r="C56" s="135" t="s">
        <v>0</v>
      </c>
      <c r="D56" s="135" t="s">
        <v>1</v>
      </c>
      <c r="E56" s="135" t="s">
        <v>1292</v>
      </c>
      <c r="F56" s="135" t="s">
        <v>1293</v>
      </c>
      <c r="G56" s="136">
        <v>4</v>
      </c>
      <c r="H56" s="135" t="s">
        <v>1292</v>
      </c>
      <c r="I56" s="81" t="s">
        <v>1409</v>
      </c>
      <c r="K56" s="81" t="s">
        <v>1408</v>
      </c>
    </row>
    <row r="57" spans="1:11" ht="27.75">
      <c r="A57" s="135" t="s">
        <v>46</v>
      </c>
      <c r="B57" s="135" t="s">
        <v>1423</v>
      </c>
      <c r="C57" s="135" t="s">
        <v>0</v>
      </c>
      <c r="D57" s="135" t="s">
        <v>1</v>
      </c>
      <c r="E57" s="135" t="s">
        <v>1294</v>
      </c>
      <c r="F57" s="135" t="s">
        <v>1295</v>
      </c>
      <c r="G57" s="136">
        <v>4</v>
      </c>
      <c r="H57" s="135" t="s">
        <v>1294</v>
      </c>
      <c r="I57" s="81" t="s">
        <v>1409</v>
      </c>
      <c r="K57" s="81" t="s">
        <v>1408</v>
      </c>
    </row>
    <row r="58" spans="1:11" ht="27.75">
      <c r="A58" s="135" t="s">
        <v>47</v>
      </c>
      <c r="B58" s="135" t="s">
        <v>1424</v>
      </c>
      <c r="C58" s="135" t="s">
        <v>0</v>
      </c>
      <c r="D58" s="135" t="s">
        <v>1</v>
      </c>
      <c r="E58" s="135" t="s">
        <v>1292</v>
      </c>
      <c r="F58" s="135" t="s">
        <v>1293</v>
      </c>
      <c r="G58" s="136">
        <v>4</v>
      </c>
      <c r="H58" s="135" t="s">
        <v>1292</v>
      </c>
      <c r="I58" s="81" t="s">
        <v>1409</v>
      </c>
      <c r="K58" s="81" t="s">
        <v>1408</v>
      </c>
    </row>
    <row r="59" spans="1:11" ht="27.75">
      <c r="A59" s="135" t="s">
        <v>1017</v>
      </c>
      <c r="B59" s="135" t="s">
        <v>1018</v>
      </c>
      <c r="C59" s="135" t="s">
        <v>0</v>
      </c>
      <c r="D59" s="135" t="s">
        <v>1</v>
      </c>
      <c r="E59" s="135" t="s">
        <v>1294</v>
      </c>
      <c r="F59" s="135" t="s">
        <v>1295</v>
      </c>
      <c r="G59" s="136">
        <v>4</v>
      </c>
      <c r="H59" s="135" t="s">
        <v>1294</v>
      </c>
      <c r="I59" s="81" t="s">
        <v>1407</v>
      </c>
      <c r="J59" s="81">
        <v>42643</v>
      </c>
      <c r="K59" s="81" t="s">
        <v>1408</v>
      </c>
    </row>
    <row r="60" spans="1:11" ht="27.75">
      <c r="A60" s="135" t="s">
        <v>48</v>
      </c>
      <c r="B60" s="135" t="s">
        <v>1425</v>
      </c>
      <c r="C60" s="135" t="s">
        <v>0</v>
      </c>
      <c r="D60" s="135" t="s">
        <v>1</v>
      </c>
      <c r="E60" s="135" t="s">
        <v>1292</v>
      </c>
      <c r="F60" s="135" t="s">
        <v>1293</v>
      </c>
      <c r="G60" s="136">
        <v>4</v>
      </c>
      <c r="H60" s="135" t="s">
        <v>1292</v>
      </c>
      <c r="I60" s="81" t="s">
        <v>1409</v>
      </c>
      <c r="K60" s="81" t="s">
        <v>1408</v>
      </c>
    </row>
    <row r="61" spans="1:11" ht="27.75">
      <c r="A61" s="135" t="s">
        <v>1019</v>
      </c>
      <c r="B61" s="135" t="s">
        <v>1020</v>
      </c>
      <c r="C61" s="135" t="s">
        <v>0</v>
      </c>
      <c r="D61" s="135" t="s">
        <v>1</v>
      </c>
      <c r="E61" s="135" t="s">
        <v>1294</v>
      </c>
      <c r="F61" s="135" t="s">
        <v>1295</v>
      </c>
      <c r="G61" s="136">
        <v>4</v>
      </c>
      <c r="H61" s="135" t="s">
        <v>1294</v>
      </c>
      <c r="I61" s="81" t="s">
        <v>1407</v>
      </c>
      <c r="J61" s="81">
        <v>42643</v>
      </c>
      <c r="K61" s="81" t="s">
        <v>1408</v>
      </c>
    </row>
    <row r="62" spans="1:11" ht="27.75">
      <c r="A62" s="135" t="s">
        <v>49</v>
      </c>
      <c r="B62" s="135" t="s">
        <v>1426</v>
      </c>
      <c r="C62" s="135" t="s">
        <v>0</v>
      </c>
      <c r="D62" s="135" t="s">
        <v>1</v>
      </c>
      <c r="E62" s="135" t="s">
        <v>1292</v>
      </c>
      <c r="F62" s="135" t="s">
        <v>1293</v>
      </c>
      <c r="G62" s="136">
        <v>4</v>
      </c>
      <c r="H62" s="135" t="s">
        <v>1292</v>
      </c>
      <c r="I62" s="81" t="s">
        <v>1409</v>
      </c>
      <c r="K62" s="81" t="s">
        <v>1408</v>
      </c>
    </row>
    <row r="63" spans="1:11" ht="27.75">
      <c r="A63" s="135" t="s">
        <v>1021</v>
      </c>
      <c r="B63" s="135" t="s">
        <v>1022</v>
      </c>
      <c r="C63" s="135" t="s">
        <v>0</v>
      </c>
      <c r="D63" s="135" t="s">
        <v>1</v>
      </c>
      <c r="E63" s="135" t="s">
        <v>1294</v>
      </c>
      <c r="F63" s="135" t="s">
        <v>1295</v>
      </c>
      <c r="G63" s="136">
        <v>4</v>
      </c>
      <c r="H63" s="135" t="s">
        <v>1294</v>
      </c>
      <c r="I63" s="81" t="s">
        <v>1407</v>
      </c>
      <c r="J63" s="81">
        <v>42643</v>
      </c>
      <c r="K63" s="81" t="s">
        <v>1408</v>
      </c>
    </row>
    <row r="64" spans="1:11" ht="27.75">
      <c r="A64" s="135" t="s">
        <v>215</v>
      </c>
      <c r="B64" s="135" t="s">
        <v>216</v>
      </c>
      <c r="C64" s="135" t="s">
        <v>18</v>
      </c>
      <c r="D64" s="135" t="s">
        <v>690</v>
      </c>
      <c r="E64" s="135" t="s">
        <v>1341</v>
      </c>
      <c r="F64" s="135" t="s">
        <v>674</v>
      </c>
      <c r="G64" s="136">
        <v>33</v>
      </c>
      <c r="H64" s="135" t="s">
        <v>1341</v>
      </c>
      <c r="I64" s="81" t="s">
        <v>1409</v>
      </c>
      <c r="K64" s="81" t="s">
        <v>1408</v>
      </c>
    </row>
    <row r="65" spans="1:11" ht="27.75">
      <c r="A65" s="135" t="s">
        <v>50</v>
      </c>
      <c r="B65" s="135" t="s">
        <v>1427</v>
      </c>
      <c r="C65" s="135" t="s">
        <v>0</v>
      </c>
      <c r="D65" s="135" t="s">
        <v>1</v>
      </c>
      <c r="E65" s="135" t="s">
        <v>1296</v>
      </c>
      <c r="F65" s="135" t="s">
        <v>668</v>
      </c>
      <c r="G65" s="136">
        <v>4</v>
      </c>
      <c r="H65" s="135" t="s">
        <v>1296</v>
      </c>
      <c r="I65" s="81" t="s">
        <v>1409</v>
      </c>
      <c r="K65" s="81" t="s">
        <v>1408</v>
      </c>
    </row>
    <row r="66" spans="1:11" ht="27.75">
      <c r="A66" s="135" t="s">
        <v>51</v>
      </c>
      <c r="B66" s="135" t="s">
        <v>1428</v>
      </c>
      <c r="C66" s="135" t="s">
        <v>0</v>
      </c>
      <c r="D66" s="135" t="s">
        <v>1</v>
      </c>
      <c r="E66" s="135" t="s">
        <v>1297</v>
      </c>
      <c r="F66" s="135" t="s">
        <v>1298</v>
      </c>
      <c r="G66" s="136">
        <v>4</v>
      </c>
      <c r="H66" s="135" t="s">
        <v>1297</v>
      </c>
      <c r="I66" s="81" t="s">
        <v>1409</v>
      </c>
      <c r="K66" s="81" t="s">
        <v>1408</v>
      </c>
    </row>
    <row r="67" spans="1:11" ht="27.75">
      <c r="A67" s="135" t="s">
        <v>1023</v>
      </c>
      <c r="B67" s="135" t="s">
        <v>1024</v>
      </c>
      <c r="C67" s="135" t="s">
        <v>0</v>
      </c>
      <c r="D67" s="135" t="s">
        <v>1</v>
      </c>
      <c r="E67" s="135" t="s">
        <v>1296</v>
      </c>
      <c r="F67" s="135" t="s">
        <v>668</v>
      </c>
      <c r="G67" s="136">
        <v>4</v>
      </c>
      <c r="H67" s="135" t="s">
        <v>1296</v>
      </c>
      <c r="I67" s="81" t="s">
        <v>1407</v>
      </c>
      <c r="J67" s="81">
        <v>42643</v>
      </c>
      <c r="K67" s="81" t="s">
        <v>1408</v>
      </c>
    </row>
    <row r="68" spans="1:11" ht="27.75">
      <c r="A68" s="135" t="s">
        <v>52</v>
      </c>
      <c r="B68" s="135" t="s">
        <v>1429</v>
      </c>
      <c r="C68" s="135" t="s">
        <v>0</v>
      </c>
      <c r="D68" s="135" t="s">
        <v>1</v>
      </c>
      <c r="E68" s="135" t="s">
        <v>1292</v>
      </c>
      <c r="F68" s="135" t="s">
        <v>1293</v>
      </c>
      <c r="G68" s="136">
        <v>4</v>
      </c>
      <c r="H68" s="135" t="s">
        <v>1292</v>
      </c>
      <c r="I68" s="81" t="s">
        <v>1409</v>
      </c>
      <c r="K68" s="81" t="s">
        <v>1408</v>
      </c>
    </row>
    <row r="69" spans="1:11" ht="27.75">
      <c r="A69" s="135" t="s">
        <v>1025</v>
      </c>
      <c r="B69" s="135" t="s">
        <v>1026</v>
      </c>
      <c r="C69" s="135" t="s">
        <v>0</v>
      </c>
      <c r="D69" s="135" t="s">
        <v>1</v>
      </c>
      <c r="E69" s="135" t="s">
        <v>1297</v>
      </c>
      <c r="F69" s="135" t="s">
        <v>1298</v>
      </c>
      <c r="G69" s="136">
        <v>4</v>
      </c>
      <c r="H69" s="135" t="s">
        <v>1297</v>
      </c>
      <c r="I69" s="81" t="s">
        <v>1407</v>
      </c>
      <c r="J69" s="81">
        <v>42643</v>
      </c>
      <c r="K69" s="81" t="s">
        <v>1408</v>
      </c>
    </row>
    <row r="70" spans="1:11" ht="27.75">
      <c r="A70" s="135" t="s">
        <v>1027</v>
      </c>
      <c r="B70" s="135" t="s">
        <v>1028</v>
      </c>
      <c r="C70" s="135" t="s">
        <v>2</v>
      </c>
      <c r="D70" s="135" t="s">
        <v>3</v>
      </c>
      <c r="E70" s="135" t="s">
        <v>1299</v>
      </c>
      <c r="F70" s="135" t="s">
        <v>3</v>
      </c>
      <c r="G70" s="136">
        <v>5</v>
      </c>
      <c r="H70" s="135" t="s">
        <v>1299</v>
      </c>
      <c r="I70" s="81" t="s">
        <v>1407</v>
      </c>
      <c r="J70" s="81">
        <v>42643</v>
      </c>
      <c r="K70" s="81" t="s">
        <v>1408</v>
      </c>
    </row>
    <row r="71" spans="1:11" ht="27.75">
      <c r="A71" s="135" t="s">
        <v>53</v>
      </c>
      <c r="B71" s="135" t="s">
        <v>54</v>
      </c>
      <c r="C71" s="135" t="s">
        <v>0</v>
      </c>
      <c r="D71" s="135" t="s">
        <v>1</v>
      </c>
      <c r="E71" s="135" t="s">
        <v>1297</v>
      </c>
      <c r="F71" s="135" t="s">
        <v>1298</v>
      </c>
      <c r="G71" s="136">
        <v>4</v>
      </c>
      <c r="H71" s="135" t="s">
        <v>1297</v>
      </c>
      <c r="I71" s="81" t="s">
        <v>1409</v>
      </c>
      <c r="K71" s="81" t="s">
        <v>1408</v>
      </c>
    </row>
    <row r="72" spans="1:11" ht="27.75">
      <c r="A72" s="135" t="s">
        <v>55</v>
      </c>
      <c r="B72" s="135" t="s">
        <v>1430</v>
      </c>
      <c r="C72" s="135" t="s">
        <v>0</v>
      </c>
      <c r="D72" s="135" t="s">
        <v>1</v>
      </c>
      <c r="E72" s="135" t="s">
        <v>1297</v>
      </c>
      <c r="F72" s="135" t="s">
        <v>1298</v>
      </c>
      <c r="G72" s="136">
        <v>4</v>
      </c>
      <c r="H72" s="135" t="s">
        <v>1297</v>
      </c>
      <c r="I72" s="81" t="s">
        <v>1409</v>
      </c>
      <c r="K72" s="81" t="s">
        <v>1408</v>
      </c>
    </row>
    <row r="73" spans="1:11" ht="27.75">
      <c r="A73" s="135" t="s">
        <v>56</v>
      </c>
      <c r="B73" s="135" t="s">
        <v>57</v>
      </c>
      <c r="C73" s="135" t="s">
        <v>0</v>
      </c>
      <c r="D73" s="135" t="s">
        <v>1</v>
      </c>
      <c r="E73" s="135" t="s">
        <v>1297</v>
      </c>
      <c r="F73" s="135" t="s">
        <v>1298</v>
      </c>
      <c r="G73" s="136">
        <v>4</v>
      </c>
      <c r="H73" s="135" t="s">
        <v>1297</v>
      </c>
      <c r="I73" s="81" t="s">
        <v>1409</v>
      </c>
      <c r="K73" s="81" t="s">
        <v>1408</v>
      </c>
    </row>
    <row r="74" spans="1:11" ht="27.75">
      <c r="A74" s="135" t="s">
        <v>58</v>
      </c>
      <c r="B74" s="135" t="s">
        <v>1431</v>
      </c>
      <c r="C74" s="135" t="s">
        <v>0</v>
      </c>
      <c r="D74" s="135" t="s">
        <v>1</v>
      </c>
      <c r="E74" s="135" t="s">
        <v>1296</v>
      </c>
      <c r="F74" s="135" t="s">
        <v>668</v>
      </c>
      <c r="G74" s="136">
        <v>4</v>
      </c>
      <c r="H74" s="135" t="s">
        <v>1296</v>
      </c>
      <c r="I74" s="81" t="s">
        <v>1409</v>
      </c>
      <c r="K74" s="81" t="s">
        <v>1408</v>
      </c>
    </row>
    <row r="75" spans="1:11" ht="27.75">
      <c r="A75" s="135" t="s">
        <v>59</v>
      </c>
      <c r="B75" s="135" t="s">
        <v>1432</v>
      </c>
      <c r="C75" s="135" t="s">
        <v>0</v>
      </c>
      <c r="D75" s="135" t="s">
        <v>1</v>
      </c>
      <c r="E75" s="135" t="s">
        <v>1296</v>
      </c>
      <c r="F75" s="135" t="s">
        <v>668</v>
      </c>
      <c r="G75" s="136">
        <v>4</v>
      </c>
      <c r="H75" s="135" t="s">
        <v>1296</v>
      </c>
      <c r="I75" s="81" t="s">
        <v>1409</v>
      </c>
      <c r="K75" s="81" t="s">
        <v>1408</v>
      </c>
    </row>
    <row r="76" spans="1:11" ht="27.75">
      <c r="A76" s="135" t="s">
        <v>60</v>
      </c>
      <c r="B76" s="135" t="s">
        <v>1433</v>
      </c>
      <c r="C76" s="135" t="s">
        <v>0</v>
      </c>
      <c r="D76" s="135" t="s">
        <v>1</v>
      </c>
      <c r="E76" s="135" t="s">
        <v>1296</v>
      </c>
      <c r="F76" s="135" t="s">
        <v>668</v>
      </c>
      <c r="G76" s="136">
        <v>4</v>
      </c>
      <c r="H76" s="135" t="s">
        <v>1296</v>
      </c>
      <c r="I76" s="81" t="s">
        <v>1409</v>
      </c>
      <c r="K76" s="81" t="s">
        <v>1408</v>
      </c>
    </row>
    <row r="77" spans="1:11" ht="27.75">
      <c r="A77" s="135" t="s">
        <v>1029</v>
      </c>
      <c r="B77" s="135" t="s">
        <v>1030</v>
      </c>
      <c r="C77" s="135" t="s">
        <v>0</v>
      </c>
      <c r="D77" s="135" t="s">
        <v>1</v>
      </c>
      <c r="E77" s="135" t="s">
        <v>1296</v>
      </c>
      <c r="F77" s="135" t="s">
        <v>668</v>
      </c>
      <c r="G77" s="136">
        <v>4</v>
      </c>
      <c r="H77" s="135" t="s">
        <v>1296</v>
      </c>
      <c r="I77" s="81" t="s">
        <v>1407</v>
      </c>
      <c r="J77" s="81">
        <v>42643</v>
      </c>
      <c r="K77" s="81" t="s">
        <v>1408</v>
      </c>
    </row>
    <row r="78" spans="1:11" ht="27.75">
      <c r="A78" s="135" t="s">
        <v>1031</v>
      </c>
      <c r="B78" s="135" t="s">
        <v>1032</v>
      </c>
      <c r="C78" s="135" t="s">
        <v>0</v>
      </c>
      <c r="D78" s="135" t="s">
        <v>1</v>
      </c>
      <c r="E78" s="135" t="s">
        <v>1296</v>
      </c>
      <c r="F78" s="135" t="s">
        <v>668</v>
      </c>
      <c r="G78" s="136">
        <v>4</v>
      </c>
      <c r="H78" s="135" t="s">
        <v>1296</v>
      </c>
      <c r="I78" s="81" t="s">
        <v>1407</v>
      </c>
      <c r="J78" s="81">
        <v>42643</v>
      </c>
      <c r="K78" s="81" t="s">
        <v>1408</v>
      </c>
    </row>
    <row r="79" spans="1:11" ht="27.75">
      <c r="A79" s="135" t="s">
        <v>1033</v>
      </c>
      <c r="B79" s="135" t="s">
        <v>1034</v>
      </c>
      <c r="C79" s="135" t="s">
        <v>0</v>
      </c>
      <c r="D79" s="135" t="s">
        <v>1</v>
      </c>
      <c r="E79" s="135" t="s">
        <v>1296</v>
      </c>
      <c r="F79" s="135" t="s">
        <v>668</v>
      </c>
      <c r="G79" s="136">
        <v>4</v>
      </c>
      <c r="H79" s="135" t="s">
        <v>1296</v>
      </c>
      <c r="I79" s="81" t="s">
        <v>1407</v>
      </c>
      <c r="J79" s="81">
        <v>42643</v>
      </c>
      <c r="K79" s="81" t="s">
        <v>1408</v>
      </c>
    </row>
    <row r="80" spans="1:11" ht="27.75">
      <c r="A80" s="135" t="s">
        <v>1035</v>
      </c>
      <c r="B80" s="135" t="s">
        <v>1036</v>
      </c>
      <c r="C80" s="135" t="s">
        <v>0</v>
      </c>
      <c r="D80" s="135" t="s">
        <v>1</v>
      </c>
      <c r="E80" s="135" t="s">
        <v>1296</v>
      </c>
      <c r="F80" s="135" t="s">
        <v>668</v>
      </c>
      <c r="G80" s="136">
        <v>4</v>
      </c>
      <c r="H80" s="135" t="s">
        <v>1296</v>
      </c>
      <c r="I80" s="81" t="s">
        <v>1407</v>
      </c>
      <c r="J80" s="81">
        <v>42643</v>
      </c>
      <c r="K80" s="81" t="s">
        <v>1408</v>
      </c>
    </row>
    <row r="81" spans="1:11" ht="27.75">
      <c r="A81" s="135" t="s">
        <v>1037</v>
      </c>
      <c r="B81" s="135" t="s">
        <v>1038</v>
      </c>
      <c r="C81" s="135" t="s">
        <v>0</v>
      </c>
      <c r="D81" s="135" t="s">
        <v>1</v>
      </c>
      <c r="E81" s="135" t="s">
        <v>1296</v>
      </c>
      <c r="F81" s="135" t="s">
        <v>668</v>
      </c>
      <c r="G81" s="136">
        <v>4</v>
      </c>
      <c r="H81" s="135" t="s">
        <v>1296</v>
      </c>
      <c r="I81" s="81" t="s">
        <v>1407</v>
      </c>
      <c r="J81" s="81">
        <v>42643</v>
      </c>
      <c r="K81" s="81" t="s">
        <v>1408</v>
      </c>
    </row>
    <row r="82" spans="1:11" ht="27.75">
      <c r="A82" s="135" t="s">
        <v>1039</v>
      </c>
      <c r="B82" s="135" t="s">
        <v>1040</v>
      </c>
      <c r="C82" s="135" t="s">
        <v>0</v>
      </c>
      <c r="D82" s="135" t="s">
        <v>1</v>
      </c>
      <c r="E82" s="135" t="s">
        <v>1296</v>
      </c>
      <c r="F82" s="135" t="s">
        <v>668</v>
      </c>
      <c r="G82" s="136">
        <v>4</v>
      </c>
      <c r="H82" s="135" t="s">
        <v>1296</v>
      </c>
      <c r="I82" s="81" t="s">
        <v>1407</v>
      </c>
      <c r="J82" s="81">
        <v>42643</v>
      </c>
      <c r="K82" s="81" t="s">
        <v>1408</v>
      </c>
    </row>
    <row r="83" spans="1:11" ht="27.75">
      <c r="A83" s="135" t="s">
        <v>61</v>
      </c>
      <c r="B83" s="135" t="s">
        <v>1434</v>
      </c>
      <c r="C83" s="135" t="s">
        <v>0</v>
      </c>
      <c r="D83" s="135" t="s">
        <v>1</v>
      </c>
      <c r="E83" s="135" t="s">
        <v>1296</v>
      </c>
      <c r="F83" s="135" t="s">
        <v>668</v>
      </c>
      <c r="G83" s="136">
        <v>4</v>
      </c>
      <c r="H83" s="135" t="s">
        <v>1296</v>
      </c>
      <c r="I83" s="81" t="s">
        <v>1409</v>
      </c>
      <c r="K83" s="81" t="s">
        <v>1408</v>
      </c>
    </row>
    <row r="84" spans="1:11" ht="27.75">
      <c r="A84" s="135" t="s">
        <v>62</v>
      </c>
      <c r="B84" s="135" t="s">
        <v>1435</v>
      </c>
      <c r="C84" s="135" t="s">
        <v>0</v>
      </c>
      <c r="D84" s="135" t="s">
        <v>1</v>
      </c>
      <c r="E84" s="135" t="s">
        <v>1296</v>
      </c>
      <c r="F84" s="135" t="s">
        <v>668</v>
      </c>
      <c r="G84" s="136">
        <v>4</v>
      </c>
      <c r="H84" s="135" t="s">
        <v>1296</v>
      </c>
      <c r="I84" s="81" t="s">
        <v>1409</v>
      </c>
      <c r="K84" s="81" t="s">
        <v>1408</v>
      </c>
    </row>
    <row r="85" spans="1:11" ht="27.75">
      <c r="A85" s="135" t="s">
        <v>63</v>
      </c>
      <c r="B85" s="135" t="s">
        <v>1436</v>
      </c>
      <c r="C85" s="135" t="s">
        <v>0</v>
      </c>
      <c r="D85" s="135" t="s">
        <v>1</v>
      </c>
      <c r="E85" s="135" t="s">
        <v>1292</v>
      </c>
      <c r="F85" s="135" t="s">
        <v>1293</v>
      </c>
      <c r="G85" s="136">
        <v>4</v>
      </c>
      <c r="H85" s="135" t="s">
        <v>1292</v>
      </c>
      <c r="I85" s="81" t="s">
        <v>1409</v>
      </c>
      <c r="K85" s="81" t="s">
        <v>1408</v>
      </c>
    </row>
    <row r="86" spans="1:11" ht="27.75">
      <c r="A86" s="135" t="s">
        <v>64</v>
      </c>
      <c r="B86" s="135" t="s">
        <v>65</v>
      </c>
      <c r="C86" s="135" t="s">
        <v>0</v>
      </c>
      <c r="D86" s="135" t="s">
        <v>1</v>
      </c>
      <c r="E86" s="135" t="s">
        <v>1297</v>
      </c>
      <c r="F86" s="135" t="s">
        <v>1298</v>
      </c>
      <c r="G86" s="136">
        <v>4</v>
      </c>
      <c r="H86" s="135" t="s">
        <v>1297</v>
      </c>
      <c r="I86" s="81" t="s">
        <v>1409</v>
      </c>
      <c r="K86" s="81" t="s">
        <v>1408</v>
      </c>
    </row>
    <row r="87" spans="1:11" ht="27.75">
      <c r="A87" s="135" t="s">
        <v>66</v>
      </c>
      <c r="B87" s="135" t="s">
        <v>67</v>
      </c>
      <c r="C87" s="135" t="s">
        <v>0</v>
      </c>
      <c r="D87" s="135" t="s">
        <v>1</v>
      </c>
      <c r="E87" s="135" t="s">
        <v>1297</v>
      </c>
      <c r="F87" s="135" t="s">
        <v>1298</v>
      </c>
      <c r="G87" s="136">
        <v>4</v>
      </c>
      <c r="H87" s="135" t="s">
        <v>1297</v>
      </c>
      <c r="I87" s="81" t="s">
        <v>1409</v>
      </c>
      <c r="K87" s="81" t="s">
        <v>1408</v>
      </c>
    </row>
    <row r="88" spans="1:11" ht="27.75">
      <c r="A88" s="135" t="s">
        <v>68</v>
      </c>
      <c r="B88" s="135" t="s">
        <v>1437</v>
      </c>
      <c r="C88" s="135" t="s">
        <v>0</v>
      </c>
      <c r="D88" s="135" t="s">
        <v>1</v>
      </c>
      <c r="E88" s="135" t="s">
        <v>1292</v>
      </c>
      <c r="F88" s="135" t="s">
        <v>1293</v>
      </c>
      <c r="G88" s="136">
        <v>4</v>
      </c>
      <c r="H88" s="135" t="s">
        <v>1292</v>
      </c>
      <c r="I88" s="81" t="s">
        <v>1409</v>
      </c>
      <c r="K88" s="81" t="s">
        <v>1408</v>
      </c>
    </row>
    <row r="89" spans="1:11" ht="27.75">
      <c r="A89" s="135" t="s">
        <v>69</v>
      </c>
      <c r="B89" s="135" t="s">
        <v>1438</v>
      </c>
      <c r="C89" s="135" t="s">
        <v>0</v>
      </c>
      <c r="D89" s="135" t="s">
        <v>1</v>
      </c>
      <c r="E89" s="135" t="s">
        <v>1294</v>
      </c>
      <c r="F89" s="135" t="s">
        <v>1295</v>
      </c>
      <c r="G89" s="136">
        <v>4</v>
      </c>
      <c r="H89" s="135" t="s">
        <v>1294</v>
      </c>
      <c r="I89" s="81" t="s">
        <v>1409</v>
      </c>
      <c r="K89" s="81" t="s">
        <v>1408</v>
      </c>
    </row>
    <row r="90" spans="1:11" ht="27.75">
      <c r="A90" s="135" t="s">
        <v>70</v>
      </c>
      <c r="B90" s="135" t="s">
        <v>1439</v>
      </c>
      <c r="C90" s="135" t="s">
        <v>0</v>
      </c>
      <c r="D90" s="135" t="s">
        <v>1</v>
      </c>
      <c r="E90" s="135" t="s">
        <v>1292</v>
      </c>
      <c r="F90" s="135" t="s">
        <v>1293</v>
      </c>
      <c r="G90" s="136">
        <v>4</v>
      </c>
      <c r="H90" s="135" t="s">
        <v>1292</v>
      </c>
      <c r="I90" s="81" t="s">
        <v>1409</v>
      </c>
      <c r="K90" s="81" t="s">
        <v>1408</v>
      </c>
    </row>
    <row r="91" spans="1:11" ht="27.75">
      <c r="A91" s="135" t="s">
        <v>71</v>
      </c>
      <c r="B91" s="135" t="s">
        <v>1440</v>
      </c>
      <c r="C91" s="135" t="s">
        <v>0</v>
      </c>
      <c r="D91" s="135" t="s">
        <v>1</v>
      </c>
      <c r="E91" s="135" t="s">
        <v>1294</v>
      </c>
      <c r="F91" s="135" t="s">
        <v>1295</v>
      </c>
      <c r="G91" s="136">
        <v>4</v>
      </c>
      <c r="H91" s="135" t="s">
        <v>1294</v>
      </c>
      <c r="I91" s="81" t="s">
        <v>1409</v>
      </c>
      <c r="K91" s="81" t="s">
        <v>1408</v>
      </c>
    </row>
    <row r="92" spans="1:11" ht="27.75">
      <c r="A92" s="135" t="s">
        <v>72</v>
      </c>
      <c r="B92" s="135" t="s">
        <v>1441</v>
      </c>
      <c r="C92" s="135" t="s">
        <v>0</v>
      </c>
      <c r="D92" s="135" t="s">
        <v>1</v>
      </c>
      <c r="E92" s="135" t="s">
        <v>1292</v>
      </c>
      <c r="F92" s="135" t="s">
        <v>1293</v>
      </c>
      <c r="G92" s="136">
        <v>4</v>
      </c>
      <c r="H92" s="135" t="s">
        <v>1292</v>
      </c>
      <c r="I92" s="81" t="s">
        <v>1409</v>
      </c>
      <c r="K92" s="81" t="s">
        <v>1408</v>
      </c>
    </row>
    <row r="93" spans="1:11" ht="27.75">
      <c r="A93" s="135" t="s">
        <v>73</v>
      </c>
      <c r="B93" s="135" t="s">
        <v>1442</v>
      </c>
      <c r="C93" s="135" t="s">
        <v>0</v>
      </c>
      <c r="D93" s="135" t="s">
        <v>1</v>
      </c>
      <c r="E93" s="135" t="s">
        <v>1294</v>
      </c>
      <c r="F93" s="135" t="s">
        <v>1295</v>
      </c>
      <c r="G93" s="136">
        <v>4</v>
      </c>
      <c r="H93" s="135" t="s">
        <v>1294</v>
      </c>
      <c r="I93" s="81" t="s">
        <v>1409</v>
      </c>
      <c r="K93" s="81" t="s">
        <v>1408</v>
      </c>
    </row>
    <row r="94" spans="1:11" ht="27.75">
      <c r="A94" s="135" t="s">
        <v>1041</v>
      </c>
      <c r="B94" s="135" t="s">
        <v>1042</v>
      </c>
      <c r="C94" s="135" t="s">
        <v>0</v>
      </c>
      <c r="D94" s="135" t="s">
        <v>1</v>
      </c>
      <c r="E94" s="135" t="s">
        <v>1297</v>
      </c>
      <c r="F94" s="135" t="s">
        <v>1298</v>
      </c>
      <c r="G94" s="136">
        <v>4</v>
      </c>
      <c r="H94" s="135" t="s">
        <v>1297</v>
      </c>
      <c r="I94" s="81" t="s">
        <v>1407</v>
      </c>
      <c r="J94" s="81">
        <v>42643</v>
      </c>
      <c r="K94" s="81" t="s">
        <v>1408</v>
      </c>
    </row>
    <row r="95" spans="1:11" ht="27.75">
      <c r="A95" s="135" t="s">
        <v>74</v>
      </c>
      <c r="B95" s="135" t="s">
        <v>1443</v>
      </c>
      <c r="C95" s="135" t="s">
        <v>0</v>
      </c>
      <c r="D95" s="135" t="s">
        <v>1</v>
      </c>
      <c r="E95" s="135" t="s">
        <v>1297</v>
      </c>
      <c r="F95" s="135" t="s">
        <v>1298</v>
      </c>
      <c r="G95" s="136">
        <v>4</v>
      </c>
      <c r="H95" s="135" t="s">
        <v>1297</v>
      </c>
      <c r="I95" s="81" t="s">
        <v>1409</v>
      </c>
      <c r="K95" s="81" t="s">
        <v>1411</v>
      </c>
    </row>
    <row r="96" spans="1:11" ht="27.75">
      <c r="A96" s="135" t="s">
        <v>75</v>
      </c>
      <c r="B96" s="135" t="s">
        <v>1444</v>
      </c>
      <c r="C96" s="135" t="s">
        <v>0</v>
      </c>
      <c r="D96" s="135" t="s">
        <v>1</v>
      </c>
      <c r="E96" s="135" t="s">
        <v>1297</v>
      </c>
      <c r="F96" s="135" t="s">
        <v>1298</v>
      </c>
      <c r="G96" s="136">
        <v>4</v>
      </c>
      <c r="H96" s="135" t="s">
        <v>1297</v>
      </c>
      <c r="I96" s="81" t="s">
        <v>1409</v>
      </c>
      <c r="K96" s="81" t="s">
        <v>1411</v>
      </c>
    </row>
    <row r="97" spans="1:11" ht="27.75">
      <c r="A97" s="135" t="s">
        <v>861</v>
      </c>
      <c r="B97" s="135" t="s">
        <v>862</v>
      </c>
      <c r="C97" s="135" t="s">
        <v>0</v>
      </c>
      <c r="D97" s="135" t="s">
        <v>1</v>
      </c>
      <c r="E97" s="135" t="s">
        <v>1296</v>
      </c>
      <c r="F97" s="135" t="s">
        <v>668</v>
      </c>
      <c r="G97" s="136">
        <v>4</v>
      </c>
      <c r="H97" s="135" t="s">
        <v>1296</v>
      </c>
      <c r="I97" s="81" t="s">
        <v>1409</v>
      </c>
      <c r="K97" s="81" t="s">
        <v>1411</v>
      </c>
    </row>
    <row r="98" spans="1:11" ht="27.75">
      <c r="A98" s="135" t="s">
        <v>863</v>
      </c>
      <c r="B98" s="135" t="s">
        <v>864</v>
      </c>
      <c r="C98" s="135" t="s">
        <v>0</v>
      </c>
      <c r="D98" s="135" t="s">
        <v>1</v>
      </c>
      <c r="E98" s="135" t="s">
        <v>1296</v>
      </c>
      <c r="F98" s="135" t="s">
        <v>668</v>
      </c>
      <c r="G98" s="136">
        <v>4</v>
      </c>
      <c r="H98" s="135" t="s">
        <v>1296</v>
      </c>
      <c r="I98" s="81" t="s">
        <v>1409</v>
      </c>
      <c r="K98" s="81" t="s">
        <v>1411</v>
      </c>
    </row>
    <row r="99" spans="1:11" ht="27.75">
      <c r="A99" s="135" t="s">
        <v>865</v>
      </c>
      <c r="B99" s="135" t="s">
        <v>866</v>
      </c>
      <c r="C99" s="135" t="s">
        <v>0</v>
      </c>
      <c r="D99" s="135" t="s">
        <v>1</v>
      </c>
      <c r="E99" s="135" t="s">
        <v>1297</v>
      </c>
      <c r="F99" s="135" t="s">
        <v>1298</v>
      </c>
      <c r="G99" s="136">
        <v>4</v>
      </c>
      <c r="H99" s="135" t="s">
        <v>1297</v>
      </c>
      <c r="I99" s="81" t="s">
        <v>1409</v>
      </c>
      <c r="K99" s="81" t="s">
        <v>1411</v>
      </c>
    </row>
    <row r="100" spans="1:11" ht="27.75">
      <c r="A100" s="135" t="s">
        <v>867</v>
      </c>
      <c r="B100" s="135" t="s">
        <v>868</v>
      </c>
      <c r="C100" s="135" t="s">
        <v>0</v>
      </c>
      <c r="D100" s="135" t="s">
        <v>1</v>
      </c>
      <c r="E100" s="135" t="s">
        <v>1297</v>
      </c>
      <c r="F100" s="135" t="s">
        <v>1298</v>
      </c>
      <c r="G100" s="136">
        <v>4</v>
      </c>
      <c r="H100" s="135" t="s">
        <v>1297</v>
      </c>
      <c r="I100" s="81" t="s">
        <v>1409</v>
      </c>
      <c r="K100" s="81" t="s">
        <v>1411</v>
      </c>
    </row>
    <row r="101" spans="1:11" ht="27.75">
      <c r="A101" s="135" t="s">
        <v>869</v>
      </c>
      <c r="B101" s="135" t="s">
        <v>870</v>
      </c>
      <c r="C101" s="135" t="s">
        <v>0</v>
      </c>
      <c r="D101" s="135" t="s">
        <v>1</v>
      </c>
      <c r="E101" s="135" t="s">
        <v>1296</v>
      </c>
      <c r="F101" s="135" t="s">
        <v>668</v>
      </c>
      <c r="G101" s="136">
        <v>4</v>
      </c>
      <c r="H101" s="135" t="s">
        <v>1296</v>
      </c>
      <c r="I101" s="81" t="s">
        <v>1409</v>
      </c>
      <c r="K101" s="81" t="s">
        <v>1411</v>
      </c>
    </row>
    <row r="102" spans="1:11" ht="27.75">
      <c r="A102" s="135" t="s">
        <v>871</v>
      </c>
      <c r="B102" s="135" t="s">
        <v>872</v>
      </c>
      <c r="C102" s="135" t="s">
        <v>0</v>
      </c>
      <c r="D102" s="135" t="s">
        <v>1</v>
      </c>
      <c r="E102" s="135" t="s">
        <v>1296</v>
      </c>
      <c r="F102" s="135" t="s">
        <v>668</v>
      </c>
      <c r="G102" s="136">
        <v>4</v>
      </c>
      <c r="H102" s="135" t="s">
        <v>1296</v>
      </c>
      <c r="I102" s="81" t="s">
        <v>1409</v>
      </c>
      <c r="K102" s="81" t="s">
        <v>1411</v>
      </c>
    </row>
    <row r="103" spans="1:11" ht="27.75">
      <c r="A103" s="135" t="s">
        <v>873</v>
      </c>
      <c r="B103" s="135" t="s">
        <v>874</v>
      </c>
      <c r="C103" s="135" t="s">
        <v>0</v>
      </c>
      <c r="D103" s="135" t="s">
        <v>1</v>
      </c>
      <c r="E103" s="135" t="s">
        <v>1296</v>
      </c>
      <c r="F103" s="135" t="s">
        <v>668</v>
      </c>
      <c r="G103" s="136">
        <v>4</v>
      </c>
      <c r="H103" s="135" t="s">
        <v>1296</v>
      </c>
      <c r="I103" s="81" t="s">
        <v>1409</v>
      </c>
      <c r="K103" s="81" t="s">
        <v>1411</v>
      </c>
    </row>
    <row r="104" spans="1:11" ht="27.75">
      <c r="A104" s="135" t="s">
        <v>822</v>
      </c>
      <c r="B104" s="135" t="s">
        <v>1445</v>
      </c>
      <c r="C104" s="135" t="s">
        <v>0</v>
      </c>
      <c r="D104" s="135" t="s">
        <v>1</v>
      </c>
      <c r="E104" s="135" t="s">
        <v>1296</v>
      </c>
      <c r="F104" s="135" t="s">
        <v>668</v>
      </c>
      <c r="G104" s="136">
        <v>4</v>
      </c>
      <c r="H104" s="135" t="s">
        <v>1296</v>
      </c>
      <c r="I104" s="81" t="s">
        <v>1409</v>
      </c>
      <c r="K104" s="81" t="s">
        <v>1411</v>
      </c>
    </row>
    <row r="105" spans="1:11" ht="27.75">
      <c r="A105" s="135" t="s">
        <v>823</v>
      </c>
      <c r="B105" s="135" t="s">
        <v>824</v>
      </c>
      <c r="C105" s="135" t="s">
        <v>0</v>
      </c>
      <c r="D105" s="135" t="s">
        <v>1</v>
      </c>
      <c r="E105" s="135" t="s">
        <v>1296</v>
      </c>
      <c r="F105" s="135" t="s">
        <v>668</v>
      </c>
      <c r="G105" s="136">
        <v>4</v>
      </c>
      <c r="H105" s="135" t="s">
        <v>1296</v>
      </c>
      <c r="I105" s="81" t="s">
        <v>1409</v>
      </c>
      <c r="K105" s="81" t="s">
        <v>1411</v>
      </c>
    </row>
    <row r="106" spans="1:11" ht="27.75">
      <c r="A106" s="135" t="s">
        <v>825</v>
      </c>
      <c r="B106" s="135" t="s">
        <v>826</v>
      </c>
      <c r="C106" s="135" t="s">
        <v>0</v>
      </c>
      <c r="D106" s="135" t="s">
        <v>1</v>
      </c>
      <c r="E106" s="135" t="s">
        <v>1296</v>
      </c>
      <c r="F106" s="135" t="s">
        <v>668</v>
      </c>
      <c r="G106" s="136">
        <v>4</v>
      </c>
      <c r="H106" s="135" t="s">
        <v>1296</v>
      </c>
      <c r="I106" s="81" t="s">
        <v>1409</v>
      </c>
      <c r="K106" s="81" t="s">
        <v>1411</v>
      </c>
    </row>
    <row r="107" spans="1:11" ht="27.75">
      <c r="A107" s="135" t="s">
        <v>827</v>
      </c>
      <c r="B107" s="135" t="s">
        <v>828</v>
      </c>
      <c r="C107" s="135" t="s">
        <v>0</v>
      </c>
      <c r="D107" s="135" t="s">
        <v>1</v>
      </c>
      <c r="E107" s="135" t="s">
        <v>1296</v>
      </c>
      <c r="F107" s="135" t="s">
        <v>668</v>
      </c>
      <c r="G107" s="136">
        <v>4</v>
      </c>
      <c r="H107" s="135" t="s">
        <v>1296</v>
      </c>
      <c r="I107" s="81" t="s">
        <v>1409</v>
      </c>
      <c r="K107" s="81" t="s">
        <v>1411</v>
      </c>
    </row>
    <row r="108" spans="1:11" ht="27.75">
      <c r="A108" s="135" t="s">
        <v>829</v>
      </c>
      <c r="B108" s="135" t="s">
        <v>830</v>
      </c>
      <c r="C108" s="135" t="s">
        <v>0</v>
      </c>
      <c r="D108" s="135" t="s">
        <v>1</v>
      </c>
      <c r="E108" s="135" t="s">
        <v>1296</v>
      </c>
      <c r="F108" s="135" t="s">
        <v>668</v>
      </c>
      <c r="G108" s="136">
        <v>4</v>
      </c>
      <c r="H108" s="135" t="s">
        <v>1296</v>
      </c>
      <c r="I108" s="81" t="s">
        <v>1409</v>
      </c>
      <c r="K108" s="81" t="s">
        <v>1411</v>
      </c>
    </row>
    <row r="109" spans="1:11" ht="27.75">
      <c r="A109" s="135" t="s">
        <v>831</v>
      </c>
      <c r="B109" s="135" t="s">
        <v>832</v>
      </c>
      <c r="C109" s="135" t="s">
        <v>0</v>
      </c>
      <c r="D109" s="135" t="s">
        <v>1</v>
      </c>
      <c r="E109" s="135" t="s">
        <v>1296</v>
      </c>
      <c r="F109" s="135" t="s">
        <v>668</v>
      </c>
      <c r="G109" s="136">
        <v>4</v>
      </c>
      <c r="H109" s="135" t="s">
        <v>1296</v>
      </c>
      <c r="I109" s="81" t="s">
        <v>1409</v>
      </c>
      <c r="K109" s="81" t="s">
        <v>1411</v>
      </c>
    </row>
    <row r="110" spans="1:11" ht="27.75">
      <c r="A110" s="135" t="s">
        <v>833</v>
      </c>
      <c r="B110" s="135" t="s">
        <v>834</v>
      </c>
      <c r="C110" s="135" t="s">
        <v>0</v>
      </c>
      <c r="D110" s="135" t="s">
        <v>1</v>
      </c>
      <c r="E110" s="135" t="s">
        <v>1296</v>
      </c>
      <c r="F110" s="135" t="s">
        <v>668</v>
      </c>
      <c r="G110" s="136">
        <v>4</v>
      </c>
      <c r="H110" s="135" t="s">
        <v>1296</v>
      </c>
      <c r="I110" s="81" t="s">
        <v>1409</v>
      </c>
      <c r="K110" s="81" t="s">
        <v>1411</v>
      </c>
    </row>
    <row r="111" spans="1:11" ht="27.75">
      <c r="A111" s="135" t="s">
        <v>91</v>
      </c>
      <c r="B111" s="135" t="s">
        <v>92</v>
      </c>
      <c r="C111" s="135" t="s">
        <v>8</v>
      </c>
      <c r="D111" s="135" t="s">
        <v>9</v>
      </c>
      <c r="E111" s="135" t="s">
        <v>1317</v>
      </c>
      <c r="F111" s="135" t="s">
        <v>671</v>
      </c>
      <c r="G111" s="136">
        <v>8</v>
      </c>
      <c r="H111" s="135" t="s">
        <v>1317</v>
      </c>
      <c r="I111" s="81" t="s">
        <v>1409</v>
      </c>
      <c r="K111" s="81" t="s">
        <v>1408</v>
      </c>
    </row>
    <row r="112" spans="1:11" ht="27.75">
      <c r="A112" s="135" t="s">
        <v>93</v>
      </c>
      <c r="B112" s="135" t="s">
        <v>1446</v>
      </c>
      <c r="C112" s="135" t="s">
        <v>8</v>
      </c>
      <c r="D112" s="135" t="s">
        <v>9</v>
      </c>
      <c r="E112" s="135" t="s">
        <v>1318</v>
      </c>
      <c r="F112" s="135" t="s">
        <v>1319</v>
      </c>
      <c r="G112" s="136">
        <v>8</v>
      </c>
      <c r="H112" s="135" t="s">
        <v>1318</v>
      </c>
      <c r="I112" s="81" t="s">
        <v>1409</v>
      </c>
      <c r="K112" s="81" t="s">
        <v>1408</v>
      </c>
    </row>
    <row r="113" spans="1:11" ht="27.75">
      <c r="A113" s="135" t="s">
        <v>94</v>
      </c>
      <c r="B113" s="135" t="s">
        <v>1447</v>
      </c>
      <c r="C113" s="135" t="s">
        <v>8</v>
      </c>
      <c r="D113" s="135" t="s">
        <v>9</v>
      </c>
      <c r="E113" s="135" t="s">
        <v>1320</v>
      </c>
      <c r="F113" s="135" t="s">
        <v>1321</v>
      </c>
      <c r="G113" s="136">
        <v>8</v>
      </c>
      <c r="H113" s="135" t="s">
        <v>1320</v>
      </c>
      <c r="I113" s="81" t="s">
        <v>1409</v>
      </c>
      <c r="K113" s="81" t="s">
        <v>1408</v>
      </c>
    </row>
    <row r="114" spans="1:11" ht="27.75">
      <c r="A114" s="135" t="s">
        <v>95</v>
      </c>
      <c r="B114" s="135" t="s">
        <v>1448</v>
      </c>
      <c r="C114" s="135" t="s">
        <v>8</v>
      </c>
      <c r="D114" s="135" t="s">
        <v>9</v>
      </c>
      <c r="E114" s="135" t="s">
        <v>1318</v>
      </c>
      <c r="F114" s="135" t="s">
        <v>1319</v>
      </c>
      <c r="G114" s="136">
        <v>8</v>
      </c>
      <c r="H114" s="135" t="s">
        <v>1318</v>
      </c>
      <c r="I114" s="81" t="s">
        <v>1409</v>
      </c>
      <c r="K114" s="81" t="s">
        <v>1408</v>
      </c>
    </row>
    <row r="115" spans="1:11" ht="27.75">
      <c r="A115" s="135" t="s">
        <v>96</v>
      </c>
      <c r="B115" s="135" t="s">
        <v>1449</v>
      </c>
      <c r="C115" s="135" t="s">
        <v>8</v>
      </c>
      <c r="D115" s="135" t="s">
        <v>9</v>
      </c>
      <c r="E115" s="135" t="s">
        <v>1320</v>
      </c>
      <c r="F115" s="135" t="s">
        <v>1321</v>
      </c>
      <c r="G115" s="136">
        <v>8</v>
      </c>
      <c r="H115" s="135" t="s">
        <v>1320</v>
      </c>
      <c r="I115" s="81" t="s">
        <v>1409</v>
      </c>
      <c r="K115" s="81" t="s">
        <v>1408</v>
      </c>
    </row>
    <row r="116" spans="1:11" ht="27.75">
      <c r="A116" s="135" t="s">
        <v>1043</v>
      </c>
      <c r="B116" s="135" t="s">
        <v>1044</v>
      </c>
      <c r="C116" s="135" t="s">
        <v>8</v>
      </c>
      <c r="D116" s="135" t="s">
        <v>9</v>
      </c>
      <c r="E116" s="135" t="s">
        <v>1318</v>
      </c>
      <c r="F116" s="135" t="s">
        <v>1319</v>
      </c>
      <c r="G116" s="136">
        <v>8</v>
      </c>
      <c r="H116" s="135" t="s">
        <v>1318</v>
      </c>
      <c r="I116" s="81" t="s">
        <v>1407</v>
      </c>
      <c r="J116" s="81">
        <v>42643</v>
      </c>
      <c r="K116" s="81" t="s">
        <v>1408</v>
      </c>
    </row>
    <row r="117" spans="1:11" ht="27.75">
      <c r="A117" s="135" t="s">
        <v>1045</v>
      </c>
      <c r="B117" s="135" t="s">
        <v>1046</v>
      </c>
      <c r="C117" s="135" t="s">
        <v>8</v>
      </c>
      <c r="D117" s="135" t="s">
        <v>9</v>
      </c>
      <c r="E117" s="135" t="s">
        <v>1320</v>
      </c>
      <c r="F117" s="135" t="s">
        <v>1321</v>
      </c>
      <c r="G117" s="136">
        <v>8</v>
      </c>
      <c r="H117" s="135" t="s">
        <v>1320</v>
      </c>
      <c r="I117" s="81" t="s">
        <v>1407</v>
      </c>
      <c r="J117" s="81">
        <v>42643</v>
      </c>
      <c r="K117" s="81" t="s">
        <v>1408</v>
      </c>
    </row>
    <row r="118" spans="1:11" ht="27.75">
      <c r="A118" s="135" t="s">
        <v>97</v>
      </c>
      <c r="B118" s="135" t="s">
        <v>98</v>
      </c>
      <c r="C118" s="135" t="s">
        <v>8</v>
      </c>
      <c r="D118" s="135" t="s">
        <v>9</v>
      </c>
      <c r="E118" s="135" t="s">
        <v>1322</v>
      </c>
      <c r="F118" s="135" t="s">
        <v>1323</v>
      </c>
      <c r="G118" s="136">
        <v>8</v>
      </c>
      <c r="H118" s="135" t="s">
        <v>1322</v>
      </c>
      <c r="I118" s="81" t="s">
        <v>1409</v>
      </c>
      <c r="K118" s="81" t="s">
        <v>1408</v>
      </c>
    </row>
    <row r="119" spans="1:11" ht="27.75">
      <c r="A119" s="135" t="s">
        <v>99</v>
      </c>
      <c r="B119" s="135" t="s">
        <v>100</v>
      </c>
      <c r="C119" s="135" t="s">
        <v>8</v>
      </c>
      <c r="D119" s="135" t="s">
        <v>9</v>
      </c>
      <c r="E119" s="135" t="s">
        <v>1320</v>
      </c>
      <c r="F119" s="135" t="s">
        <v>1321</v>
      </c>
      <c r="G119" s="136">
        <v>8</v>
      </c>
      <c r="H119" s="135" t="s">
        <v>1320</v>
      </c>
      <c r="I119" s="81" t="s">
        <v>1409</v>
      </c>
      <c r="K119" s="81" t="s">
        <v>1408</v>
      </c>
    </row>
    <row r="120" spans="1:11" ht="27.75">
      <c r="A120" s="135" t="s">
        <v>101</v>
      </c>
      <c r="B120" s="135" t="s">
        <v>1450</v>
      </c>
      <c r="C120" s="135" t="s">
        <v>8</v>
      </c>
      <c r="D120" s="135" t="s">
        <v>9</v>
      </c>
      <c r="E120" s="135" t="s">
        <v>1318</v>
      </c>
      <c r="F120" s="135" t="s">
        <v>1319</v>
      </c>
      <c r="G120" s="136">
        <v>8</v>
      </c>
      <c r="H120" s="135" t="s">
        <v>1318</v>
      </c>
      <c r="I120" s="81" t="s">
        <v>1409</v>
      </c>
      <c r="K120" s="81" t="s">
        <v>1408</v>
      </c>
    </row>
    <row r="121" spans="1:11" ht="27.75">
      <c r="A121" s="135" t="s">
        <v>102</v>
      </c>
      <c r="B121" s="135" t="s">
        <v>1451</v>
      </c>
      <c r="C121" s="135" t="s">
        <v>8</v>
      </c>
      <c r="D121" s="135" t="s">
        <v>9</v>
      </c>
      <c r="E121" s="135" t="s">
        <v>1320</v>
      </c>
      <c r="F121" s="135" t="s">
        <v>1321</v>
      </c>
      <c r="G121" s="136">
        <v>8</v>
      </c>
      <c r="H121" s="135" t="s">
        <v>1320</v>
      </c>
      <c r="I121" s="81" t="s">
        <v>1409</v>
      </c>
      <c r="K121" s="81" t="s">
        <v>1408</v>
      </c>
    </row>
    <row r="122" spans="1:11" ht="27.75">
      <c r="A122" s="135" t="s">
        <v>103</v>
      </c>
      <c r="B122" s="135" t="s">
        <v>1452</v>
      </c>
      <c r="C122" s="135" t="s">
        <v>8</v>
      </c>
      <c r="D122" s="135" t="s">
        <v>9</v>
      </c>
      <c r="E122" s="135" t="s">
        <v>1317</v>
      </c>
      <c r="F122" s="135" t="s">
        <v>671</v>
      </c>
      <c r="G122" s="136">
        <v>8</v>
      </c>
      <c r="H122" s="135" t="s">
        <v>1317</v>
      </c>
      <c r="I122" s="81" t="s">
        <v>1409</v>
      </c>
      <c r="K122" s="81" t="s">
        <v>1408</v>
      </c>
    </row>
    <row r="123" spans="1:11" ht="27.75">
      <c r="A123" s="135" t="s">
        <v>104</v>
      </c>
      <c r="B123" s="135" t="s">
        <v>1453</v>
      </c>
      <c r="C123" s="135" t="s">
        <v>8</v>
      </c>
      <c r="D123" s="135" t="s">
        <v>9</v>
      </c>
      <c r="E123" s="135" t="s">
        <v>1317</v>
      </c>
      <c r="F123" s="135" t="s">
        <v>671</v>
      </c>
      <c r="G123" s="136">
        <v>8</v>
      </c>
      <c r="H123" s="135" t="s">
        <v>1317</v>
      </c>
      <c r="I123" s="81" t="s">
        <v>1409</v>
      </c>
      <c r="K123" s="81" t="s">
        <v>1408</v>
      </c>
    </row>
    <row r="124" spans="1:11" ht="27.75">
      <c r="A124" s="135" t="s">
        <v>105</v>
      </c>
      <c r="B124" s="135" t="s">
        <v>1454</v>
      </c>
      <c r="C124" s="135" t="s">
        <v>8</v>
      </c>
      <c r="D124" s="135" t="s">
        <v>9</v>
      </c>
      <c r="E124" s="135" t="s">
        <v>1317</v>
      </c>
      <c r="F124" s="135" t="s">
        <v>671</v>
      </c>
      <c r="G124" s="136">
        <v>8</v>
      </c>
      <c r="H124" s="135" t="s">
        <v>1317</v>
      </c>
      <c r="I124" s="81" t="s">
        <v>1409</v>
      </c>
      <c r="K124" s="81" t="s">
        <v>1408</v>
      </c>
    </row>
    <row r="125" spans="1:11" ht="27.75">
      <c r="A125" s="135" t="s">
        <v>106</v>
      </c>
      <c r="B125" s="135" t="s">
        <v>1455</v>
      </c>
      <c r="C125" s="135" t="s">
        <v>8</v>
      </c>
      <c r="D125" s="135" t="s">
        <v>9</v>
      </c>
      <c r="E125" s="135" t="s">
        <v>1317</v>
      </c>
      <c r="F125" s="135" t="s">
        <v>671</v>
      </c>
      <c r="G125" s="136">
        <v>8</v>
      </c>
      <c r="H125" s="135" t="s">
        <v>1317</v>
      </c>
      <c r="I125" s="81" t="s">
        <v>1409</v>
      </c>
      <c r="K125" s="81" t="s">
        <v>1411</v>
      </c>
    </row>
    <row r="126" spans="1:11" ht="27.75">
      <c r="A126" s="135" t="s">
        <v>875</v>
      </c>
      <c r="B126" s="135" t="s">
        <v>107</v>
      </c>
      <c r="C126" s="135" t="s">
        <v>8</v>
      </c>
      <c r="D126" s="135" t="s">
        <v>9</v>
      </c>
      <c r="E126" s="135" t="s">
        <v>1322</v>
      </c>
      <c r="F126" s="135" t="s">
        <v>1323</v>
      </c>
      <c r="G126" s="136">
        <v>8</v>
      </c>
      <c r="H126" s="135" t="s">
        <v>1322</v>
      </c>
      <c r="I126" s="81" t="s">
        <v>1409</v>
      </c>
      <c r="K126" s="81" t="s">
        <v>1411</v>
      </c>
    </row>
    <row r="127" spans="1:11" ht="27.75">
      <c r="A127" s="135" t="s">
        <v>876</v>
      </c>
      <c r="B127" s="135" t="s">
        <v>108</v>
      </c>
      <c r="C127" s="135" t="s">
        <v>8</v>
      </c>
      <c r="D127" s="135" t="s">
        <v>9</v>
      </c>
      <c r="E127" s="135" t="s">
        <v>1322</v>
      </c>
      <c r="F127" s="135" t="s">
        <v>1323</v>
      </c>
      <c r="G127" s="136">
        <v>8</v>
      </c>
      <c r="H127" s="135" t="s">
        <v>1322</v>
      </c>
      <c r="I127" s="81" t="s">
        <v>1409</v>
      </c>
      <c r="K127" s="81" t="s">
        <v>1411</v>
      </c>
    </row>
    <row r="128" spans="1:11" ht="27.75">
      <c r="A128" s="135" t="s">
        <v>1047</v>
      </c>
      <c r="B128" s="135" t="s">
        <v>1048</v>
      </c>
      <c r="C128" s="135" t="s">
        <v>10</v>
      </c>
      <c r="D128" s="135" t="s">
        <v>11</v>
      </c>
      <c r="E128" s="135" t="s">
        <v>1324</v>
      </c>
      <c r="F128" s="135" t="s">
        <v>672</v>
      </c>
      <c r="G128" s="136">
        <v>9</v>
      </c>
      <c r="H128" s="135" t="s">
        <v>1324</v>
      </c>
      <c r="I128" s="81" t="s">
        <v>1407</v>
      </c>
      <c r="J128" s="81">
        <v>42643</v>
      </c>
      <c r="K128" s="81" t="s">
        <v>1408</v>
      </c>
    </row>
    <row r="129" spans="1:11" ht="27.75">
      <c r="A129" s="135" t="s">
        <v>109</v>
      </c>
      <c r="B129" s="135" t="s">
        <v>1456</v>
      </c>
      <c r="C129" s="135" t="s">
        <v>10</v>
      </c>
      <c r="D129" s="135" t="s">
        <v>11</v>
      </c>
      <c r="E129" s="135" t="s">
        <v>1325</v>
      </c>
      <c r="F129" s="135" t="s">
        <v>1326</v>
      </c>
      <c r="G129" s="136">
        <v>9</v>
      </c>
      <c r="H129" s="135" t="s">
        <v>1325</v>
      </c>
      <c r="I129" s="81" t="s">
        <v>1409</v>
      </c>
      <c r="K129" s="81" t="s">
        <v>1408</v>
      </c>
    </row>
    <row r="130" spans="1:11" ht="27.75">
      <c r="A130" s="135" t="s">
        <v>110</v>
      </c>
      <c r="B130" s="135" t="s">
        <v>1457</v>
      </c>
      <c r="C130" s="135" t="s">
        <v>10</v>
      </c>
      <c r="D130" s="135" t="s">
        <v>11</v>
      </c>
      <c r="E130" s="135" t="s">
        <v>1327</v>
      </c>
      <c r="F130" s="135" t="s">
        <v>1328</v>
      </c>
      <c r="G130" s="136">
        <v>9</v>
      </c>
      <c r="H130" s="135" t="s">
        <v>1327</v>
      </c>
      <c r="I130" s="81" t="s">
        <v>1409</v>
      </c>
      <c r="K130" s="81" t="s">
        <v>1408</v>
      </c>
    </row>
    <row r="131" spans="1:11" ht="27.75">
      <c r="A131" s="135" t="s">
        <v>111</v>
      </c>
      <c r="B131" s="135" t="s">
        <v>1458</v>
      </c>
      <c r="C131" s="135" t="s">
        <v>10</v>
      </c>
      <c r="D131" s="135" t="s">
        <v>11</v>
      </c>
      <c r="E131" s="135" t="s">
        <v>1324</v>
      </c>
      <c r="F131" s="135" t="s">
        <v>672</v>
      </c>
      <c r="G131" s="136">
        <v>9</v>
      </c>
      <c r="H131" s="135" t="s">
        <v>1324</v>
      </c>
      <c r="I131" s="81" t="s">
        <v>1409</v>
      </c>
      <c r="K131" s="81" t="s">
        <v>1408</v>
      </c>
    </row>
    <row r="132" spans="1:11" ht="27.75">
      <c r="A132" s="135" t="s">
        <v>112</v>
      </c>
      <c r="B132" s="135" t="s">
        <v>1459</v>
      </c>
      <c r="C132" s="135" t="s">
        <v>10</v>
      </c>
      <c r="D132" s="135" t="s">
        <v>11</v>
      </c>
      <c r="E132" s="135" t="s">
        <v>1324</v>
      </c>
      <c r="F132" s="135" t="s">
        <v>672</v>
      </c>
      <c r="G132" s="136">
        <v>9</v>
      </c>
      <c r="H132" s="135" t="s">
        <v>1324</v>
      </c>
      <c r="I132" s="81" t="s">
        <v>1409</v>
      </c>
      <c r="K132" s="81" t="s">
        <v>1408</v>
      </c>
    </row>
    <row r="133" spans="1:11" ht="27.75">
      <c r="A133" s="135" t="s">
        <v>113</v>
      </c>
      <c r="B133" s="135" t="s">
        <v>1460</v>
      </c>
      <c r="C133" s="135" t="s">
        <v>10</v>
      </c>
      <c r="D133" s="135" t="s">
        <v>11</v>
      </c>
      <c r="E133" s="135" t="s">
        <v>1329</v>
      </c>
      <c r="F133" s="135" t="s">
        <v>1330</v>
      </c>
      <c r="G133" s="136">
        <v>9</v>
      </c>
      <c r="H133" s="135" t="s">
        <v>1329</v>
      </c>
      <c r="I133" s="81" t="s">
        <v>1409</v>
      </c>
      <c r="K133" s="81" t="s">
        <v>1408</v>
      </c>
    </row>
    <row r="134" spans="1:11" ht="27.75">
      <c r="A134" s="135" t="s">
        <v>114</v>
      </c>
      <c r="B134" s="135" t="s">
        <v>1461</v>
      </c>
      <c r="C134" s="135" t="s">
        <v>10</v>
      </c>
      <c r="D134" s="135" t="s">
        <v>11</v>
      </c>
      <c r="E134" s="135" t="s">
        <v>1324</v>
      </c>
      <c r="F134" s="135" t="s">
        <v>672</v>
      </c>
      <c r="G134" s="136">
        <v>9</v>
      </c>
      <c r="H134" s="135" t="s">
        <v>1324</v>
      </c>
      <c r="I134" s="81" t="s">
        <v>1409</v>
      </c>
      <c r="K134" s="81" t="s">
        <v>1411</v>
      </c>
    </row>
    <row r="135" spans="1:11" ht="27.75">
      <c r="A135" s="135" t="s">
        <v>115</v>
      </c>
      <c r="B135" s="135" t="s">
        <v>1462</v>
      </c>
      <c r="C135" s="135" t="s">
        <v>10</v>
      </c>
      <c r="D135" s="135" t="s">
        <v>11</v>
      </c>
      <c r="E135" s="135" t="s">
        <v>1324</v>
      </c>
      <c r="F135" s="135" t="s">
        <v>672</v>
      </c>
      <c r="G135" s="136">
        <v>9</v>
      </c>
      <c r="H135" s="135" t="s">
        <v>1324</v>
      </c>
      <c r="I135" s="81" t="s">
        <v>1409</v>
      </c>
      <c r="K135" s="81" t="s">
        <v>1411</v>
      </c>
    </row>
    <row r="136" spans="1:11" ht="27.75">
      <c r="A136" s="135" t="s">
        <v>877</v>
      </c>
      <c r="B136" s="135" t="s">
        <v>878</v>
      </c>
      <c r="C136" s="135" t="s">
        <v>10</v>
      </c>
      <c r="D136" s="135" t="s">
        <v>11</v>
      </c>
      <c r="E136" s="135" t="s">
        <v>1325</v>
      </c>
      <c r="F136" s="135" t="s">
        <v>1326</v>
      </c>
      <c r="G136" s="136">
        <v>9</v>
      </c>
      <c r="H136" s="135" t="s">
        <v>1325</v>
      </c>
      <c r="I136" s="81" t="s">
        <v>1409</v>
      </c>
      <c r="K136" s="81" t="s">
        <v>1411</v>
      </c>
    </row>
    <row r="137" spans="1:11" ht="27.75">
      <c r="A137" s="135" t="s">
        <v>879</v>
      </c>
      <c r="B137" s="135" t="s">
        <v>880</v>
      </c>
      <c r="C137" s="135" t="s">
        <v>10</v>
      </c>
      <c r="D137" s="135" t="s">
        <v>11</v>
      </c>
      <c r="E137" s="135" t="s">
        <v>1327</v>
      </c>
      <c r="F137" s="135" t="s">
        <v>1328</v>
      </c>
      <c r="G137" s="136">
        <v>9</v>
      </c>
      <c r="H137" s="135" t="s">
        <v>1327</v>
      </c>
      <c r="I137" s="81" t="s">
        <v>1409</v>
      </c>
      <c r="K137" s="81" t="s">
        <v>1411</v>
      </c>
    </row>
    <row r="138" spans="1:11" ht="27.75">
      <c r="A138" s="135" t="s">
        <v>881</v>
      </c>
      <c r="B138" s="135" t="s">
        <v>882</v>
      </c>
      <c r="C138" s="135" t="s">
        <v>10</v>
      </c>
      <c r="D138" s="135" t="s">
        <v>11</v>
      </c>
      <c r="E138" s="135" t="s">
        <v>1327</v>
      </c>
      <c r="F138" s="135" t="s">
        <v>1328</v>
      </c>
      <c r="G138" s="136">
        <v>9</v>
      </c>
      <c r="H138" s="135" t="s">
        <v>1327</v>
      </c>
      <c r="I138" s="81" t="s">
        <v>1409</v>
      </c>
      <c r="K138" s="81" t="s">
        <v>1411</v>
      </c>
    </row>
    <row r="139" spans="1:11" ht="27.75">
      <c r="A139" s="135" t="s">
        <v>883</v>
      </c>
      <c r="B139" s="135" t="s">
        <v>884</v>
      </c>
      <c r="C139" s="135" t="s">
        <v>10</v>
      </c>
      <c r="D139" s="135" t="s">
        <v>11</v>
      </c>
      <c r="E139" s="135" t="s">
        <v>1324</v>
      </c>
      <c r="F139" s="135" t="s">
        <v>672</v>
      </c>
      <c r="G139" s="136">
        <v>9</v>
      </c>
      <c r="H139" s="135" t="s">
        <v>1324</v>
      </c>
      <c r="I139" s="81" t="s">
        <v>1409</v>
      </c>
      <c r="K139" s="81" t="s">
        <v>1411</v>
      </c>
    </row>
    <row r="140" spans="1:11" ht="27.75">
      <c r="A140" s="135" t="s">
        <v>885</v>
      </c>
      <c r="B140" s="135" t="s">
        <v>886</v>
      </c>
      <c r="C140" s="135" t="s">
        <v>10</v>
      </c>
      <c r="D140" s="135" t="s">
        <v>11</v>
      </c>
      <c r="E140" s="135" t="s">
        <v>1329</v>
      </c>
      <c r="F140" s="135" t="s">
        <v>1330</v>
      </c>
      <c r="G140" s="136">
        <v>9</v>
      </c>
      <c r="H140" s="135" t="s">
        <v>1329</v>
      </c>
      <c r="I140" s="81" t="s">
        <v>1409</v>
      </c>
      <c r="K140" s="81" t="s">
        <v>1411</v>
      </c>
    </row>
    <row r="141" spans="1:11" ht="27.75">
      <c r="A141" s="135" t="s">
        <v>887</v>
      </c>
      <c r="B141" s="135" t="s">
        <v>116</v>
      </c>
      <c r="C141" s="135" t="s">
        <v>10</v>
      </c>
      <c r="D141" s="135" t="s">
        <v>11</v>
      </c>
      <c r="E141" s="135" t="s">
        <v>1329</v>
      </c>
      <c r="F141" s="135" t="s">
        <v>1330</v>
      </c>
      <c r="G141" s="136">
        <v>9</v>
      </c>
      <c r="H141" s="135" t="s">
        <v>1329</v>
      </c>
      <c r="I141" s="81" t="s">
        <v>1409</v>
      </c>
      <c r="K141" s="81" t="s">
        <v>1411</v>
      </c>
    </row>
    <row r="142" spans="1:11" ht="27.75">
      <c r="A142" s="135" t="s">
        <v>888</v>
      </c>
      <c r="B142" s="135" t="s">
        <v>889</v>
      </c>
      <c r="C142" s="135" t="s">
        <v>10</v>
      </c>
      <c r="D142" s="135" t="s">
        <v>11</v>
      </c>
      <c r="E142" s="135" t="s">
        <v>1329</v>
      </c>
      <c r="F142" s="135" t="s">
        <v>1330</v>
      </c>
      <c r="G142" s="136">
        <v>9</v>
      </c>
      <c r="H142" s="135" t="s">
        <v>1329</v>
      </c>
      <c r="I142" s="81" t="s">
        <v>1409</v>
      </c>
      <c r="K142" s="81" t="s">
        <v>1411</v>
      </c>
    </row>
    <row r="143" spans="1:11" ht="27.75">
      <c r="A143" s="135" t="s">
        <v>132</v>
      </c>
      <c r="B143" s="135" t="s">
        <v>1463</v>
      </c>
      <c r="C143" s="135" t="s">
        <v>12</v>
      </c>
      <c r="D143" s="135" t="s">
        <v>13</v>
      </c>
      <c r="E143" s="135" t="s">
        <v>1333</v>
      </c>
      <c r="F143" s="135" t="s">
        <v>1334</v>
      </c>
      <c r="G143" s="136">
        <v>10</v>
      </c>
      <c r="H143" s="135" t="s">
        <v>1333</v>
      </c>
      <c r="I143" s="81" t="s">
        <v>1409</v>
      </c>
      <c r="K143" s="81" t="s">
        <v>1408</v>
      </c>
    </row>
    <row r="144" spans="1:11" ht="27.75">
      <c r="A144" s="135" t="s">
        <v>1049</v>
      </c>
      <c r="B144" s="135" t="s">
        <v>1050</v>
      </c>
      <c r="C144" s="135" t="s">
        <v>12</v>
      </c>
      <c r="D144" s="135" t="s">
        <v>13</v>
      </c>
      <c r="E144" s="135" t="s">
        <v>1333</v>
      </c>
      <c r="F144" s="135" t="s">
        <v>1334</v>
      </c>
      <c r="G144" s="136">
        <v>10</v>
      </c>
      <c r="H144" s="135" t="s">
        <v>1333</v>
      </c>
      <c r="I144" s="81" t="s">
        <v>1407</v>
      </c>
      <c r="J144" s="81">
        <v>42643</v>
      </c>
      <c r="K144" s="81" t="s">
        <v>1408</v>
      </c>
    </row>
    <row r="145" spans="1:11" ht="27.75">
      <c r="A145" s="135" t="s">
        <v>133</v>
      </c>
      <c r="B145" s="135" t="s">
        <v>1464</v>
      </c>
      <c r="C145" s="135" t="s">
        <v>12</v>
      </c>
      <c r="D145" s="135" t="s">
        <v>13</v>
      </c>
      <c r="E145" s="135" t="s">
        <v>1331</v>
      </c>
      <c r="F145" s="135" t="s">
        <v>1332</v>
      </c>
      <c r="G145" s="136">
        <v>10</v>
      </c>
      <c r="H145" s="135" t="s">
        <v>1331</v>
      </c>
      <c r="I145" s="81" t="s">
        <v>1409</v>
      </c>
      <c r="K145" s="81" t="s">
        <v>1408</v>
      </c>
    </row>
    <row r="146" spans="1:11" ht="27.75">
      <c r="A146" s="135" t="s">
        <v>134</v>
      </c>
      <c r="B146" s="135" t="s">
        <v>1465</v>
      </c>
      <c r="C146" s="135" t="s">
        <v>12</v>
      </c>
      <c r="D146" s="135" t="s">
        <v>13</v>
      </c>
      <c r="E146" s="135" t="s">
        <v>1331</v>
      </c>
      <c r="F146" s="135" t="s">
        <v>1332</v>
      </c>
      <c r="G146" s="136">
        <v>10</v>
      </c>
      <c r="H146" s="135" t="s">
        <v>1331</v>
      </c>
      <c r="I146" s="81" t="s">
        <v>1409</v>
      </c>
      <c r="K146" s="81" t="s">
        <v>1408</v>
      </c>
    </row>
    <row r="147" spans="1:11" ht="27.75">
      <c r="A147" s="135" t="s">
        <v>135</v>
      </c>
      <c r="B147" s="135" t="s">
        <v>136</v>
      </c>
      <c r="C147" s="135" t="s">
        <v>12</v>
      </c>
      <c r="D147" s="135" t="s">
        <v>13</v>
      </c>
      <c r="E147" s="135" t="s">
        <v>1331</v>
      </c>
      <c r="F147" s="135" t="s">
        <v>1332</v>
      </c>
      <c r="G147" s="136">
        <v>10</v>
      </c>
      <c r="H147" s="135" t="s">
        <v>1331</v>
      </c>
      <c r="I147" s="81" t="s">
        <v>1409</v>
      </c>
      <c r="K147" s="81" t="s">
        <v>1408</v>
      </c>
    </row>
    <row r="148" spans="1:11" ht="27.75">
      <c r="A148" s="135" t="s">
        <v>137</v>
      </c>
      <c r="B148" s="135" t="s">
        <v>138</v>
      </c>
      <c r="C148" s="135" t="s">
        <v>12</v>
      </c>
      <c r="D148" s="135" t="s">
        <v>13</v>
      </c>
      <c r="E148" s="135" t="s">
        <v>1331</v>
      </c>
      <c r="F148" s="135" t="s">
        <v>1332</v>
      </c>
      <c r="G148" s="136">
        <v>10</v>
      </c>
      <c r="H148" s="135" t="s">
        <v>1331</v>
      </c>
      <c r="I148" s="81" t="s">
        <v>1409</v>
      </c>
      <c r="K148" s="81" t="s">
        <v>1408</v>
      </c>
    </row>
    <row r="149" spans="1:11" ht="27.75">
      <c r="A149" s="135" t="s">
        <v>1051</v>
      </c>
      <c r="B149" s="135" t="s">
        <v>1052</v>
      </c>
      <c r="C149" s="135" t="s">
        <v>12</v>
      </c>
      <c r="D149" s="135" t="s">
        <v>13</v>
      </c>
      <c r="E149" s="135" t="s">
        <v>1331</v>
      </c>
      <c r="F149" s="135" t="s">
        <v>1332</v>
      </c>
      <c r="G149" s="136">
        <v>10</v>
      </c>
      <c r="H149" s="135" t="s">
        <v>1331</v>
      </c>
      <c r="I149" s="81" t="s">
        <v>1466</v>
      </c>
      <c r="J149" s="81">
        <v>42643</v>
      </c>
      <c r="K149" s="81" t="s">
        <v>1408</v>
      </c>
    </row>
    <row r="150" spans="1:11" ht="27.75">
      <c r="A150" s="135" t="s">
        <v>1053</v>
      </c>
      <c r="B150" s="135" t="s">
        <v>1054</v>
      </c>
      <c r="C150" s="135" t="s">
        <v>12</v>
      </c>
      <c r="D150" s="135" t="s">
        <v>13</v>
      </c>
      <c r="E150" s="135" t="s">
        <v>1331</v>
      </c>
      <c r="F150" s="135" t="s">
        <v>1332</v>
      </c>
      <c r="G150" s="136">
        <v>10</v>
      </c>
      <c r="H150" s="135" t="s">
        <v>1331</v>
      </c>
      <c r="I150" s="81" t="s">
        <v>1466</v>
      </c>
      <c r="J150" s="81">
        <v>42643</v>
      </c>
      <c r="K150" s="81" t="s">
        <v>1408</v>
      </c>
    </row>
    <row r="151" spans="1:11" ht="27.75">
      <c r="A151" s="135" t="s">
        <v>890</v>
      </c>
      <c r="B151" s="135" t="s">
        <v>891</v>
      </c>
      <c r="C151" s="135" t="s">
        <v>12</v>
      </c>
      <c r="D151" s="135" t="s">
        <v>13</v>
      </c>
      <c r="E151" s="135" t="s">
        <v>1333</v>
      </c>
      <c r="F151" s="135" t="s">
        <v>1334</v>
      </c>
      <c r="G151" s="136">
        <v>10</v>
      </c>
      <c r="H151" s="135" t="s">
        <v>1333</v>
      </c>
      <c r="I151" s="81" t="s">
        <v>1409</v>
      </c>
      <c r="K151" s="81" t="s">
        <v>1411</v>
      </c>
    </row>
    <row r="152" spans="1:11" ht="27.75">
      <c r="A152" s="135" t="s">
        <v>892</v>
      </c>
      <c r="B152" s="135" t="s">
        <v>893</v>
      </c>
      <c r="C152" s="135" t="s">
        <v>12</v>
      </c>
      <c r="D152" s="135" t="s">
        <v>13</v>
      </c>
      <c r="E152" s="135" t="s">
        <v>1335</v>
      </c>
      <c r="F152" s="135" t="s">
        <v>1336</v>
      </c>
      <c r="G152" s="136">
        <v>10</v>
      </c>
      <c r="H152" s="135" t="s">
        <v>1335</v>
      </c>
      <c r="I152" s="81" t="s">
        <v>1409</v>
      </c>
      <c r="K152" s="81" t="s">
        <v>1411</v>
      </c>
    </row>
    <row r="153" spans="1:11" ht="27.75">
      <c r="A153" s="135" t="s">
        <v>894</v>
      </c>
      <c r="B153" s="135" t="s">
        <v>895</v>
      </c>
      <c r="C153" s="135" t="s">
        <v>12</v>
      </c>
      <c r="D153" s="135" t="s">
        <v>13</v>
      </c>
      <c r="E153" s="135" t="s">
        <v>1335</v>
      </c>
      <c r="F153" s="135" t="s">
        <v>1336</v>
      </c>
      <c r="G153" s="136">
        <v>10</v>
      </c>
      <c r="H153" s="135" t="s">
        <v>1335</v>
      </c>
      <c r="I153" s="81" t="s">
        <v>1409</v>
      </c>
      <c r="K153" s="81" t="s">
        <v>1411</v>
      </c>
    </row>
    <row r="154" spans="1:11" ht="27.75">
      <c r="A154" s="135" t="s">
        <v>896</v>
      </c>
      <c r="B154" s="135" t="s">
        <v>897</v>
      </c>
      <c r="C154" s="135" t="s">
        <v>12</v>
      </c>
      <c r="D154" s="135" t="s">
        <v>13</v>
      </c>
      <c r="E154" s="135" t="s">
        <v>1331</v>
      </c>
      <c r="F154" s="135" t="s">
        <v>1332</v>
      </c>
      <c r="G154" s="136">
        <v>10</v>
      </c>
      <c r="H154" s="135" t="s">
        <v>1331</v>
      </c>
      <c r="I154" s="81" t="s">
        <v>1409</v>
      </c>
      <c r="K154" s="81" t="s">
        <v>1411</v>
      </c>
    </row>
    <row r="155" spans="1:11" ht="27.75">
      <c r="A155" s="135" t="s">
        <v>161</v>
      </c>
      <c r="B155" s="135" t="s">
        <v>162</v>
      </c>
      <c r="C155" s="135" t="s">
        <v>16</v>
      </c>
      <c r="D155" s="135" t="s">
        <v>17</v>
      </c>
      <c r="E155" s="135" t="s">
        <v>1338</v>
      </c>
      <c r="F155" s="135" t="s">
        <v>17</v>
      </c>
      <c r="G155" s="136">
        <v>12</v>
      </c>
      <c r="H155" s="135" t="s">
        <v>1338</v>
      </c>
      <c r="I155" s="81" t="s">
        <v>1409</v>
      </c>
      <c r="K155" s="81" t="s">
        <v>1408</v>
      </c>
    </row>
    <row r="156" spans="1:11" ht="27.75">
      <c r="A156" s="135" t="s">
        <v>1055</v>
      </c>
      <c r="B156" s="135" t="s">
        <v>1056</v>
      </c>
      <c r="C156" s="135" t="s">
        <v>16</v>
      </c>
      <c r="D156" s="135" t="s">
        <v>17</v>
      </c>
      <c r="E156" s="135" t="s">
        <v>1338</v>
      </c>
      <c r="F156" s="135" t="s">
        <v>17</v>
      </c>
      <c r="G156" s="136">
        <v>12</v>
      </c>
      <c r="H156" s="135" t="s">
        <v>1338</v>
      </c>
      <c r="I156" s="81" t="s">
        <v>1407</v>
      </c>
      <c r="J156" s="81">
        <v>42643</v>
      </c>
      <c r="K156" s="81" t="s">
        <v>1408</v>
      </c>
    </row>
    <row r="157" spans="1:11" ht="27.75">
      <c r="A157" s="135" t="s">
        <v>163</v>
      </c>
      <c r="B157" s="135" t="s">
        <v>1467</v>
      </c>
      <c r="C157" s="135" t="s">
        <v>16</v>
      </c>
      <c r="D157" s="135" t="s">
        <v>17</v>
      </c>
      <c r="E157" s="135" t="s">
        <v>1338</v>
      </c>
      <c r="F157" s="135" t="s">
        <v>17</v>
      </c>
      <c r="G157" s="136">
        <v>12</v>
      </c>
      <c r="H157" s="135" t="s">
        <v>1338</v>
      </c>
      <c r="I157" s="81" t="s">
        <v>1409</v>
      </c>
      <c r="K157" s="81" t="s">
        <v>1408</v>
      </c>
    </row>
    <row r="158" spans="1:11" ht="27.75">
      <c r="A158" s="135" t="s">
        <v>1057</v>
      </c>
      <c r="B158" s="135" t="s">
        <v>1058</v>
      </c>
      <c r="C158" s="135" t="s">
        <v>16</v>
      </c>
      <c r="D158" s="135" t="s">
        <v>17</v>
      </c>
      <c r="E158" s="135" t="s">
        <v>1338</v>
      </c>
      <c r="F158" s="135" t="s">
        <v>17</v>
      </c>
      <c r="G158" s="136">
        <v>12</v>
      </c>
      <c r="H158" s="135" t="s">
        <v>1338</v>
      </c>
      <c r="I158" s="81" t="s">
        <v>1407</v>
      </c>
      <c r="J158" s="81">
        <v>42643</v>
      </c>
      <c r="K158" s="81" t="s">
        <v>1408</v>
      </c>
    </row>
    <row r="159" spans="1:11" ht="27.75">
      <c r="A159" s="135" t="s">
        <v>164</v>
      </c>
      <c r="B159" s="135" t="s">
        <v>1468</v>
      </c>
      <c r="C159" s="135" t="s">
        <v>16</v>
      </c>
      <c r="D159" s="135" t="s">
        <v>17</v>
      </c>
      <c r="E159" s="135" t="s">
        <v>1338</v>
      </c>
      <c r="F159" s="135" t="s">
        <v>17</v>
      </c>
      <c r="G159" s="136">
        <v>12</v>
      </c>
      <c r="H159" s="135" t="s">
        <v>1338</v>
      </c>
      <c r="I159" s="81" t="s">
        <v>1409</v>
      </c>
      <c r="K159" s="81" t="s">
        <v>1408</v>
      </c>
    </row>
    <row r="160" spans="1:11" ht="27.75">
      <c r="A160" s="135" t="s">
        <v>1059</v>
      </c>
      <c r="B160" s="135" t="s">
        <v>165</v>
      </c>
      <c r="C160" s="135" t="s">
        <v>16</v>
      </c>
      <c r="D160" s="135" t="s">
        <v>17</v>
      </c>
      <c r="E160" s="135" t="s">
        <v>1338</v>
      </c>
      <c r="F160" s="135" t="s">
        <v>17</v>
      </c>
      <c r="G160" s="136">
        <v>12</v>
      </c>
      <c r="H160" s="135" t="s">
        <v>1338</v>
      </c>
      <c r="I160" s="81" t="s">
        <v>1407</v>
      </c>
      <c r="J160" s="81">
        <v>42643</v>
      </c>
      <c r="K160" s="81" t="s">
        <v>1408</v>
      </c>
    </row>
    <row r="161" spans="1:11" ht="27.75">
      <c r="A161" s="135" t="s">
        <v>1060</v>
      </c>
      <c r="B161" s="135" t="s">
        <v>1061</v>
      </c>
      <c r="C161" s="135" t="s">
        <v>18</v>
      </c>
      <c r="D161" s="135" t="s">
        <v>690</v>
      </c>
      <c r="E161" s="135" t="s">
        <v>1339</v>
      </c>
      <c r="F161" s="135" t="s">
        <v>675</v>
      </c>
      <c r="G161" s="136">
        <v>33</v>
      </c>
      <c r="H161" s="135" t="s">
        <v>1339</v>
      </c>
      <c r="I161" s="81" t="s">
        <v>1407</v>
      </c>
      <c r="J161" s="81">
        <v>42643</v>
      </c>
      <c r="K161" s="81" t="s">
        <v>1408</v>
      </c>
    </row>
    <row r="162" spans="1:11" ht="27.75">
      <c r="A162" s="135" t="s">
        <v>1062</v>
      </c>
      <c r="B162" s="135" t="s">
        <v>1063</v>
      </c>
      <c r="C162" s="135" t="s">
        <v>16</v>
      </c>
      <c r="D162" s="135" t="s">
        <v>17</v>
      </c>
      <c r="E162" s="135" t="s">
        <v>1338</v>
      </c>
      <c r="F162" s="135" t="s">
        <v>17</v>
      </c>
      <c r="G162" s="136">
        <v>12</v>
      </c>
      <c r="H162" s="135" t="s">
        <v>1338</v>
      </c>
      <c r="I162" s="81" t="s">
        <v>1407</v>
      </c>
      <c r="J162" s="81">
        <v>42643</v>
      </c>
      <c r="K162" s="81" t="s">
        <v>1408</v>
      </c>
    </row>
    <row r="163" spans="1:11" ht="27.75">
      <c r="A163" s="135" t="s">
        <v>166</v>
      </c>
      <c r="B163" s="135" t="s">
        <v>167</v>
      </c>
      <c r="C163" s="135" t="s">
        <v>16</v>
      </c>
      <c r="D163" s="135" t="s">
        <v>17</v>
      </c>
      <c r="E163" s="135" t="s">
        <v>1338</v>
      </c>
      <c r="F163" s="135" t="s">
        <v>17</v>
      </c>
      <c r="G163" s="136">
        <v>12</v>
      </c>
      <c r="H163" s="135" t="s">
        <v>1338</v>
      </c>
      <c r="I163" s="81" t="s">
        <v>1409</v>
      </c>
      <c r="K163" s="81" t="s">
        <v>1408</v>
      </c>
    </row>
    <row r="164" spans="1:11" ht="27.75">
      <c r="A164" s="135" t="s">
        <v>168</v>
      </c>
      <c r="B164" s="135" t="s">
        <v>169</v>
      </c>
      <c r="C164" s="135" t="s">
        <v>16</v>
      </c>
      <c r="D164" s="135" t="s">
        <v>17</v>
      </c>
      <c r="E164" s="135" t="s">
        <v>1338</v>
      </c>
      <c r="F164" s="135" t="s">
        <v>17</v>
      </c>
      <c r="G164" s="136">
        <v>12</v>
      </c>
      <c r="H164" s="135" t="s">
        <v>1338</v>
      </c>
      <c r="I164" s="81" t="s">
        <v>1409</v>
      </c>
      <c r="K164" s="81" t="s">
        <v>1408</v>
      </c>
    </row>
    <row r="165" spans="1:11" ht="27.75">
      <c r="A165" s="135" t="s">
        <v>1064</v>
      </c>
      <c r="B165" s="135" t="s">
        <v>1065</v>
      </c>
      <c r="C165" s="135" t="s">
        <v>18</v>
      </c>
      <c r="D165" s="135" t="s">
        <v>690</v>
      </c>
      <c r="E165" s="135" t="s">
        <v>1339</v>
      </c>
      <c r="F165" s="135" t="s">
        <v>675</v>
      </c>
      <c r="G165" s="136">
        <v>33</v>
      </c>
      <c r="H165" s="135" t="s">
        <v>1339</v>
      </c>
      <c r="I165" s="81" t="s">
        <v>1407</v>
      </c>
      <c r="J165" s="81">
        <v>42643</v>
      </c>
      <c r="K165" s="81" t="s">
        <v>1408</v>
      </c>
    </row>
    <row r="166" spans="1:11" ht="27.75">
      <c r="A166" s="135" t="s">
        <v>1066</v>
      </c>
      <c r="B166" s="135" t="s">
        <v>1067</v>
      </c>
      <c r="C166" s="135" t="s">
        <v>18</v>
      </c>
      <c r="D166" s="135" t="s">
        <v>690</v>
      </c>
      <c r="E166" s="135" t="s">
        <v>1339</v>
      </c>
      <c r="F166" s="135" t="s">
        <v>675</v>
      </c>
      <c r="G166" s="136">
        <v>33</v>
      </c>
      <c r="H166" s="135" t="s">
        <v>1339</v>
      </c>
      <c r="I166" s="81" t="s">
        <v>1407</v>
      </c>
      <c r="J166" s="81">
        <v>42643</v>
      </c>
      <c r="K166" s="81" t="s">
        <v>1408</v>
      </c>
    </row>
    <row r="167" spans="1:11" ht="27.75">
      <c r="A167" s="135" t="s">
        <v>170</v>
      </c>
      <c r="B167" s="135" t="s">
        <v>171</v>
      </c>
      <c r="C167" s="135" t="s">
        <v>18</v>
      </c>
      <c r="D167" s="135" t="s">
        <v>690</v>
      </c>
      <c r="E167" s="135" t="s">
        <v>1339</v>
      </c>
      <c r="F167" s="135" t="s">
        <v>675</v>
      </c>
      <c r="G167" s="136">
        <v>33</v>
      </c>
      <c r="H167" s="135" t="s">
        <v>1339</v>
      </c>
      <c r="I167" s="81" t="s">
        <v>1409</v>
      </c>
      <c r="K167" s="81" t="s">
        <v>1408</v>
      </c>
    </row>
    <row r="168" spans="1:11" ht="27.75">
      <c r="A168" s="135" t="s">
        <v>172</v>
      </c>
      <c r="B168" s="135" t="s">
        <v>173</v>
      </c>
      <c r="C168" s="135" t="s">
        <v>18</v>
      </c>
      <c r="D168" s="135" t="s">
        <v>690</v>
      </c>
      <c r="E168" s="135" t="s">
        <v>1339</v>
      </c>
      <c r="F168" s="135" t="s">
        <v>675</v>
      </c>
      <c r="G168" s="136">
        <v>33</v>
      </c>
      <c r="H168" s="135" t="s">
        <v>1339</v>
      </c>
      <c r="I168" s="81" t="s">
        <v>1409</v>
      </c>
      <c r="K168" s="81" t="s">
        <v>1408</v>
      </c>
    </row>
    <row r="169" spans="1:11" ht="27.75">
      <c r="A169" s="135" t="s">
        <v>898</v>
      </c>
      <c r="B169" s="135" t="s">
        <v>165</v>
      </c>
      <c r="C169" s="135" t="s">
        <v>16</v>
      </c>
      <c r="D169" s="135" t="s">
        <v>17</v>
      </c>
      <c r="E169" s="135" t="s">
        <v>1338</v>
      </c>
      <c r="F169" s="135" t="s">
        <v>17</v>
      </c>
      <c r="G169" s="136">
        <v>12</v>
      </c>
      <c r="H169" s="135" t="s">
        <v>1338</v>
      </c>
      <c r="I169" s="81" t="s">
        <v>1409</v>
      </c>
      <c r="K169" s="81" t="s">
        <v>1411</v>
      </c>
    </row>
    <row r="170" spans="1:11" ht="27.75">
      <c r="A170" s="135" t="s">
        <v>174</v>
      </c>
      <c r="B170" s="135" t="s">
        <v>1469</v>
      </c>
      <c r="C170" s="135" t="s">
        <v>16</v>
      </c>
      <c r="D170" s="135" t="s">
        <v>17</v>
      </c>
      <c r="E170" s="135" t="s">
        <v>1338</v>
      </c>
      <c r="F170" s="135" t="s">
        <v>17</v>
      </c>
      <c r="G170" s="136">
        <v>12</v>
      </c>
      <c r="H170" s="135" t="s">
        <v>1338</v>
      </c>
      <c r="I170" s="81" t="s">
        <v>1409</v>
      </c>
      <c r="K170" s="81" t="s">
        <v>1408</v>
      </c>
    </row>
    <row r="171" spans="1:11" ht="27.75">
      <c r="A171" s="135" t="s">
        <v>899</v>
      </c>
      <c r="B171" s="135" t="s">
        <v>900</v>
      </c>
      <c r="C171" s="135" t="s">
        <v>16</v>
      </c>
      <c r="D171" s="135" t="s">
        <v>17</v>
      </c>
      <c r="E171" s="135" t="s">
        <v>1338</v>
      </c>
      <c r="F171" s="135" t="s">
        <v>17</v>
      </c>
      <c r="G171" s="136">
        <v>12</v>
      </c>
      <c r="H171" s="135" t="s">
        <v>1338</v>
      </c>
      <c r="I171" s="81" t="s">
        <v>1409</v>
      </c>
      <c r="K171" s="81" t="s">
        <v>1411</v>
      </c>
    </row>
    <row r="172" spans="1:11" ht="27.75">
      <c r="A172" s="135" t="s">
        <v>901</v>
      </c>
      <c r="B172" s="135" t="s">
        <v>902</v>
      </c>
      <c r="C172" s="135" t="s">
        <v>16</v>
      </c>
      <c r="D172" s="135" t="s">
        <v>17</v>
      </c>
      <c r="E172" s="135" t="s">
        <v>1338</v>
      </c>
      <c r="F172" s="135" t="s">
        <v>17</v>
      </c>
      <c r="G172" s="136">
        <v>12</v>
      </c>
      <c r="H172" s="135" t="s">
        <v>1338</v>
      </c>
      <c r="I172" s="81" t="s">
        <v>1409</v>
      </c>
      <c r="K172" s="81" t="s">
        <v>1411</v>
      </c>
    </row>
    <row r="173" spans="1:11" ht="27.75">
      <c r="A173" s="135" t="s">
        <v>175</v>
      </c>
      <c r="B173" s="135" t="s">
        <v>1470</v>
      </c>
      <c r="C173" s="135" t="s">
        <v>16</v>
      </c>
      <c r="D173" s="135" t="s">
        <v>17</v>
      </c>
      <c r="E173" s="135" t="s">
        <v>1338</v>
      </c>
      <c r="F173" s="135" t="s">
        <v>17</v>
      </c>
      <c r="G173" s="136">
        <v>12</v>
      </c>
      <c r="H173" s="135" t="s">
        <v>1338</v>
      </c>
      <c r="I173" s="81" t="s">
        <v>1409</v>
      </c>
      <c r="K173" s="81" t="s">
        <v>1408</v>
      </c>
    </row>
    <row r="174" spans="1:11" ht="27.75">
      <c r="A174" s="135" t="s">
        <v>1068</v>
      </c>
      <c r="B174" s="135" t="s">
        <v>1069</v>
      </c>
      <c r="C174" s="135" t="s">
        <v>16</v>
      </c>
      <c r="D174" s="135" t="s">
        <v>17</v>
      </c>
      <c r="E174" s="135" t="s">
        <v>1338</v>
      </c>
      <c r="F174" s="135" t="s">
        <v>17</v>
      </c>
      <c r="G174" s="136">
        <v>12</v>
      </c>
      <c r="H174" s="135" t="s">
        <v>1338</v>
      </c>
      <c r="I174" s="81" t="s">
        <v>1407</v>
      </c>
      <c r="J174" s="81">
        <v>42643</v>
      </c>
      <c r="K174" s="81" t="s">
        <v>1408</v>
      </c>
    </row>
    <row r="175" spans="1:11" ht="27.75">
      <c r="A175" s="135" t="s">
        <v>176</v>
      </c>
      <c r="B175" s="135" t="s">
        <v>177</v>
      </c>
      <c r="C175" s="135" t="s">
        <v>16</v>
      </c>
      <c r="D175" s="135" t="s">
        <v>17</v>
      </c>
      <c r="E175" s="135" t="s">
        <v>1338</v>
      </c>
      <c r="F175" s="135" t="s">
        <v>17</v>
      </c>
      <c r="G175" s="136">
        <v>12</v>
      </c>
      <c r="H175" s="135" t="s">
        <v>1338</v>
      </c>
      <c r="I175" s="81" t="s">
        <v>1409</v>
      </c>
      <c r="K175" s="81" t="s">
        <v>1408</v>
      </c>
    </row>
    <row r="176" spans="1:11" ht="27.75">
      <c r="A176" s="135" t="s">
        <v>178</v>
      </c>
      <c r="B176" s="135" t="s">
        <v>179</v>
      </c>
      <c r="C176" s="135" t="s">
        <v>16</v>
      </c>
      <c r="D176" s="135" t="s">
        <v>17</v>
      </c>
      <c r="E176" s="135" t="s">
        <v>1338</v>
      </c>
      <c r="F176" s="135" t="s">
        <v>17</v>
      </c>
      <c r="G176" s="136">
        <v>12</v>
      </c>
      <c r="H176" s="135" t="s">
        <v>1338</v>
      </c>
      <c r="I176" s="81" t="s">
        <v>1409</v>
      </c>
      <c r="K176" s="81" t="s">
        <v>1408</v>
      </c>
    </row>
    <row r="177" spans="1:11" ht="27.75">
      <c r="A177" s="135" t="s">
        <v>903</v>
      </c>
      <c r="B177" s="135" t="s">
        <v>904</v>
      </c>
      <c r="C177" s="135" t="s">
        <v>16</v>
      </c>
      <c r="D177" s="135" t="s">
        <v>17</v>
      </c>
      <c r="E177" s="135" t="s">
        <v>1338</v>
      </c>
      <c r="F177" s="135" t="s">
        <v>17</v>
      </c>
      <c r="G177" s="136">
        <v>12</v>
      </c>
      <c r="H177" s="135" t="s">
        <v>1338</v>
      </c>
      <c r="I177" s="81" t="s">
        <v>1409</v>
      </c>
      <c r="K177" s="81" t="s">
        <v>1411</v>
      </c>
    </row>
    <row r="178" spans="1:11" ht="27.75">
      <c r="A178" s="135" t="s">
        <v>1070</v>
      </c>
      <c r="B178" s="135" t="s">
        <v>1071</v>
      </c>
      <c r="C178" s="135" t="s">
        <v>14</v>
      </c>
      <c r="D178" s="135" t="s">
        <v>15</v>
      </c>
      <c r="E178" s="135" t="s">
        <v>1337</v>
      </c>
      <c r="F178" s="135" t="s">
        <v>15</v>
      </c>
      <c r="G178" s="136">
        <v>11</v>
      </c>
      <c r="H178" s="135" t="s">
        <v>1337</v>
      </c>
      <c r="I178" s="81" t="s">
        <v>1407</v>
      </c>
      <c r="J178" s="81">
        <v>42643</v>
      </c>
      <c r="K178" s="81" t="s">
        <v>1408</v>
      </c>
    </row>
    <row r="179" spans="1:11" ht="27.75">
      <c r="A179" s="135" t="s">
        <v>143</v>
      </c>
      <c r="B179" s="135" t="s">
        <v>1471</v>
      </c>
      <c r="C179" s="135" t="s">
        <v>14</v>
      </c>
      <c r="D179" s="135" t="s">
        <v>15</v>
      </c>
      <c r="E179" s="135" t="s">
        <v>1337</v>
      </c>
      <c r="F179" s="135" t="s">
        <v>15</v>
      </c>
      <c r="G179" s="136">
        <v>11</v>
      </c>
      <c r="H179" s="135" t="s">
        <v>1337</v>
      </c>
      <c r="I179" s="81" t="s">
        <v>1409</v>
      </c>
      <c r="K179" s="81" t="s">
        <v>1408</v>
      </c>
    </row>
    <row r="180" spans="1:11" ht="27.75">
      <c r="A180" s="135" t="s">
        <v>217</v>
      </c>
      <c r="B180" s="135" t="s">
        <v>1472</v>
      </c>
      <c r="C180" s="135" t="s">
        <v>18</v>
      </c>
      <c r="D180" s="135" t="s">
        <v>690</v>
      </c>
      <c r="E180" s="135" t="s">
        <v>1340</v>
      </c>
      <c r="F180" s="135" t="s">
        <v>673</v>
      </c>
      <c r="G180" s="136">
        <v>33</v>
      </c>
      <c r="H180" s="135" t="s">
        <v>1340</v>
      </c>
      <c r="I180" s="81" t="s">
        <v>1409</v>
      </c>
      <c r="K180" s="81" t="s">
        <v>1408</v>
      </c>
    </row>
    <row r="181" spans="1:11" ht="27.75">
      <c r="A181" s="135" t="s">
        <v>180</v>
      </c>
      <c r="B181" s="135" t="s">
        <v>1473</v>
      </c>
      <c r="C181" s="135" t="s">
        <v>16</v>
      </c>
      <c r="D181" s="135" t="s">
        <v>17</v>
      </c>
      <c r="E181" s="135" t="s">
        <v>1338</v>
      </c>
      <c r="F181" s="135" t="s">
        <v>17</v>
      </c>
      <c r="G181" s="136">
        <v>12</v>
      </c>
      <c r="H181" s="135" t="s">
        <v>1338</v>
      </c>
      <c r="I181" s="81" t="s">
        <v>1409</v>
      </c>
      <c r="K181" s="81" t="s">
        <v>1408</v>
      </c>
    </row>
    <row r="182" spans="1:11" ht="27.75">
      <c r="A182" s="135" t="s">
        <v>181</v>
      </c>
      <c r="B182" s="135" t="s">
        <v>1474</v>
      </c>
      <c r="C182" s="135" t="s">
        <v>16</v>
      </c>
      <c r="D182" s="135" t="s">
        <v>17</v>
      </c>
      <c r="E182" s="135" t="s">
        <v>1338</v>
      </c>
      <c r="F182" s="135" t="s">
        <v>17</v>
      </c>
      <c r="G182" s="136">
        <v>12</v>
      </c>
      <c r="H182" s="135" t="s">
        <v>1338</v>
      </c>
      <c r="I182" s="81" t="s">
        <v>1409</v>
      </c>
      <c r="K182" s="81" t="s">
        <v>1408</v>
      </c>
    </row>
    <row r="183" spans="1:11" ht="27.75">
      <c r="A183" s="135" t="s">
        <v>182</v>
      </c>
      <c r="B183" s="135" t="s">
        <v>1475</v>
      </c>
      <c r="C183" s="135" t="s">
        <v>16</v>
      </c>
      <c r="D183" s="135" t="s">
        <v>17</v>
      </c>
      <c r="E183" s="135" t="s">
        <v>1338</v>
      </c>
      <c r="F183" s="135" t="s">
        <v>17</v>
      </c>
      <c r="G183" s="136">
        <v>12</v>
      </c>
      <c r="H183" s="135" t="s">
        <v>1338</v>
      </c>
      <c r="I183" s="81" t="s">
        <v>1409</v>
      </c>
      <c r="K183" s="81" t="s">
        <v>1408</v>
      </c>
    </row>
    <row r="184" spans="1:11" ht="27.75">
      <c r="A184" s="135" t="s">
        <v>183</v>
      </c>
      <c r="B184" s="135" t="s">
        <v>1476</v>
      </c>
      <c r="C184" s="135" t="s">
        <v>16</v>
      </c>
      <c r="D184" s="135" t="s">
        <v>17</v>
      </c>
      <c r="E184" s="135" t="s">
        <v>1338</v>
      </c>
      <c r="F184" s="135" t="s">
        <v>17</v>
      </c>
      <c r="G184" s="136">
        <v>12</v>
      </c>
      <c r="H184" s="135" t="s">
        <v>1338</v>
      </c>
      <c r="I184" s="81" t="s">
        <v>1409</v>
      </c>
      <c r="K184" s="81" t="s">
        <v>1408</v>
      </c>
    </row>
    <row r="185" spans="1:11" ht="27.75">
      <c r="A185" s="135" t="s">
        <v>184</v>
      </c>
      <c r="B185" s="135" t="s">
        <v>1477</v>
      </c>
      <c r="C185" s="135" t="s">
        <v>16</v>
      </c>
      <c r="D185" s="135" t="s">
        <v>17</v>
      </c>
      <c r="E185" s="135" t="s">
        <v>1338</v>
      </c>
      <c r="F185" s="135" t="s">
        <v>17</v>
      </c>
      <c r="G185" s="136">
        <v>12</v>
      </c>
      <c r="H185" s="135" t="s">
        <v>1338</v>
      </c>
      <c r="I185" s="81" t="s">
        <v>1409</v>
      </c>
      <c r="K185" s="81" t="s">
        <v>1408</v>
      </c>
    </row>
    <row r="186" spans="1:11" ht="27.75">
      <c r="A186" s="135" t="s">
        <v>905</v>
      </c>
      <c r="B186" s="135" t="s">
        <v>906</v>
      </c>
      <c r="C186" s="135" t="s">
        <v>16</v>
      </c>
      <c r="D186" s="135" t="s">
        <v>17</v>
      </c>
      <c r="E186" s="135" t="s">
        <v>1338</v>
      </c>
      <c r="F186" s="135" t="s">
        <v>17</v>
      </c>
      <c r="G186" s="136">
        <v>12</v>
      </c>
      <c r="H186" s="135" t="s">
        <v>1338</v>
      </c>
      <c r="I186" s="81" t="s">
        <v>1409</v>
      </c>
      <c r="K186" s="81" t="s">
        <v>1411</v>
      </c>
    </row>
    <row r="187" spans="1:11" ht="27.75">
      <c r="A187" s="135" t="s">
        <v>907</v>
      </c>
      <c r="B187" s="135" t="s">
        <v>908</v>
      </c>
      <c r="C187" s="135" t="s">
        <v>16</v>
      </c>
      <c r="D187" s="135" t="s">
        <v>17</v>
      </c>
      <c r="E187" s="135" t="s">
        <v>1338</v>
      </c>
      <c r="F187" s="135" t="s">
        <v>17</v>
      </c>
      <c r="G187" s="136">
        <v>12</v>
      </c>
      <c r="H187" s="135" t="s">
        <v>1338</v>
      </c>
      <c r="I187" s="81" t="s">
        <v>1409</v>
      </c>
      <c r="K187" s="81" t="s">
        <v>1411</v>
      </c>
    </row>
    <row r="188" spans="1:11" ht="27.75">
      <c r="A188" s="135" t="s">
        <v>909</v>
      </c>
      <c r="B188" s="135" t="s">
        <v>910</v>
      </c>
      <c r="C188" s="135" t="s">
        <v>16</v>
      </c>
      <c r="D188" s="135" t="s">
        <v>17</v>
      </c>
      <c r="E188" s="135" t="s">
        <v>1338</v>
      </c>
      <c r="F188" s="135" t="s">
        <v>17</v>
      </c>
      <c r="G188" s="136">
        <v>12</v>
      </c>
      <c r="H188" s="135" t="s">
        <v>1338</v>
      </c>
      <c r="I188" s="81" t="s">
        <v>1409</v>
      </c>
      <c r="K188" s="81" t="s">
        <v>1411</v>
      </c>
    </row>
    <row r="189" spans="1:11" ht="27.75">
      <c r="A189" s="135" t="s">
        <v>185</v>
      </c>
      <c r="B189" s="135" t="s">
        <v>1478</v>
      </c>
      <c r="C189" s="135" t="s">
        <v>16</v>
      </c>
      <c r="D189" s="135" t="s">
        <v>17</v>
      </c>
      <c r="E189" s="135" t="s">
        <v>1338</v>
      </c>
      <c r="F189" s="135" t="s">
        <v>17</v>
      </c>
      <c r="G189" s="136">
        <v>12</v>
      </c>
      <c r="H189" s="135" t="s">
        <v>1338</v>
      </c>
      <c r="I189" s="81" t="s">
        <v>1409</v>
      </c>
      <c r="K189" s="81" t="s">
        <v>1408</v>
      </c>
    </row>
    <row r="190" spans="1:11" ht="27.75">
      <c r="A190" s="135" t="s">
        <v>911</v>
      </c>
      <c r="B190" s="135" t="s">
        <v>912</v>
      </c>
      <c r="C190" s="135" t="s">
        <v>16</v>
      </c>
      <c r="D190" s="135" t="s">
        <v>17</v>
      </c>
      <c r="E190" s="135" t="s">
        <v>1338</v>
      </c>
      <c r="F190" s="135" t="s">
        <v>17</v>
      </c>
      <c r="G190" s="136">
        <v>12</v>
      </c>
      <c r="H190" s="135" t="s">
        <v>1338</v>
      </c>
      <c r="I190" s="81" t="s">
        <v>1409</v>
      </c>
      <c r="K190" s="81" t="s">
        <v>1411</v>
      </c>
    </row>
    <row r="191" spans="1:11" ht="27.75">
      <c r="A191" s="135" t="s">
        <v>186</v>
      </c>
      <c r="B191" s="135" t="s">
        <v>1479</v>
      </c>
      <c r="C191" s="135" t="s">
        <v>16</v>
      </c>
      <c r="D191" s="135" t="s">
        <v>17</v>
      </c>
      <c r="E191" s="135" t="s">
        <v>1338</v>
      </c>
      <c r="F191" s="135" t="s">
        <v>17</v>
      </c>
      <c r="G191" s="136">
        <v>12</v>
      </c>
      <c r="H191" s="135" t="s">
        <v>1338</v>
      </c>
      <c r="I191" s="81" t="s">
        <v>1409</v>
      </c>
      <c r="K191" s="81" t="s">
        <v>1408</v>
      </c>
    </row>
    <row r="192" spans="1:11" ht="27.75">
      <c r="A192" s="135" t="s">
        <v>1072</v>
      </c>
      <c r="B192" s="135" t="s">
        <v>1073</v>
      </c>
      <c r="C192" s="135" t="s">
        <v>16</v>
      </c>
      <c r="D192" s="135" t="s">
        <v>17</v>
      </c>
      <c r="E192" s="135" t="s">
        <v>1338</v>
      </c>
      <c r="F192" s="135" t="s">
        <v>17</v>
      </c>
      <c r="G192" s="136">
        <v>12</v>
      </c>
      <c r="H192" s="135" t="s">
        <v>1338</v>
      </c>
      <c r="I192" s="81" t="s">
        <v>1407</v>
      </c>
      <c r="J192" s="81">
        <v>42643</v>
      </c>
      <c r="K192" s="81" t="s">
        <v>1408</v>
      </c>
    </row>
    <row r="193" spans="1:11" ht="27.75">
      <c r="A193" s="135" t="s">
        <v>1074</v>
      </c>
      <c r="B193" s="135" t="s">
        <v>1075</v>
      </c>
      <c r="C193" s="135" t="s">
        <v>16</v>
      </c>
      <c r="D193" s="135" t="s">
        <v>17</v>
      </c>
      <c r="E193" s="135" t="s">
        <v>1338</v>
      </c>
      <c r="F193" s="135" t="s">
        <v>17</v>
      </c>
      <c r="G193" s="136">
        <v>12</v>
      </c>
      <c r="H193" s="135" t="s">
        <v>1338</v>
      </c>
      <c r="I193" s="81" t="s">
        <v>1407</v>
      </c>
      <c r="J193" s="81">
        <v>42643</v>
      </c>
      <c r="K193" s="81" t="s">
        <v>1408</v>
      </c>
    </row>
    <row r="194" spans="1:11" ht="27.75">
      <c r="A194" s="135" t="s">
        <v>1076</v>
      </c>
      <c r="B194" s="135" t="s">
        <v>1077</v>
      </c>
      <c r="C194" s="135" t="s">
        <v>16</v>
      </c>
      <c r="D194" s="135" t="s">
        <v>17</v>
      </c>
      <c r="E194" s="135" t="s">
        <v>1338</v>
      </c>
      <c r="F194" s="135" t="s">
        <v>17</v>
      </c>
      <c r="G194" s="136">
        <v>12</v>
      </c>
      <c r="H194" s="135" t="s">
        <v>1338</v>
      </c>
      <c r="I194" s="81" t="s">
        <v>1407</v>
      </c>
      <c r="J194" s="81">
        <v>42643</v>
      </c>
      <c r="K194" s="81" t="s">
        <v>1408</v>
      </c>
    </row>
    <row r="195" spans="1:11" ht="27.75">
      <c r="A195" s="135" t="s">
        <v>1078</v>
      </c>
      <c r="B195" s="135" t="s">
        <v>1079</v>
      </c>
      <c r="C195" s="135" t="s">
        <v>16</v>
      </c>
      <c r="D195" s="135" t="s">
        <v>17</v>
      </c>
      <c r="E195" s="135" t="s">
        <v>1338</v>
      </c>
      <c r="F195" s="135" t="s">
        <v>17</v>
      </c>
      <c r="G195" s="136">
        <v>12</v>
      </c>
      <c r="H195" s="135" t="s">
        <v>1338</v>
      </c>
      <c r="I195" s="81" t="s">
        <v>1407</v>
      </c>
      <c r="J195" s="81">
        <v>42643</v>
      </c>
      <c r="K195" s="81" t="s">
        <v>1408</v>
      </c>
    </row>
    <row r="196" spans="1:11" ht="27.75">
      <c r="A196" s="135" t="s">
        <v>1080</v>
      </c>
      <c r="B196" s="135" t="s">
        <v>1081</v>
      </c>
      <c r="C196" s="135" t="s">
        <v>16</v>
      </c>
      <c r="D196" s="135" t="s">
        <v>17</v>
      </c>
      <c r="E196" s="135" t="s">
        <v>1338</v>
      </c>
      <c r="F196" s="135" t="s">
        <v>17</v>
      </c>
      <c r="G196" s="136">
        <v>12</v>
      </c>
      <c r="H196" s="135" t="s">
        <v>1338</v>
      </c>
      <c r="I196" s="81" t="s">
        <v>1407</v>
      </c>
      <c r="J196" s="81">
        <v>42643</v>
      </c>
      <c r="K196" s="81" t="s">
        <v>1408</v>
      </c>
    </row>
    <row r="197" spans="1:11" ht="27.75">
      <c r="A197" s="135" t="s">
        <v>187</v>
      </c>
      <c r="B197" s="135" t="s">
        <v>188</v>
      </c>
      <c r="C197" s="135" t="s">
        <v>16</v>
      </c>
      <c r="D197" s="135" t="s">
        <v>17</v>
      </c>
      <c r="E197" s="135" t="s">
        <v>1338</v>
      </c>
      <c r="F197" s="135" t="s">
        <v>17</v>
      </c>
      <c r="G197" s="136">
        <v>12</v>
      </c>
      <c r="H197" s="135" t="s">
        <v>1338</v>
      </c>
      <c r="I197" s="81" t="s">
        <v>1409</v>
      </c>
      <c r="K197" s="81" t="s">
        <v>1408</v>
      </c>
    </row>
    <row r="198" spans="1:11" ht="27.75">
      <c r="A198" s="135" t="s">
        <v>189</v>
      </c>
      <c r="B198" s="135" t="s">
        <v>190</v>
      </c>
      <c r="C198" s="135" t="s">
        <v>16</v>
      </c>
      <c r="D198" s="135" t="s">
        <v>17</v>
      </c>
      <c r="E198" s="135" t="s">
        <v>1338</v>
      </c>
      <c r="F198" s="135" t="s">
        <v>17</v>
      </c>
      <c r="G198" s="136">
        <v>12</v>
      </c>
      <c r="H198" s="135" t="s">
        <v>1338</v>
      </c>
      <c r="I198" s="81" t="s">
        <v>1409</v>
      </c>
      <c r="K198" s="81" t="s">
        <v>1408</v>
      </c>
    </row>
    <row r="199" spans="1:11" ht="27.75">
      <c r="A199" s="135" t="s">
        <v>139</v>
      </c>
      <c r="B199" s="135" t="s">
        <v>140</v>
      </c>
      <c r="C199" s="135" t="s">
        <v>12</v>
      </c>
      <c r="D199" s="135" t="s">
        <v>13</v>
      </c>
      <c r="E199" s="135" t="s">
        <v>1331</v>
      </c>
      <c r="F199" s="135" t="s">
        <v>1332</v>
      </c>
      <c r="G199" s="136">
        <v>10</v>
      </c>
      <c r="H199" s="135" t="s">
        <v>1331</v>
      </c>
      <c r="I199" s="81" t="s">
        <v>1409</v>
      </c>
      <c r="K199" s="81" t="s">
        <v>1408</v>
      </c>
    </row>
    <row r="200" spans="1:11" ht="27.75">
      <c r="A200" s="135" t="s">
        <v>141</v>
      </c>
      <c r="B200" s="135" t="s">
        <v>142</v>
      </c>
      <c r="C200" s="135" t="s">
        <v>12</v>
      </c>
      <c r="D200" s="135" t="s">
        <v>13</v>
      </c>
      <c r="E200" s="135" t="s">
        <v>1331</v>
      </c>
      <c r="F200" s="135" t="s">
        <v>1332</v>
      </c>
      <c r="G200" s="136">
        <v>10</v>
      </c>
      <c r="H200" s="135" t="s">
        <v>1331</v>
      </c>
      <c r="I200" s="81" t="s">
        <v>1409</v>
      </c>
      <c r="K200" s="81" t="s">
        <v>1408</v>
      </c>
    </row>
    <row r="201" spans="1:11" ht="27.75">
      <c r="A201" s="135" t="s">
        <v>1082</v>
      </c>
      <c r="B201" s="135" t="s">
        <v>1083</v>
      </c>
      <c r="C201" s="135" t="s">
        <v>16</v>
      </c>
      <c r="D201" s="135" t="s">
        <v>17</v>
      </c>
      <c r="E201" s="135" t="s">
        <v>1338</v>
      </c>
      <c r="F201" s="135" t="s">
        <v>17</v>
      </c>
      <c r="G201" s="136">
        <v>12</v>
      </c>
      <c r="H201" s="135" t="s">
        <v>1338</v>
      </c>
      <c r="I201" s="81" t="s">
        <v>1407</v>
      </c>
      <c r="J201" s="81">
        <v>42643</v>
      </c>
      <c r="K201" s="81" t="s">
        <v>1408</v>
      </c>
    </row>
    <row r="202" spans="1:11" ht="27.75">
      <c r="A202" s="135" t="s">
        <v>191</v>
      </c>
      <c r="B202" s="135" t="s">
        <v>192</v>
      </c>
      <c r="C202" s="135" t="s">
        <v>16</v>
      </c>
      <c r="D202" s="135" t="s">
        <v>17</v>
      </c>
      <c r="E202" s="135" t="s">
        <v>1338</v>
      </c>
      <c r="F202" s="135" t="s">
        <v>17</v>
      </c>
      <c r="G202" s="136">
        <v>12</v>
      </c>
      <c r="H202" s="135" t="s">
        <v>1338</v>
      </c>
      <c r="I202" s="81" t="s">
        <v>1409</v>
      </c>
      <c r="K202" s="81" t="s">
        <v>1408</v>
      </c>
    </row>
    <row r="203" spans="1:11" ht="27.75">
      <c r="A203" s="135" t="s">
        <v>1084</v>
      </c>
      <c r="B203" s="135" t="s">
        <v>1085</v>
      </c>
      <c r="C203" s="135" t="s">
        <v>16</v>
      </c>
      <c r="D203" s="135" t="s">
        <v>17</v>
      </c>
      <c r="E203" s="135" t="s">
        <v>1338</v>
      </c>
      <c r="F203" s="135" t="s">
        <v>17</v>
      </c>
      <c r="G203" s="136">
        <v>12</v>
      </c>
      <c r="H203" s="135" t="s">
        <v>1338</v>
      </c>
      <c r="I203" s="81" t="s">
        <v>1407</v>
      </c>
      <c r="J203" s="81">
        <v>42643</v>
      </c>
      <c r="K203" s="81" t="s">
        <v>1408</v>
      </c>
    </row>
    <row r="204" spans="1:11" ht="27.75">
      <c r="A204" s="135" t="s">
        <v>193</v>
      </c>
      <c r="B204" s="135" t="s">
        <v>194</v>
      </c>
      <c r="C204" s="135" t="s">
        <v>16</v>
      </c>
      <c r="D204" s="135" t="s">
        <v>17</v>
      </c>
      <c r="E204" s="135" t="s">
        <v>1338</v>
      </c>
      <c r="F204" s="135" t="s">
        <v>17</v>
      </c>
      <c r="G204" s="136">
        <v>12</v>
      </c>
      <c r="H204" s="135" t="s">
        <v>1338</v>
      </c>
      <c r="I204" s="81" t="s">
        <v>1409</v>
      </c>
      <c r="K204" s="81" t="s">
        <v>1408</v>
      </c>
    </row>
    <row r="205" spans="1:11" ht="27.75">
      <c r="A205" s="135" t="s">
        <v>195</v>
      </c>
      <c r="B205" s="135" t="s">
        <v>196</v>
      </c>
      <c r="C205" s="135" t="s">
        <v>16</v>
      </c>
      <c r="D205" s="135" t="s">
        <v>17</v>
      </c>
      <c r="E205" s="135" t="s">
        <v>1338</v>
      </c>
      <c r="F205" s="135" t="s">
        <v>17</v>
      </c>
      <c r="G205" s="136">
        <v>12</v>
      </c>
      <c r="H205" s="135" t="s">
        <v>1338</v>
      </c>
      <c r="I205" s="81" t="s">
        <v>1409</v>
      </c>
      <c r="K205" s="81" t="s">
        <v>1408</v>
      </c>
    </row>
    <row r="206" spans="1:11" ht="27.75">
      <c r="A206" s="135" t="s">
        <v>197</v>
      </c>
      <c r="B206" s="135" t="s">
        <v>198</v>
      </c>
      <c r="C206" s="135" t="s">
        <v>16</v>
      </c>
      <c r="D206" s="135" t="s">
        <v>17</v>
      </c>
      <c r="E206" s="135" t="s">
        <v>1338</v>
      </c>
      <c r="F206" s="135" t="s">
        <v>17</v>
      </c>
      <c r="G206" s="136">
        <v>12</v>
      </c>
      <c r="H206" s="135" t="s">
        <v>1338</v>
      </c>
      <c r="I206" s="81" t="s">
        <v>1409</v>
      </c>
      <c r="K206" s="81" t="s">
        <v>1408</v>
      </c>
    </row>
    <row r="207" spans="1:11" ht="27.75">
      <c r="A207" s="135" t="s">
        <v>1086</v>
      </c>
      <c r="B207" s="135" t="s">
        <v>1087</v>
      </c>
      <c r="C207" s="135" t="s">
        <v>16</v>
      </c>
      <c r="D207" s="135" t="s">
        <v>17</v>
      </c>
      <c r="E207" s="135" t="s">
        <v>1338</v>
      </c>
      <c r="F207" s="135" t="s">
        <v>17</v>
      </c>
      <c r="G207" s="136">
        <v>12</v>
      </c>
      <c r="H207" s="135" t="s">
        <v>1338</v>
      </c>
      <c r="I207" s="81" t="s">
        <v>1407</v>
      </c>
      <c r="J207" s="81">
        <v>42643</v>
      </c>
      <c r="K207" s="81" t="s">
        <v>1408</v>
      </c>
    </row>
    <row r="208" spans="1:11" ht="27.75">
      <c r="A208" s="135" t="s">
        <v>1088</v>
      </c>
      <c r="B208" s="135" t="s">
        <v>1089</v>
      </c>
      <c r="C208" s="135" t="s">
        <v>16</v>
      </c>
      <c r="D208" s="135" t="s">
        <v>17</v>
      </c>
      <c r="E208" s="135" t="s">
        <v>1338</v>
      </c>
      <c r="F208" s="135" t="s">
        <v>17</v>
      </c>
      <c r="G208" s="136">
        <v>12</v>
      </c>
      <c r="H208" s="135" t="s">
        <v>1338</v>
      </c>
      <c r="I208" s="81" t="s">
        <v>1407</v>
      </c>
      <c r="J208" s="81">
        <v>42643</v>
      </c>
      <c r="K208" s="81" t="s">
        <v>1408</v>
      </c>
    </row>
    <row r="209" spans="1:11" ht="27.75">
      <c r="A209" s="135" t="s">
        <v>199</v>
      </c>
      <c r="B209" s="135" t="s">
        <v>200</v>
      </c>
      <c r="C209" s="135" t="s">
        <v>16</v>
      </c>
      <c r="D209" s="135" t="s">
        <v>17</v>
      </c>
      <c r="E209" s="135" t="s">
        <v>1338</v>
      </c>
      <c r="F209" s="135" t="s">
        <v>17</v>
      </c>
      <c r="G209" s="136">
        <v>12</v>
      </c>
      <c r="H209" s="135" t="s">
        <v>1338</v>
      </c>
      <c r="I209" s="81" t="s">
        <v>1409</v>
      </c>
      <c r="K209" s="81" t="s">
        <v>1408</v>
      </c>
    </row>
    <row r="210" spans="1:11" ht="27.75">
      <c r="A210" s="135" t="s">
        <v>201</v>
      </c>
      <c r="B210" s="135" t="s">
        <v>1480</v>
      </c>
      <c r="C210" s="135" t="s">
        <v>16</v>
      </c>
      <c r="D210" s="135" t="s">
        <v>17</v>
      </c>
      <c r="E210" s="135" t="s">
        <v>1338</v>
      </c>
      <c r="F210" s="135" t="s">
        <v>17</v>
      </c>
      <c r="G210" s="136">
        <v>12</v>
      </c>
      <c r="H210" s="135" t="s">
        <v>1338</v>
      </c>
      <c r="I210" s="81" t="s">
        <v>1409</v>
      </c>
      <c r="K210" s="81" t="s">
        <v>1408</v>
      </c>
    </row>
    <row r="211" spans="1:11" ht="27.75">
      <c r="A211" s="135" t="s">
        <v>202</v>
      </c>
      <c r="B211" s="135" t="s">
        <v>1481</v>
      </c>
      <c r="C211" s="135" t="s">
        <v>16</v>
      </c>
      <c r="D211" s="135" t="s">
        <v>17</v>
      </c>
      <c r="E211" s="135" t="s">
        <v>1338</v>
      </c>
      <c r="F211" s="135" t="s">
        <v>17</v>
      </c>
      <c r="G211" s="136">
        <v>12</v>
      </c>
      <c r="H211" s="135" t="s">
        <v>1338</v>
      </c>
      <c r="I211" s="81" t="s">
        <v>1409</v>
      </c>
      <c r="K211" s="81" t="s">
        <v>1408</v>
      </c>
    </row>
    <row r="212" spans="1:11" ht="27.75">
      <c r="A212" s="135" t="s">
        <v>203</v>
      </c>
      <c r="B212" s="135" t="s">
        <v>204</v>
      </c>
      <c r="C212" s="135" t="s">
        <v>16</v>
      </c>
      <c r="D212" s="135" t="s">
        <v>17</v>
      </c>
      <c r="E212" s="135" t="s">
        <v>1338</v>
      </c>
      <c r="F212" s="135" t="s">
        <v>17</v>
      </c>
      <c r="G212" s="136">
        <v>12</v>
      </c>
      <c r="H212" s="135" t="s">
        <v>1338</v>
      </c>
      <c r="I212" s="81" t="s">
        <v>1409</v>
      </c>
      <c r="K212" s="81" t="s">
        <v>1408</v>
      </c>
    </row>
    <row r="213" spans="1:11" ht="27.75">
      <c r="A213" s="135" t="s">
        <v>205</v>
      </c>
      <c r="B213" s="135" t="s">
        <v>206</v>
      </c>
      <c r="C213" s="135" t="s">
        <v>16</v>
      </c>
      <c r="D213" s="135" t="s">
        <v>17</v>
      </c>
      <c r="E213" s="135" t="s">
        <v>1338</v>
      </c>
      <c r="F213" s="135" t="s">
        <v>17</v>
      </c>
      <c r="G213" s="136">
        <v>12</v>
      </c>
      <c r="H213" s="135" t="s">
        <v>1338</v>
      </c>
      <c r="I213" s="81" t="s">
        <v>1409</v>
      </c>
      <c r="K213" s="81" t="s">
        <v>1408</v>
      </c>
    </row>
    <row r="214" spans="1:11" ht="27.75">
      <c r="A214" s="135" t="s">
        <v>218</v>
      </c>
      <c r="B214" s="135" t="s">
        <v>219</v>
      </c>
      <c r="C214" s="135" t="s">
        <v>18</v>
      </c>
      <c r="D214" s="135" t="s">
        <v>690</v>
      </c>
      <c r="E214" s="135" t="s">
        <v>1340</v>
      </c>
      <c r="F214" s="135" t="s">
        <v>673</v>
      </c>
      <c r="G214" s="136">
        <v>33</v>
      </c>
      <c r="H214" s="135" t="s">
        <v>1340</v>
      </c>
      <c r="I214" s="81" t="s">
        <v>1409</v>
      </c>
      <c r="K214" s="81" t="s">
        <v>1408</v>
      </c>
    </row>
    <row r="215" spans="1:11" ht="27.75">
      <c r="A215" s="135" t="s">
        <v>207</v>
      </c>
      <c r="B215" s="135" t="s">
        <v>1482</v>
      </c>
      <c r="C215" s="135" t="s">
        <v>16</v>
      </c>
      <c r="D215" s="135" t="s">
        <v>17</v>
      </c>
      <c r="E215" s="135" t="s">
        <v>1338</v>
      </c>
      <c r="F215" s="135" t="s">
        <v>17</v>
      </c>
      <c r="G215" s="136">
        <v>12</v>
      </c>
      <c r="H215" s="135" t="s">
        <v>1338</v>
      </c>
      <c r="I215" s="81" t="s">
        <v>1409</v>
      </c>
      <c r="K215" s="81" t="s">
        <v>1408</v>
      </c>
    </row>
    <row r="216" spans="1:11" ht="27.75">
      <c r="A216" s="135" t="s">
        <v>208</v>
      </c>
      <c r="B216" s="135" t="s">
        <v>209</v>
      </c>
      <c r="C216" s="135" t="s">
        <v>16</v>
      </c>
      <c r="D216" s="135" t="s">
        <v>17</v>
      </c>
      <c r="E216" s="135" t="s">
        <v>1338</v>
      </c>
      <c r="F216" s="135" t="s">
        <v>17</v>
      </c>
      <c r="G216" s="136">
        <v>12</v>
      </c>
      <c r="H216" s="135" t="s">
        <v>1338</v>
      </c>
      <c r="I216" s="81" t="s">
        <v>1409</v>
      </c>
      <c r="K216" s="81" t="s">
        <v>1408</v>
      </c>
    </row>
    <row r="217" spans="1:11" ht="27.75">
      <c r="A217" s="135" t="s">
        <v>210</v>
      </c>
      <c r="B217" s="135" t="s">
        <v>1483</v>
      </c>
      <c r="C217" s="135" t="s">
        <v>16</v>
      </c>
      <c r="D217" s="135" t="s">
        <v>17</v>
      </c>
      <c r="E217" s="135" t="s">
        <v>1338</v>
      </c>
      <c r="F217" s="135" t="s">
        <v>17</v>
      </c>
      <c r="G217" s="136">
        <v>12</v>
      </c>
      <c r="H217" s="135" t="s">
        <v>1338</v>
      </c>
      <c r="I217" s="81" t="s">
        <v>1409</v>
      </c>
      <c r="K217" s="81" t="s">
        <v>1408</v>
      </c>
    </row>
    <row r="218" spans="1:11" ht="27.75">
      <c r="A218" s="135" t="s">
        <v>211</v>
      </c>
      <c r="B218" s="135" t="s">
        <v>212</v>
      </c>
      <c r="C218" s="135" t="s">
        <v>16</v>
      </c>
      <c r="D218" s="135" t="s">
        <v>17</v>
      </c>
      <c r="E218" s="135" t="s">
        <v>1338</v>
      </c>
      <c r="F218" s="135" t="s">
        <v>17</v>
      </c>
      <c r="G218" s="136">
        <v>12</v>
      </c>
      <c r="H218" s="135" t="s">
        <v>1338</v>
      </c>
      <c r="I218" s="81" t="s">
        <v>1409</v>
      </c>
      <c r="K218" s="81" t="s">
        <v>1408</v>
      </c>
    </row>
    <row r="219" spans="1:11" ht="27.75">
      <c r="A219" s="135" t="s">
        <v>1090</v>
      </c>
      <c r="B219" s="135" t="s">
        <v>1091</v>
      </c>
      <c r="C219" s="135" t="s">
        <v>0</v>
      </c>
      <c r="D219" s="135" t="s">
        <v>1</v>
      </c>
      <c r="E219" s="135" t="s">
        <v>1297</v>
      </c>
      <c r="F219" s="135" t="s">
        <v>1298</v>
      </c>
      <c r="G219" s="136">
        <v>4</v>
      </c>
      <c r="H219" s="135" t="s">
        <v>1297</v>
      </c>
      <c r="I219" s="81" t="s">
        <v>1407</v>
      </c>
      <c r="J219" s="81">
        <v>42643</v>
      </c>
      <c r="K219" s="81" t="s">
        <v>1408</v>
      </c>
    </row>
    <row r="220" spans="1:11" ht="27.75">
      <c r="A220" s="135" t="s">
        <v>213</v>
      </c>
      <c r="B220" s="135" t="s">
        <v>214</v>
      </c>
      <c r="C220" s="135" t="s">
        <v>16</v>
      </c>
      <c r="D220" s="135" t="s">
        <v>17</v>
      </c>
      <c r="E220" s="135" t="s">
        <v>1338</v>
      </c>
      <c r="F220" s="135" t="s">
        <v>17</v>
      </c>
      <c r="G220" s="136">
        <v>12</v>
      </c>
      <c r="H220" s="135" t="s">
        <v>1338</v>
      </c>
      <c r="I220" s="81" t="s">
        <v>1409</v>
      </c>
      <c r="K220" s="81" t="s">
        <v>1408</v>
      </c>
    </row>
    <row r="221" spans="1:11" ht="27.75">
      <c r="A221" s="135" t="s">
        <v>1092</v>
      </c>
      <c r="B221" s="135" t="s">
        <v>107</v>
      </c>
      <c r="C221" s="135" t="s">
        <v>8</v>
      </c>
      <c r="D221" s="135" t="s">
        <v>9</v>
      </c>
      <c r="E221" s="135" t="s">
        <v>1322</v>
      </c>
      <c r="F221" s="135" t="s">
        <v>1323</v>
      </c>
      <c r="G221" s="136">
        <v>8</v>
      </c>
      <c r="H221" s="135" t="s">
        <v>1322</v>
      </c>
      <c r="I221" s="81" t="s">
        <v>1407</v>
      </c>
      <c r="J221" s="81">
        <v>42643</v>
      </c>
      <c r="K221" s="81" t="s">
        <v>1408</v>
      </c>
    </row>
    <row r="222" spans="1:11" ht="27.75">
      <c r="A222" s="135" t="s">
        <v>1093</v>
      </c>
      <c r="B222" s="135" t="s">
        <v>108</v>
      </c>
      <c r="C222" s="135" t="s">
        <v>8</v>
      </c>
      <c r="D222" s="135" t="s">
        <v>9</v>
      </c>
      <c r="E222" s="135" t="s">
        <v>1322</v>
      </c>
      <c r="F222" s="135" t="s">
        <v>1323</v>
      </c>
      <c r="G222" s="136">
        <v>8</v>
      </c>
      <c r="H222" s="135" t="s">
        <v>1322</v>
      </c>
      <c r="I222" s="81" t="s">
        <v>1407</v>
      </c>
      <c r="J222" s="81">
        <v>42643</v>
      </c>
      <c r="K222" s="81" t="s">
        <v>1408</v>
      </c>
    </row>
    <row r="223" spans="1:11" ht="27.75">
      <c r="A223" s="135" t="s">
        <v>1094</v>
      </c>
      <c r="B223" s="135" t="s">
        <v>116</v>
      </c>
      <c r="C223" s="135" t="s">
        <v>10</v>
      </c>
      <c r="D223" s="135" t="s">
        <v>11</v>
      </c>
      <c r="E223" s="135" t="s">
        <v>1329</v>
      </c>
      <c r="F223" s="135" t="s">
        <v>1330</v>
      </c>
      <c r="G223" s="136">
        <v>9</v>
      </c>
      <c r="H223" s="135" t="s">
        <v>1329</v>
      </c>
      <c r="I223" s="81" t="s">
        <v>1407</v>
      </c>
      <c r="J223" s="81">
        <v>42643</v>
      </c>
      <c r="K223" s="81" t="s">
        <v>1408</v>
      </c>
    </row>
    <row r="224" spans="1:11" ht="27.75">
      <c r="A224" s="135" t="s">
        <v>229</v>
      </c>
      <c r="B224" s="135" t="s">
        <v>230</v>
      </c>
      <c r="C224" s="135" t="s">
        <v>25</v>
      </c>
      <c r="D224" s="135" t="s">
        <v>26</v>
      </c>
      <c r="E224" s="135" t="s">
        <v>1352</v>
      </c>
      <c r="F224" s="135" t="s">
        <v>1353</v>
      </c>
      <c r="G224" s="136">
        <v>17</v>
      </c>
      <c r="H224" s="135" t="s">
        <v>1352</v>
      </c>
      <c r="I224" s="81" t="s">
        <v>1409</v>
      </c>
      <c r="K224" s="81" t="s">
        <v>1408</v>
      </c>
    </row>
    <row r="225" spans="1:11" ht="27.75">
      <c r="A225" s="135" t="s">
        <v>231</v>
      </c>
      <c r="B225" s="135" t="s">
        <v>232</v>
      </c>
      <c r="C225" s="135" t="s">
        <v>25</v>
      </c>
      <c r="D225" s="135" t="s">
        <v>26</v>
      </c>
      <c r="E225" s="135" t="s">
        <v>1352</v>
      </c>
      <c r="F225" s="135" t="s">
        <v>1353</v>
      </c>
      <c r="G225" s="136">
        <v>17</v>
      </c>
      <c r="H225" s="135" t="s">
        <v>1352</v>
      </c>
      <c r="I225" s="81" t="s">
        <v>1409</v>
      </c>
      <c r="K225" s="81" t="s">
        <v>1408</v>
      </c>
    </row>
    <row r="226" spans="1:11" ht="27.75">
      <c r="A226" s="135" t="s">
        <v>1095</v>
      </c>
      <c r="B226" s="135" t="s">
        <v>1096</v>
      </c>
      <c r="C226" s="135" t="s">
        <v>25</v>
      </c>
      <c r="D226" s="135" t="s">
        <v>26</v>
      </c>
      <c r="E226" s="135" t="s">
        <v>1352</v>
      </c>
      <c r="F226" s="135" t="s">
        <v>1353</v>
      </c>
      <c r="G226" s="136">
        <v>17</v>
      </c>
      <c r="H226" s="135" t="s">
        <v>1352</v>
      </c>
      <c r="I226" s="81" t="s">
        <v>1407</v>
      </c>
      <c r="J226" s="81">
        <v>42643</v>
      </c>
      <c r="K226" s="81" t="s">
        <v>1408</v>
      </c>
    </row>
    <row r="227" spans="1:11" ht="27.75">
      <c r="A227" s="135" t="s">
        <v>1097</v>
      </c>
      <c r="B227" s="135" t="s">
        <v>1098</v>
      </c>
      <c r="C227" s="135" t="s">
        <v>25</v>
      </c>
      <c r="D227" s="135" t="s">
        <v>26</v>
      </c>
      <c r="E227" s="135" t="s">
        <v>1352</v>
      </c>
      <c r="F227" s="135" t="s">
        <v>1353</v>
      </c>
      <c r="G227" s="136">
        <v>17</v>
      </c>
      <c r="H227" s="135" t="s">
        <v>1352</v>
      </c>
      <c r="I227" s="81" t="s">
        <v>1407</v>
      </c>
      <c r="J227" s="81">
        <v>42643</v>
      </c>
      <c r="K227" s="81" t="s">
        <v>1408</v>
      </c>
    </row>
    <row r="228" spans="1:11" ht="27.75">
      <c r="A228" s="135" t="s">
        <v>233</v>
      </c>
      <c r="B228" s="135" t="s">
        <v>234</v>
      </c>
      <c r="C228" s="135" t="s">
        <v>25</v>
      </c>
      <c r="D228" s="135" t="s">
        <v>26</v>
      </c>
      <c r="E228" s="135" t="s">
        <v>1352</v>
      </c>
      <c r="F228" s="135" t="s">
        <v>1353</v>
      </c>
      <c r="G228" s="136">
        <v>17</v>
      </c>
      <c r="H228" s="135" t="s">
        <v>1352</v>
      </c>
      <c r="I228" s="81" t="s">
        <v>1409</v>
      </c>
      <c r="K228" s="81" t="s">
        <v>1408</v>
      </c>
    </row>
    <row r="229" spans="1:11" ht="27.75">
      <c r="A229" s="135" t="s">
        <v>235</v>
      </c>
      <c r="B229" s="135" t="s">
        <v>236</v>
      </c>
      <c r="C229" s="135" t="s">
        <v>25</v>
      </c>
      <c r="D229" s="135" t="s">
        <v>26</v>
      </c>
      <c r="E229" s="135" t="s">
        <v>1352</v>
      </c>
      <c r="F229" s="135" t="s">
        <v>1353</v>
      </c>
      <c r="G229" s="136">
        <v>17</v>
      </c>
      <c r="H229" s="135" t="s">
        <v>1352</v>
      </c>
      <c r="I229" s="81" t="s">
        <v>1409</v>
      </c>
      <c r="K229" s="81" t="s">
        <v>1408</v>
      </c>
    </row>
    <row r="230" spans="1:11" ht="27.75">
      <c r="A230" s="135" t="s">
        <v>237</v>
      </c>
      <c r="B230" s="135" t="s">
        <v>238</v>
      </c>
      <c r="C230" s="135" t="s">
        <v>25</v>
      </c>
      <c r="D230" s="135" t="s">
        <v>26</v>
      </c>
      <c r="E230" s="135" t="s">
        <v>1352</v>
      </c>
      <c r="F230" s="135" t="s">
        <v>1353</v>
      </c>
      <c r="G230" s="136">
        <v>17</v>
      </c>
      <c r="H230" s="135" t="s">
        <v>1352</v>
      </c>
      <c r="I230" s="81" t="s">
        <v>1409</v>
      </c>
      <c r="K230" s="81" t="s">
        <v>1408</v>
      </c>
    </row>
    <row r="231" spans="1:11" ht="27.75">
      <c r="A231" s="135" t="s">
        <v>1099</v>
      </c>
      <c r="B231" s="135" t="s">
        <v>1100</v>
      </c>
      <c r="C231" s="135" t="s">
        <v>25</v>
      </c>
      <c r="D231" s="135" t="s">
        <v>26</v>
      </c>
      <c r="E231" s="135" t="s">
        <v>1352</v>
      </c>
      <c r="F231" s="135" t="s">
        <v>1353</v>
      </c>
      <c r="G231" s="136">
        <v>17</v>
      </c>
      <c r="H231" s="135" t="s">
        <v>1352</v>
      </c>
      <c r="I231" s="81" t="s">
        <v>1407</v>
      </c>
      <c r="J231" s="81">
        <v>42643</v>
      </c>
      <c r="K231" s="81" t="s">
        <v>1408</v>
      </c>
    </row>
    <row r="232" spans="1:11" ht="27.75">
      <c r="A232" s="135" t="s">
        <v>1101</v>
      </c>
      <c r="B232" s="135" t="s">
        <v>1102</v>
      </c>
      <c r="C232" s="135" t="s">
        <v>25</v>
      </c>
      <c r="D232" s="135" t="s">
        <v>26</v>
      </c>
      <c r="E232" s="135" t="s">
        <v>1352</v>
      </c>
      <c r="F232" s="135" t="s">
        <v>1353</v>
      </c>
      <c r="G232" s="136">
        <v>17</v>
      </c>
      <c r="H232" s="135" t="s">
        <v>1352</v>
      </c>
      <c r="I232" s="81" t="s">
        <v>1407</v>
      </c>
      <c r="J232" s="81">
        <v>42643</v>
      </c>
      <c r="K232" s="81" t="s">
        <v>1408</v>
      </c>
    </row>
    <row r="233" spans="1:11" ht="27.75">
      <c r="A233" s="135" t="s">
        <v>1103</v>
      </c>
      <c r="B233" s="135" t="s">
        <v>1104</v>
      </c>
      <c r="C233" s="135" t="s">
        <v>25</v>
      </c>
      <c r="D233" s="135" t="s">
        <v>26</v>
      </c>
      <c r="E233" s="135" t="s">
        <v>1352</v>
      </c>
      <c r="F233" s="135" t="s">
        <v>1353</v>
      </c>
      <c r="G233" s="136">
        <v>17</v>
      </c>
      <c r="H233" s="135" t="s">
        <v>1352</v>
      </c>
      <c r="I233" s="81" t="s">
        <v>1407</v>
      </c>
      <c r="J233" s="81">
        <v>42643</v>
      </c>
      <c r="K233" s="81" t="s">
        <v>1408</v>
      </c>
    </row>
    <row r="234" spans="1:11" ht="27.75">
      <c r="A234" s="135" t="s">
        <v>239</v>
      </c>
      <c r="B234" s="135" t="s">
        <v>240</v>
      </c>
      <c r="C234" s="135" t="s">
        <v>29</v>
      </c>
      <c r="D234" s="135" t="s">
        <v>30</v>
      </c>
      <c r="E234" s="135" t="s">
        <v>1354</v>
      </c>
      <c r="F234" s="135" t="s">
        <v>1355</v>
      </c>
      <c r="G234" s="136">
        <v>19</v>
      </c>
      <c r="H234" s="135" t="s">
        <v>1354</v>
      </c>
      <c r="I234" s="81" t="s">
        <v>1409</v>
      </c>
      <c r="K234" s="81" t="s">
        <v>1408</v>
      </c>
    </row>
    <row r="235" spans="1:11" ht="27.75">
      <c r="A235" s="135" t="s">
        <v>241</v>
      </c>
      <c r="B235" s="135" t="s">
        <v>242</v>
      </c>
      <c r="C235" s="135" t="s">
        <v>25</v>
      </c>
      <c r="D235" s="135" t="s">
        <v>26</v>
      </c>
      <c r="E235" s="135" t="s">
        <v>1352</v>
      </c>
      <c r="F235" s="135" t="s">
        <v>1353</v>
      </c>
      <c r="G235" s="136">
        <v>17</v>
      </c>
      <c r="H235" s="135" t="s">
        <v>1352</v>
      </c>
      <c r="I235" s="81" t="s">
        <v>1409</v>
      </c>
      <c r="K235" s="81" t="s">
        <v>1408</v>
      </c>
    </row>
    <row r="236" spans="1:11" ht="27.75">
      <c r="A236" s="135" t="s">
        <v>243</v>
      </c>
      <c r="B236" s="135" t="s">
        <v>244</v>
      </c>
      <c r="C236" s="135" t="s">
        <v>25</v>
      </c>
      <c r="D236" s="135" t="s">
        <v>26</v>
      </c>
      <c r="E236" s="135" t="s">
        <v>1352</v>
      </c>
      <c r="F236" s="135" t="s">
        <v>1353</v>
      </c>
      <c r="G236" s="136">
        <v>17</v>
      </c>
      <c r="H236" s="135" t="s">
        <v>1352</v>
      </c>
      <c r="I236" s="81" t="s">
        <v>1409</v>
      </c>
      <c r="K236" s="81" t="s">
        <v>1408</v>
      </c>
    </row>
    <row r="237" spans="1:11" ht="27.75">
      <c r="A237" s="135" t="s">
        <v>245</v>
      </c>
      <c r="B237" s="135" t="s">
        <v>246</v>
      </c>
      <c r="C237" s="135" t="s">
        <v>25</v>
      </c>
      <c r="D237" s="135" t="s">
        <v>26</v>
      </c>
      <c r="E237" s="135" t="s">
        <v>1352</v>
      </c>
      <c r="F237" s="135" t="s">
        <v>1353</v>
      </c>
      <c r="G237" s="136">
        <v>17</v>
      </c>
      <c r="H237" s="135" t="s">
        <v>1352</v>
      </c>
      <c r="I237" s="81" t="s">
        <v>1409</v>
      </c>
      <c r="K237" s="81" t="s">
        <v>1408</v>
      </c>
    </row>
    <row r="238" spans="1:11" ht="27.75">
      <c r="A238" s="135" t="s">
        <v>247</v>
      </c>
      <c r="B238" s="135" t="s">
        <v>248</v>
      </c>
      <c r="C238" s="135" t="s">
        <v>25</v>
      </c>
      <c r="D238" s="135" t="s">
        <v>26</v>
      </c>
      <c r="E238" s="135" t="s">
        <v>1352</v>
      </c>
      <c r="F238" s="135" t="s">
        <v>1353</v>
      </c>
      <c r="G238" s="136">
        <v>17</v>
      </c>
      <c r="H238" s="135" t="s">
        <v>1352</v>
      </c>
      <c r="I238" s="81" t="s">
        <v>1409</v>
      </c>
      <c r="K238" s="81" t="s">
        <v>1408</v>
      </c>
    </row>
    <row r="239" spans="1:11" ht="27.75">
      <c r="A239" s="135" t="s">
        <v>249</v>
      </c>
      <c r="B239" s="135" t="s">
        <v>250</v>
      </c>
      <c r="C239" s="135" t="s">
        <v>25</v>
      </c>
      <c r="D239" s="135" t="s">
        <v>26</v>
      </c>
      <c r="E239" s="135" t="s">
        <v>1352</v>
      </c>
      <c r="F239" s="135" t="s">
        <v>1353</v>
      </c>
      <c r="G239" s="136">
        <v>17</v>
      </c>
      <c r="H239" s="135" t="s">
        <v>1352</v>
      </c>
      <c r="I239" s="81" t="s">
        <v>1409</v>
      </c>
      <c r="K239" s="81" t="s">
        <v>1408</v>
      </c>
    </row>
    <row r="240" spans="1:11" ht="27.75">
      <c r="A240" s="135" t="s">
        <v>251</v>
      </c>
      <c r="B240" s="135" t="s">
        <v>252</v>
      </c>
      <c r="C240" s="135" t="s">
        <v>25</v>
      </c>
      <c r="D240" s="135" t="s">
        <v>26</v>
      </c>
      <c r="E240" s="135" t="s">
        <v>1352</v>
      </c>
      <c r="F240" s="135" t="s">
        <v>1353</v>
      </c>
      <c r="G240" s="136">
        <v>17</v>
      </c>
      <c r="H240" s="135" t="s">
        <v>1352</v>
      </c>
      <c r="I240" s="81" t="s">
        <v>1409</v>
      </c>
      <c r="K240" s="81" t="s">
        <v>1408</v>
      </c>
    </row>
    <row r="241" spans="1:11" ht="27.75">
      <c r="A241" s="135" t="s">
        <v>261</v>
      </c>
      <c r="B241" s="135" t="s">
        <v>262</v>
      </c>
      <c r="C241" s="135" t="s">
        <v>27</v>
      </c>
      <c r="D241" s="135" t="s">
        <v>28</v>
      </c>
      <c r="E241" s="135" t="s">
        <v>1356</v>
      </c>
      <c r="F241" s="135" t="s">
        <v>1357</v>
      </c>
      <c r="G241" s="136">
        <v>18</v>
      </c>
      <c r="H241" s="135" t="s">
        <v>1356</v>
      </c>
      <c r="I241" s="81" t="s">
        <v>1409</v>
      </c>
      <c r="K241" s="81" t="s">
        <v>1408</v>
      </c>
    </row>
    <row r="242" spans="1:11" ht="27.75">
      <c r="A242" s="135" t="s">
        <v>263</v>
      </c>
      <c r="B242" s="135" t="s">
        <v>264</v>
      </c>
      <c r="C242" s="135" t="s">
        <v>27</v>
      </c>
      <c r="D242" s="135" t="s">
        <v>28</v>
      </c>
      <c r="E242" s="135" t="s">
        <v>1356</v>
      </c>
      <c r="F242" s="135" t="s">
        <v>1357</v>
      </c>
      <c r="G242" s="136">
        <v>18</v>
      </c>
      <c r="H242" s="135" t="s">
        <v>1356</v>
      </c>
      <c r="I242" s="81" t="s">
        <v>1409</v>
      </c>
      <c r="K242" s="81" t="s">
        <v>1408</v>
      </c>
    </row>
    <row r="243" spans="1:11" ht="27.75">
      <c r="A243" s="135" t="s">
        <v>265</v>
      </c>
      <c r="B243" s="135" t="s">
        <v>1484</v>
      </c>
      <c r="C243" s="135" t="s">
        <v>27</v>
      </c>
      <c r="D243" s="135" t="s">
        <v>28</v>
      </c>
      <c r="E243" s="135" t="s">
        <v>1358</v>
      </c>
      <c r="F243" s="135" t="s">
        <v>1359</v>
      </c>
      <c r="G243" s="136">
        <v>18</v>
      </c>
      <c r="H243" s="135" t="s">
        <v>1358</v>
      </c>
      <c r="I243" s="81" t="s">
        <v>1409</v>
      </c>
      <c r="K243" s="81" t="s">
        <v>1408</v>
      </c>
    </row>
    <row r="244" spans="1:11" ht="27.75">
      <c r="A244" s="135" t="s">
        <v>266</v>
      </c>
      <c r="B244" s="135" t="s">
        <v>267</v>
      </c>
      <c r="C244" s="135" t="s">
        <v>27</v>
      </c>
      <c r="D244" s="135" t="s">
        <v>28</v>
      </c>
      <c r="E244" s="135" t="s">
        <v>1358</v>
      </c>
      <c r="F244" s="135" t="s">
        <v>1359</v>
      </c>
      <c r="G244" s="136">
        <v>18</v>
      </c>
      <c r="H244" s="135" t="s">
        <v>1358</v>
      </c>
      <c r="I244" s="81" t="s">
        <v>1409</v>
      </c>
      <c r="K244" s="81" t="s">
        <v>1408</v>
      </c>
    </row>
    <row r="245" spans="1:11" ht="27.75">
      <c r="A245" s="135" t="s">
        <v>268</v>
      </c>
      <c r="B245" s="135" t="s">
        <v>269</v>
      </c>
      <c r="C245" s="135" t="s">
        <v>27</v>
      </c>
      <c r="D245" s="135" t="s">
        <v>28</v>
      </c>
      <c r="E245" s="135" t="s">
        <v>1360</v>
      </c>
      <c r="F245" s="135" t="s">
        <v>1361</v>
      </c>
      <c r="G245" s="136">
        <v>18</v>
      </c>
      <c r="H245" s="135" t="s">
        <v>1360</v>
      </c>
      <c r="I245" s="81" t="s">
        <v>1409</v>
      </c>
      <c r="K245" s="81" t="s">
        <v>1408</v>
      </c>
    </row>
    <row r="246" spans="1:11" ht="27.75">
      <c r="A246" s="135" t="s">
        <v>270</v>
      </c>
      <c r="B246" s="135" t="s">
        <v>636</v>
      </c>
      <c r="C246" s="135" t="s">
        <v>27</v>
      </c>
      <c r="D246" s="135" t="s">
        <v>28</v>
      </c>
      <c r="E246" s="135" t="s">
        <v>1360</v>
      </c>
      <c r="F246" s="135" t="s">
        <v>1361</v>
      </c>
      <c r="G246" s="136">
        <v>18</v>
      </c>
      <c r="H246" s="135" t="s">
        <v>1360</v>
      </c>
      <c r="I246" s="81" t="s">
        <v>1409</v>
      </c>
      <c r="K246" s="81" t="s">
        <v>1408</v>
      </c>
    </row>
    <row r="247" spans="1:11" ht="27.75">
      <c r="A247" s="135" t="s">
        <v>253</v>
      </c>
      <c r="B247" s="135" t="s">
        <v>1485</v>
      </c>
      <c r="C247" s="135" t="s">
        <v>25</v>
      </c>
      <c r="D247" s="135" t="s">
        <v>26</v>
      </c>
      <c r="E247" s="135" t="s">
        <v>1352</v>
      </c>
      <c r="F247" s="135" t="s">
        <v>1353</v>
      </c>
      <c r="G247" s="136">
        <v>17</v>
      </c>
      <c r="H247" s="135" t="s">
        <v>1352</v>
      </c>
      <c r="I247" s="81" t="s">
        <v>1409</v>
      </c>
      <c r="K247" s="81" t="s">
        <v>1408</v>
      </c>
    </row>
    <row r="248" spans="1:11" ht="27.75">
      <c r="A248" s="135" t="s">
        <v>254</v>
      </c>
      <c r="B248" s="135" t="s">
        <v>1486</v>
      </c>
      <c r="C248" s="135" t="s">
        <v>25</v>
      </c>
      <c r="D248" s="135" t="s">
        <v>26</v>
      </c>
      <c r="E248" s="135" t="s">
        <v>1352</v>
      </c>
      <c r="F248" s="135" t="s">
        <v>1353</v>
      </c>
      <c r="G248" s="136">
        <v>17</v>
      </c>
      <c r="H248" s="135" t="s">
        <v>1352</v>
      </c>
      <c r="I248" s="81" t="s">
        <v>1409</v>
      </c>
      <c r="K248" s="81" t="s">
        <v>1408</v>
      </c>
    </row>
    <row r="249" spans="1:11" ht="27.75">
      <c r="A249" s="135" t="s">
        <v>1105</v>
      </c>
      <c r="B249" s="135" t="s">
        <v>1106</v>
      </c>
      <c r="C249" s="135" t="s">
        <v>25</v>
      </c>
      <c r="D249" s="135" t="s">
        <v>26</v>
      </c>
      <c r="E249" s="135" t="s">
        <v>1352</v>
      </c>
      <c r="F249" s="135" t="s">
        <v>1353</v>
      </c>
      <c r="G249" s="136">
        <v>17</v>
      </c>
      <c r="H249" s="135" t="s">
        <v>1352</v>
      </c>
      <c r="I249" s="81" t="s">
        <v>1407</v>
      </c>
      <c r="J249" s="81">
        <v>42643</v>
      </c>
      <c r="K249" s="81" t="s">
        <v>1408</v>
      </c>
    </row>
    <row r="250" spans="1:11" ht="27.75">
      <c r="A250" s="135" t="s">
        <v>1107</v>
      </c>
      <c r="B250" s="135" t="s">
        <v>1108</v>
      </c>
      <c r="C250" s="135" t="s">
        <v>25</v>
      </c>
      <c r="D250" s="135" t="s">
        <v>26</v>
      </c>
      <c r="E250" s="135" t="s">
        <v>1352</v>
      </c>
      <c r="F250" s="135" t="s">
        <v>1353</v>
      </c>
      <c r="G250" s="136">
        <v>17</v>
      </c>
      <c r="H250" s="135" t="s">
        <v>1352</v>
      </c>
      <c r="I250" s="81" t="s">
        <v>1407</v>
      </c>
      <c r="J250" s="81">
        <v>42643</v>
      </c>
      <c r="K250" s="81" t="s">
        <v>1408</v>
      </c>
    </row>
    <row r="251" spans="1:11" ht="27.75">
      <c r="A251" s="135" t="s">
        <v>255</v>
      </c>
      <c r="B251" s="135" t="s">
        <v>1487</v>
      </c>
      <c r="C251" s="135" t="s">
        <v>25</v>
      </c>
      <c r="D251" s="135" t="s">
        <v>26</v>
      </c>
      <c r="E251" s="135" t="s">
        <v>1352</v>
      </c>
      <c r="F251" s="135" t="s">
        <v>1353</v>
      </c>
      <c r="G251" s="136">
        <v>17</v>
      </c>
      <c r="H251" s="135" t="s">
        <v>1352</v>
      </c>
      <c r="I251" s="81" t="s">
        <v>1409</v>
      </c>
      <c r="K251" s="81" t="s">
        <v>1408</v>
      </c>
    </row>
    <row r="252" spans="1:11" ht="27.75">
      <c r="A252" s="135" t="s">
        <v>256</v>
      </c>
      <c r="B252" s="135" t="s">
        <v>1488</v>
      </c>
      <c r="C252" s="135" t="s">
        <v>25</v>
      </c>
      <c r="D252" s="135" t="s">
        <v>26</v>
      </c>
      <c r="E252" s="135" t="s">
        <v>1352</v>
      </c>
      <c r="F252" s="135" t="s">
        <v>1353</v>
      </c>
      <c r="G252" s="136">
        <v>17</v>
      </c>
      <c r="H252" s="135" t="s">
        <v>1352</v>
      </c>
      <c r="I252" s="81" t="s">
        <v>1409</v>
      </c>
      <c r="K252" s="81" t="s">
        <v>1408</v>
      </c>
    </row>
    <row r="253" spans="1:11" ht="27.75">
      <c r="A253" s="135" t="s">
        <v>257</v>
      </c>
      <c r="B253" s="135" t="s">
        <v>1489</v>
      </c>
      <c r="C253" s="135" t="s">
        <v>25</v>
      </c>
      <c r="D253" s="135" t="s">
        <v>26</v>
      </c>
      <c r="E253" s="135" t="s">
        <v>1352</v>
      </c>
      <c r="F253" s="135" t="s">
        <v>1353</v>
      </c>
      <c r="G253" s="136">
        <v>17</v>
      </c>
      <c r="H253" s="135" t="s">
        <v>1352</v>
      </c>
      <c r="I253" s="81" t="s">
        <v>1409</v>
      </c>
      <c r="K253" s="81" t="s">
        <v>1408</v>
      </c>
    </row>
    <row r="254" spans="1:11" ht="27.75">
      <c r="A254" s="135" t="s">
        <v>258</v>
      </c>
      <c r="B254" s="135" t="s">
        <v>1490</v>
      </c>
      <c r="C254" s="135" t="s">
        <v>25</v>
      </c>
      <c r="D254" s="135" t="s">
        <v>26</v>
      </c>
      <c r="E254" s="135" t="s">
        <v>1352</v>
      </c>
      <c r="F254" s="135" t="s">
        <v>1353</v>
      </c>
      <c r="G254" s="136">
        <v>17</v>
      </c>
      <c r="H254" s="135" t="s">
        <v>1352</v>
      </c>
      <c r="I254" s="81" t="s">
        <v>1409</v>
      </c>
      <c r="K254" s="81" t="s">
        <v>1408</v>
      </c>
    </row>
    <row r="255" spans="1:11" ht="27.75">
      <c r="A255" s="135" t="s">
        <v>259</v>
      </c>
      <c r="B255" s="135" t="s">
        <v>1491</v>
      </c>
      <c r="C255" s="135" t="s">
        <v>25</v>
      </c>
      <c r="D255" s="135" t="s">
        <v>26</v>
      </c>
      <c r="E255" s="135" t="s">
        <v>1352</v>
      </c>
      <c r="F255" s="135" t="s">
        <v>1353</v>
      </c>
      <c r="G255" s="136">
        <v>17</v>
      </c>
      <c r="H255" s="135" t="s">
        <v>1352</v>
      </c>
      <c r="I255" s="81" t="s">
        <v>1409</v>
      </c>
      <c r="K255" s="81" t="s">
        <v>1408</v>
      </c>
    </row>
    <row r="256" spans="1:11" ht="27.75">
      <c r="A256" s="135" t="s">
        <v>260</v>
      </c>
      <c r="B256" s="135" t="s">
        <v>1492</v>
      </c>
      <c r="C256" s="135" t="s">
        <v>25</v>
      </c>
      <c r="D256" s="135" t="s">
        <v>26</v>
      </c>
      <c r="E256" s="135" t="s">
        <v>1352</v>
      </c>
      <c r="F256" s="135" t="s">
        <v>1353</v>
      </c>
      <c r="G256" s="136">
        <v>17</v>
      </c>
      <c r="H256" s="135" t="s">
        <v>1352</v>
      </c>
      <c r="I256" s="81" t="s">
        <v>1409</v>
      </c>
      <c r="K256" s="81" t="s">
        <v>1408</v>
      </c>
    </row>
    <row r="257" spans="1:11" ht="27.75">
      <c r="A257" s="135" t="s">
        <v>1109</v>
      </c>
      <c r="B257" s="135" t="s">
        <v>1110</v>
      </c>
      <c r="C257" s="135" t="s">
        <v>31</v>
      </c>
      <c r="D257" s="135" t="s">
        <v>32</v>
      </c>
      <c r="E257" s="135" t="s">
        <v>1362</v>
      </c>
      <c r="F257" s="135" t="s">
        <v>1363</v>
      </c>
      <c r="G257" s="136">
        <v>20</v>
      </c>
      <c r="H257" s="135" t="s">
        <v>1362</v>
      </c>
      <c r="I257" s="81" t="s">
        <v>1407</v>
      </c>
      <c r="J257" s="81">
        <v>42643</v>
      </c>
      <c r="K257" s="81" t="s">
        <v>1408</v>
      </c>
    </row>
    <row r="258" spans="1:11" ht="27.75">
      <c r="A258" s="135" t="s">
        <v>1111</v>
      </c>
      <c r="B258" s="135" t="s">
        <v>1112</v>
      </c>
      <c r="C258" s="135" t="s">
        <v>31</v>
      </c>
      <c r="D258" s="135" t="s">
        <v>32</v>
      </c>
      <c r="E258" s="135" t="s">
        <v>1362</v>
      </c>
      <c r="F258" s="135" t="s">
        <v>1363</v>
      </c>
      <c r="G258" s="136">
        <v>20</v>
      </c>
      <c r="H258" s="135" t="s">
        <v>1362</v>
      </c>
      <c r="I258" s="81" t="s">
        <v>1407</v>
      </c>
      <c r="J258" s="81">
        <v>42643</v>
      </c>
      <c r="K258" s="81" t="s">
        <v>1408</v>
      </c>
    </row>
    <row r="259" spans="1:11" ht="27.75">
      <c r="A259" s="135" t="s">
        <v>913</v>
      </c>
      <c r="B259" s="135" t="s">
        <v>914</v>
      </c>
      <c r="C259" s="135" t="s">
        <v>25</v>
      </c>
      <c r="D259" s="135" t="s">
        <v>26</v>
      </c>
      <c r="E259" s="135" t="s">
        <v>1352</v>
      </c>
      <c r="F259" s="135" t="s">
        <v>1353</v>
      </c>
      <c r="G259" s="136">
        <v>17</v>
      </c>
      <c r="H259" s="135" t="s">
        <v>1352</v>
      </c>
      <c r="I259" s="81" t="s">
        <v>1409</v>
      </c>
      <c r="K259" s="81" t="s">
        <v>1411</v>
      </c>
    </row>
    <row r="260" spans="1:11" ht="27.75">
      <c r="A260" s="135" t="s">
        <v>915</v>
      </c>
      <c r="B260" s="135" t="s">
        <v>916</v>
      </c>
      <c r="C260" s="135" t="s">
        <v>25</v>
      </c>
      <c r="D260" s="135" t="s">
        <v>26</v>
      </c>
      <c r="E260" s="135" t="s">
        <v>1352</v>
      </c>
      <c r="F260" s="135" t="s">
        <v>1353</v>
      </c>
      <c r="G260" s="136">
        <v>17</v>
      </c>
      <c r="H260" s="135" t="s">
        <v>1352</v>
      </c>
      <c r="I260" s="81" t="s">
        <v>1409</v>
      </c>
      <c r="K260" s="81" t="s">
        <v>1411</v>
      </c>
    </row>
    <row r="261" spans="1:11" s="149" customFormat="1" ht="27.75">
      <c r="A261" s="147" t="s">
        <v>917</v>
      </c>
      <c r="B261" s="147" t="s">
        <v>1549</v>
      </c>
      <c r="C261" s="147" t="s">
        <v>29</v>
      </c>
      <c r="D261" s="147" t="s">
        <v>30</v>
      </c>
      <c r="E261" s="147" t="s">
        <v>1354</v>
      </c>
      <c r="F261" s="147" t="s">
        <v>1355</v>
      </c>
      <c r="G261" s="148">
        <v>19</v>
      </c>
      <c r="H261" s="147" t="s">
        <v>1354</v>
      </c>
      <c r="I261" s="149" t="s">
        <v>1409</v>
      </c>
      <c r="K261" s="149" t="s">
        <v>1411</v>
      </c>
    </row>
    <row r="262" spans="1:11" ht="27.75">
      <c r="A262" s="135" t="s">
        <v>285</v>
      </c>
      <c r="B262" s="135" t="s">
        <v>286</v>
      </c>
      <c r="C262" s="135" t="s">
        <v>31</v>
      </c>
      <c r="D262" s="135" t="s">
        <v>32</v>
      </c>
      <c r="E262" s="135" t="s">
        <v>1362</v>
      </c>
      <c r="F262" s="135" t="s">
        <v>1363</v>
      </c>
      <c r="G262" s="136">
        <v>20</v>
      </c>
      <c r="H262" s="135" t="s">
        <v>1362</v>
      </c>
      <c r="I262" s="81" t="s">
        <v>1409</v>
      </c>
      <c r="K262" s="81" t="s">
        <v>1408</v>
      </c>
    </row>
    <row r="263" spans="1:11" ht="27.75">
      <c r="A263" s="135" t="s">
        <v>287</v>
      </c>
      <c r="B263" s="135" t="s">
        <v>288</v>
      </c>
      <c r="C263" s="135" t="s">
        <v>31</v>
      </c>
      <c r="D263" s="135" t="s">
        <v>32</v>
      </c>
      <c r="E263" s="135" t="s">
        <v>1362</v>
      </c>
      <c r="F263" s="135" t="s">
        <v>1363</v>
      </c>
      <c r="G263" s="136">
        <v>20</v>
      </c>
      <c r="H263" s="135" t="s">
        <v>1362</v>
      </c>
      <c r="I263" s="81" t="s">
        <v>1409</v>
      </c>
      <c r="K263" s="81" t="s">
        <v>1408</v>
      </c>
    </row>
    <row r="264" spans="1:11" ht="27.75">
      <c r="A264" s="135" t="s">
        <v>289</v>
      </c>
      <c r="B264" s="135" t="s">
        <v>290</v>
      </c>
      <c r="C264" s="135" t="s">
        <v>31</v>
      </c>
      <c r="D264" s="135" t="s">
        <v>32</v>
      </c>
      <c r="E264" s="135" t="s">
        <v>1362</v>
      </c>
      <c r="F264" s="135" t="s">
        <v>1363</v>
      </c>
      <c r="G264" s="136">
        <v>20</v>
      </c>
      <c r="H264" s="135" t="s">
        <v>1362</v>
      </c>
      <c r="I264" s="81" t="s">
        <v>1409</v>
      </c>
      <c r="K264" s="81" t="s">
        <v>1408</v>
      </c>
    </row>
    <row r="265" spans="1:11" ht="27.75">
      <c r="A265" s="135" t="s">
        <v>291</v>
      </c>
      <c r="B265" s="135" t="s">
        <v>292</v>
      </c>
      <c r="C265" s="135" t="s">
        <v>31</v>
      </c>
      <c r="D265" s="135" t="s">
        <v>32</v>
      </c>
      <c r="E265" s="135" t="s">
        <v>1362</v>
      </c>
      <c r="F265" s="135" t="s">
        <v>1363</v>
      </c>
      <c r="G265" s="136">
        <v>20</v>
      </c>
      <c r="H265" s="135" t="s">
        <v>1362</v>
      </c>
      <c r="I265" s="81" t="s">
        <v>1409</v>
      </c>
      <c r="K265" s="81" t="s">
        <v>1408</v>
      </c>
    </row>
    <row r="266" spans="1:11" ht="27.75">
      <c r="A266" s="135" t="s">
        <v>293</v>
      </c>
      <c r="B266" s="135" t="s">
        <v>294</v>
      </c>
      <c r="C266" s="135" t="s">
        <v>31</v>
      </c>
      <c r="D266" s="135" t="s">
        <v>32</v>
      </c>
      <c r="E266" s="135" t="s">
        <v>1362</v>
      </c>
      <c r="F266" s="135" t="s">
        <v>1363</v>
      </c>
      <c r="G266" s="136">
        <v>20</v>
      </c>
      <c r="H266" s="135" t="s">
        <v>1362</v>
      </c>
      <c r="I266" s="81" t="s">
        <v>1409</v>
      </c>
      <c r="K266" s="81" t="s">
        <v>1408</v>
      </c>
    </row>
    <row r="267" spans="1:11" ht="27.75">
      <c r="A267" s="135" t="s">
        <v>295</v>
      </c>
      <c r="B267" s="135" t="s">
        <v>1493</v>
      </c>
      <c r="C267" s="135" t="s">
        <v>31</v>
      </c>
      <c r="D267" s="135" t="s">
        <v>32</v>
      </c>
      <c r="E267" s="135" t="s">
        <v>1362</v>
      </c>
      <c r="F267" s="135" t="s">
        <v>1363</v>
      </c>
      <c r="G267" s="136">
        <v>20</v>
      </c>
      <c r="H267" s="135" t="s">
        <v>1362</v>
      </c>
      <c r="I267" s="81" t="s">
        <v>1409</v>
      </c>
      <c r="K267" s="81" t="s">
        <v>1408</v>
      </c>
    </row>
    <row r="268" spans="1:11" ht="27.75">
      <c r="A268" s="135" t="s">
        <v>296</v>
      </c>
      <c r="B268" s="135" t="s">
        <v>297</v>
      </c>
      <c r="C268" s="135" t="s">
        <v>31</v>
      </c>
      <c r="D268" s="135" t="s">
        <v>32</v>
      </c>
      <c r="E268" s="135" t="s">
        <v>1362</v>
      </c>
      <c r="F268" s="135" t="s">
        <v>1363</v>
      </c>
      <c r="G268" s="136">
        <v>20</v>
      </c>
      <c r="H268" s="135" t="s">
        <v>1362</v>
      </c>
      <c r="I268" s="81" t="s">
        <v>1409</v>
      </c>
      <c r="K268" s="81" t="s">
        <v>1408</v>
      </c>
    </row>
    <row r="269" spans="1:11" ht="27.75">
      <c r="A269" s="135" t="s">
        <v>298</v>
      </c>
      <c r="B269" s="135" t="s">
        <v>299</v>
      </c>
      <c r="C269" s="135" t="s">
        <v>31</v>
      </c>
      <c r="D269" s="135" t="s">
        <v>32</v>
      </c>
      <c r="E269" s="135" t="s">
        <v>1362</v>
      </c>
      <c r="F269" s="135" t="s">
        <v>1363</v>
      </c>
      <c r="G269" s="136">
        <v>20</v>
      </c>
      <c r="H269" s="135" t="s">
        <v>1362</v>
      </c>
      <c r="I269" s="81" t="s">
        <v>1409</v>
      </c>
      <c r="K269" s="81" t="s">
        <v>1408</v>
      </c>
    </row>
    <row r="270" spans="1:11" ht="27.75">
      <c r="A270" s="135" t="s">
        <v>1113</v>
      </c>
      <c r="B270" s="135" t="s">
        <v>271</v>
      </c>
      <c r="C270" s="135" t="s">
        <v>29</v>
      </c>
      <c r="D270" s="135" t="s">
        <v>30</v>
      </c>
      <c r="E270" s="135" t="s">
        <v>1364</v>
      </c>
      <c r="F270" s="135" t="s">
        <v>1365</v>
      </c>
      <c r="G270" s="136">
        <v>19</v>
      </c>
      <c r="H270" s="135" t="s">
        <v>1364</v>
      </c>
      <c r="I270" s="81" t="s">
        <v>1407</v>
      </c>
      <c r="J270" s="81">
        <v>42643</v>
      </c>
      <c r="K270" s="81" t="s">
        <v>1408</v>
      </c>
    </row>
    <row r="271" spans="1:11" ht="27.75">
      <c r="A271" s="135" t="s">
        <v>1114</v>
      </c>
      <c r="B271" s="135" t="s">
        <v>272</v>
      </c>
      <c r="C271" s="135" t="s">
        <v>29</v>
      </c>
      <c r="D271" s="135" t="s">
        <v>30</v>
      </c>
      <c r="E271" s="135" t="s">
        <v>1364</v>
      </c>
      <c r="F271" s="135" t="s">
        <v>1365</v>
      </c>
      <c r="G271" s="136">
        <v>19</v>
      </c>
      <c r="H271" s="135" t="s">
        <v>1364</v>
      </c>
      <c r="I271" s="81" t="s">
        <v>1407</v>
      </c>
      <c r="J271" s="81">
        <v>42643</v>
      </c>
      <c r="K271" s="81" t="s">
        <v>1408</v>
      </c>
    </row>
    <row r="272" spans="1:11" ht="27.75">
      <c r="A272" s="135" t="s">
        <v>1115</v>
      </c>
      <c r="B272" s="135" t="s">
        <v>273</v>
      </c>
      <c r="C272" s="135" t="s">
        <v>29</v>
      </c>
      <c r="D272" s="135" t="s">
        <v>30</v>
      </c>
      <c r="E272" s="135" t="s">
        <v>1364</v>
      </c>
      <c r="F272" s="135" t="s">
        <v>1365</v>
      </c>
      <c r="G272" s="136">
        <v>19</v>
      </c>
      <c r="H272" s="135" t="s">
        <v>1364</v>
      </c>
      <c r="I272" s="81" t="s">
        <v>1407</v>
      </c>
      <c r="J272" s="81">
        <v>42643</v>
      </c>
      <c r="K272" s="81" t="s">
        <v>1408</v>
      </c>
    </row>
    <row r="273" spans="1:11" ht="27.75">
      <c r="A273" s="135" t="s">
        <v>1116</v>
      </c>
      <c r="B273" s="135" t="s">
        <v>1117</v>
      </c>
      <c r="C273" s="135" t="s">
        <v>29</v>
      </c>
      <c r="D273" s="135" t="s">
        <v>30</v>
      </c>
      <c r="E273" s="135" t="s">
        <v>1364</v>
      </c>
      <c r="F273" s="135" t="s">
        <v>1365</v>
      </c>
      <c r="G273" s="136">
        <v>19</v>
      </c>
      <c r="H273" s="135" t="s">
        <v>1364</v>
      </c>
      <c r="I273" s="81" t="s">
        <v>1407</v>
      </c>
      <c r="J273" s="81">
        <v>42643</v>
      </c>
      <c r="K273" s="81" t="s">
        <v>1408</v>
      </c>
    </row>
    <row r="274" spans="1:11" ht="27.75">
      <c r="A274" s="135" t="s">
        <v>1118</v>
      </c>
      <c r="B274" s="135" t="s">
        <v>1119</v>
      </c>
      <c r="C274" s="135" t="s">
        <v>29</v>
      </c>
      <c r="D274" s="135" t="s">
        <v>30</v>
      </c>
      <c r="E274" s="135" t="s">
        <v>1364</v>
      </c>
      <c r="F274" s="135" t="s">
        <v>1365</v>
      </c>
      <c r="G274" s="136">
        <v>19</v>
      </c>
      <c r="H274" s="135" t="s">
        <v>1364</v>
      </c>
      <c r="I274" s="81" t="s">
        <v>1407</v>
      </c>
      <c r="J274" s="81">
        <v>42643</v>
      </c>
      <c r="K274" s="81" t="s">
        <v>1408</v>
      </c>
    </row>
    <row r="275" spans="1:11" ht="27.75">
      <c r="A275" s="135" t="s">
        <v>1120</v>
      </c>
      <c r="B275" s="135" t="s">
        <v>1494</v>
      </c>
      <c r="C275" s="135" t="s">
        <v>29</v>
      </c>
      <c r="D275" s="135" t="s">
        <v>30</v>
      </c>
      <c r="E275" s="135" t="s">
        <v>1364</v>
      </c>
      <c r="F275" s="135" t="s">
        <v>1365</v>
      </c>
      <c r="G275" s="136">
        <v>19</v>
      </c>
      <c r="H275" s="135" t="s">
        <v>1364</v>
      </c>
      <c r="I275" s="81" t="s">
        <v>1407</v>
      </c>
      <c r="J275" s="81">
        <v>42643</v>
      </c>
      <c r="K275" s="81" t="s">
        <v>1408</v>
      </c>
    </row>
    <row r="276" spans="1:11" ht="27.75">
      <c r="A276" s="135" t="s">
        <v>274</v>
      </c>
      <c r="B276" s="135" t="s">
        <v>275</v>
      </c>
      <c r="C276" s="135" t="s">
        <v>29</v>
      </c>
      <c r="D276" s="135" t="s">
        <v>30</v>
      </c>
      <c r="E276" s="135" t="s">
        <v>1366</v>
      </c>
      <c r="F276" s="135" t="s">
        <v>1367</v>
      </c>
      <c r="G276" s="136">
        <v>19</v>
      </c>
      <c r="H276" s="135" t="s">
        <v>1366</v>
      </c>
      <c r="I276" s="81" t="s">
        <v>1409</v>
      </c>
      <c r="K276" s="81" t="s">
        <v>1408</v>
      </c>
    </row>
    <row r="277" spans="1:11" ht="27.75">
      <c r="A277" s="135" t="s">
        <v>1121</v>
      </c>
      <c r="B277" s="135" t="s">
        <v>276</v>
      </c>
      <c r="C277" s="135" t="s">
        <v>29</v>
      </c>
      <c r="D277" s="135" t="s">
        <v>30</v>
      </c>
      <c r="E277" s="135" t="s">
        <v>1364</v>
      </c>
      <c r="F277" s="135" t="s">
        <v>1365</v>
      </c>
      <c r="G277" s="136">
        <v>19</v>
      </c>
      <c r="H277" s="135" t="s">
        <v>1364</v>
      </c>
      <c r="I277" s="81" t="s">
        <v>1407</v>
      </c>
      <c r="J277" s="81">
        <v>42643</v>
      </c>
      <c r="K277" s="81" t="s">
        <v>1408</v>
      </c>
    </row>
    <row r="278" spans="1:11" ht="27.75">
      <c r="A278" s="135" t="s">
        <v>1122</v>
      </c>
      <c r="B278" s="135" t="s">
        <v>1123</v>
      </c>
      <c r="C278" s="135" t="s">
        <v>29</v>
      </c>
      <c r="D278" s="135" t="s">
        <v>30</v>
      </c>
      <c r="E278" s="135" t="s">
        <v>1354</v>
      </c>
      <c r="F278" s="135" t="s">
        <v>1355</v>
      </c>
      <c r="G278" s="136">
        <v>19</v>
      </c>
      <c r="H278" s="135" t="s">
        <v>1354</v>
      </c>
      <c r="I278" s="81" t="s">
        <v>1407</v>
      </c>
      <c r="J278" s="81">
        <v>42643</v>
      </c>
      <c r="K278" s="81" t="s">
        <v>1408</v>
      </c>
    </row>
    <row r="279" spans="1:11" ht="27.75">
      <c r="A279" s="135" t="s">
        <v>1124</v>
      </c>
      <c r="B279" s="135" t="s">
        <v>1495</v>
      </c>
      <c r="C279" s="135" t="s">
        <v>29</v>
      </c>
      <c r="D279" s="135" t="s">
        <v>30</v>
      </c>
      <c r="E279" s="135" t="s">
        <v>1354</v>
      </c>
      <c r="F279" s="135" t="s">
        <v>1355</v>
      </c>
      <c r="G279" s="136">
        <v>19</v>
      </c>
      <c r="H279" s="135" t="s">
        <v>1354</v>
      </c>
      <c r="I279" s="81" t="s">
        <v>1407</v>
      </c>
      <c r="J279" s="81">
        <v>42643</v>
      </c>
      <c r="K279" s="81" t="s">
        <v>1408</v>
      </c>
    </row>
    <row r="280" spans="1:11" ht="27.75">
      <c r="A280" s="135" t="s">
        <v>1125</v>
      </c>
      <c r="B280" s="135" t="s">
        <v>1126</v>
      </c>
      <c r="C280" s="135" t="s">
        <v>29</v>
      </c>
      <c r="D280" s="135" t="s">
        <v>30</v>
      </c>
      <c r="E280" s="135" t="s">
        <v>1354</v>
      </c>
      <c r="F280" s="135" t="s">
        <v>1355</v>
      </c>
      <c r="G280" s="136">
        <v>19</v>
      </c>
      <c r="H280" s="135" t="s">
        <v>1354</v>
      </c>
      <c r="I280" s="81" t="s">
        <v>1407</v>
      </c>
      <c r="J280" s="81">
        <v>42643</v>
      </c>
      <c r="K280" s="81" t="s">
        <v>1408</v>
      </c>
    </row>
    <row r="281" spans="1:11" ht="27.75">
      <c r="A281" s="135" t="s">
        <v>1127</v>
      </c>
      <c r="B281" s="135" t="s">
        <v>1496</v>
      </c>
      <c r="C281" s="135" t="s">
        <v>29</v>
      </c>
      <c r="D281" s="135" t="s">
        <v>30</v>
      </c>
      <c r="E281" s="135" t="s">
        <v>1364</v>
      </c>
      <c r="F281" s="135" t="s">
        <v>1365</v>
      </c>
      <c r="G281" s="136">
        <v>19</v>
      </c>
      <c r="H281" s="135" t="s">
        <v>1364</v>
      </c>
      <c r="I281" s="81" t="s">
        <v>1407</v>
      </c>
      <c r="J281" s="81">
        <v>42643</v>
      </c>
      <c r="K281" s="81" t="s">
        <v>1408</v>
      </c>
    </row>
    <row r="282" spans="1:11" ht="27.75">
      <c r="A282" s="135" t="s">
        <v>1128</v>
      </c>
      <c r="B282" s="135" t="s">
        <v>1497</v>
      </c>
      <c r="C282" s="135" t="s">
        <v>29</v>
      </c>
      <c r="D282" s="135" t="s">
        <v>30</v>
      </c>
      <c r="E282" s="135" t="s">
        <v>1364</v>
      </c>
      <c r="F282" s="135" t="s">
        <v>1365</v>
      </c>
      <c r="G282" s="136">
        <v>19</v>
      </c>
      <c r="H282" s="135" t="s">
        <v>1364</v>
      </c>
      <c r="I282" s="81" t="s">
        <v>1407</v>
      </c>
      <c r="J282" s="81">
        <v>42643</v>
      </c>
      <c r="K282" s="81" t="s">
        <v>1408</v>
      </c>
    </row>
    <row r="283" spans="1:11" ht="27.75">
      <c r="A283" s="135" t="s">
        <v>277</v>
      </c>
      <c r="B283" s="135" t="s">
        <v>278</v>
      </c>
      <c r="C283" s="135" t="s">
        <v>29</v>
      </c>
      <c r="D283" s="135" t="s">
        <v>30</v>
      </c>
      <c r="E283" s="135" t="s">
        <v>1366</v>
      </c>
      <c r="F283" s="135" t="s">
        <v>1367</v>
      </c>
      <c r="G283" s="136">
        <v>19</v>
      </c>
      <c r="H283" s="135" t="s">
        <v>1366</v>
      </c>
      <c r="I283" s="81" t="s">
        <v>1409</v>
      </c>
      <c r="K283" s="81" t="s">
        <v>1408</v>
      </c>
    </row>
    <row r="284" spans="1:11" ht="27.75">
      <c r="A284" s="135" t="s">
        <v>1129</v>
      </c>
      <c r="B284" s="135" t="s">
        <v>1130</v>
      </c>
      <c r="C284" s="135" t="s">
        <v>29</v>
      </c>
      <c r="D284" s="135" t="s">
        <v>30</v>
      </c>
      <c r="E284" s="135" t="s">
        <v>1364</v>
      </c>
      <c r="F284" s="135" t="s">
        <v>1365</v>
      </c>
      <c r="G284" s="136">
        <v>19</v>
      </c>
      <c r="H284" s="135" t="s">
        <v>1364</v>
      </c>
      <c r="I284" s="81" t="s">
        <v>1407</v>
      </c>
      <c r="J284" s="81">
        <v>42643</v>
      </c>
      <c r="K284" s="81" t="s">
        <v>1408</v>
      </c>
    </row>
    <row r="285" spans="1:11" ht="27.75">
      <c r="A285" s="135" t="s">
        <v>279</v>
      </c>
      <c r="B285" s="147" t="s">
        <v>1547</v>
      </c>
      <c r="C285" s="135" t="s">
        <v>29</v>
      </c>
      <c r="D285" s="135" t="s">
        <v>30</v>
      </c>
      <c r="E285" s="135" t="s">
        <v>1368</v>
      </c>
      <c r="F285" s="135" t="s">
        <v>1369</v>
      </c>
      <c r="G285" s="136">
        <v>19</v>
      </c>
      <c r="H285" s="135" t="s">
        <v>1368</v>
      </c>
      <c r="I285" s="81" t="s">
        <v>1409</v>
      </c>
      <c r="K285" s="81" t="s">
        <v>1408</v>
      </c>
    </row>
    <row r="286" spans="1:11" ht="27.75">
      <c r="A286" s="135" t="s">
        <v>280</v>
      </c>
      <c r="B286" s="147" t="s">
        <v>1548</v>
      </c>
      <c r="C286" s="135" t="s">
        <v>29</v>
      </c>
      <c r="D286" s="135" t="s">
        <v>30</v>
      </c>
      <c r="E286" s="135" t="s">
        <v>1368</v>
      </c>
      <c r="F286" s="135" t="s">
        <v>1369</v>
      </c>
      <c r="G286" s="136">
        <v>19</v>
      </c>
      <c r="H286" s="135" t="s">
        <v>1368</v>
      </c>
      <c r="I286" s="81" t="s">
        <v>1409</v>
      </c>
      <c r="K286" s="81" t="s">
        <v>1408</v>
      </c>
    </row>
    <row r="287" spans="1:11" ht="27.75">
      <c r="A287" s="135" t="s">
        <v>281</v>
      </c>
      <c r="B287" s="135" t="s">
        <v>282</v>
      </c>
      <c r="C287" s="135" t="s">
        <v>29</v>
      </c>
      <c r="D287" s="135" t="s">
        <v>30</v>
      </c>
      <c r="E287" s="135" t="s">
        <v>1368</v>
      </c>
      <c r="F287" s="135" t="s">
        <v>1369</v>
      </c>
      <c r="G287" s="136">
        <v>19</v>
      </c>
      <c r="H287" s="135" t="s">
        <v>1368</v>
      </c>
      <c r="I287" s="81" t="s">
        <v>1409</v>
      </c>
      <c r="K287" s="81" t="s">
        <v>1408</v>
      </c>
    </row>
    <row r="288" spans="1:11" ht="27.75">
      <c r="A288" s="135" t="s">
        <v>283</v>
      </c>
      <c r="B288" s="135" t="s">
        <v>284</v>
      </c>
      <c r="C288" s="135" t="s">
        <v>29</v>
      </c>
      <c r="D288" s="135" t="s">
        <v>30</v>
      </c>
      <c r="E288" s="135" t="s">
        <v>1368</v>
      </c>
      <c r="F288" s="135" t="s">
        <v>1369</v>
      </c>
      <c r="G288" s="136">
        <v>19</v>
      </c>
      <c r="H288" s="135" t="s">
        <v>1368</v>
      </c>
      <c r="I288" s="81" t="s">
        <v>1409</v>
      </c>
      <c r="K288" s="81" t="s">
        <v>1408</v>
      </c>
    </row>
    <row r="289" spans="1:11" ht="27.75">
      <c r="A289" s="135" t="s">
        <v>919</v>
      </c>
      <c r="B289" s="147" t="s">
        <v>1551</v>
      </c>
      <c r="C289" s="135" t="s">
        <v>29</v>
      </c>
      <c r="D289" s="135" t="s">
        <v>30</v>
      </c>
      <c r="E289" s="135" t="s">
        <v>1364</v>
      </c>
      <c r="F289" s="135" t="s">
        <v>1365</v>
      </c>
      <c r="G289" s="136">
        <v>19</v>
      </c>
      <c r="H289" s="135" t="s">
        <v>1354</v>
      </c>
      <c r="I289" s="81" t="s">
        <v>1409</v>
      </c>
      <c r="K289" s="81" t="s">
        <v>1411</v>
      </c>
    </row>
    <row r="290" spans="1:11" ht="27.75">
      <c r="A290" s="135" t="s">
        <v>921</v>
      </c>
      <c r="B290" s="147" t="s">
        <v>1550</v>
      </c>
      <c r="C290" s="135" t="s">
        <v>29</v>
      </c>
      <c r="D290" s="135" t="s">
        <v>30</v>
      </c>
      <c r="E290" s="135" t="s">
        <v>1364</v>
      </c>
      <c r="F290" s="135" t="s">
        <v>1365</v>
      </c>
      <c r="G290" s="136">
        <v>19</v>
      </c>
      <c r="H290" s="135" t="s">
        <v>1354</v>
      </c>
      <c r="I290" s="81" t="s">
        <v>1409</v>
      </c>
      <c r="K290" s="81" t="s">
        <v>1411</v>
      </c>
    </row>
    <row r="291" spans="1:11" ht="27.75">
      <c r="A291" s="135" t="s">
        <v>923</v>
      </c>
      <c r="B291" s="135" t="s">
        <v>924</v>
      </c>
      <c r="C291" s="135" t="s">
        <v>29</v>
      </c>
      <c r="D291" s="135" t="s">
        <v>30</v>
      </c>
      <c r="E291" s="135" t="s">
        <v>1368</v>
      </c>
      <c r="F291" s="135" t="s">
        <v>1369</v>
      </c>
      <c r="G291" s="136">
        <v>19</v>
      </c>
      <c r="H291" s="135" t="s">
        <v>1368</v>
      </c>
      <c r="I291" s="81" t="s">
        <v>1409</v>
      </c>
      <c r="K291" s="81" t="s">
        <v>1411</v>
      </c>
    </row>
    <row r="292" spans="1:11" ht="27.75">
      <c r="A292" s="135" t="s">
        <v>1131</v>
      </c>
      <c r="B292" s="135" t="s">
        <v>1132</v>
      </c>
      <c r="C292" s="135" t="s">
        <v>31</v>
      </c>
      <c r="D292" s="135" t="s">
        <v>32</v>
      </c>
      <c r="E292" s="135" t="s">
        <v>1362</v>
      </c>
      <c r="F292" s="135" t="s">
        <v>1363</v>
      </c>
      <c r="G292" s="136">
        <v>20</v>
      </c>
      <c r="H292" s="135" t="s">
        <v>1362</v>
      </c>
      <c r="I292" s="81" t="s">
        <v>1407</v>
      </c>
      <c r="J292" s="81">
        <v>42643</v>
      </c>
      <c r="K292" s="81" t="s">
        <v>1408</v>
      </c>
    </row>
    <row r="293" spans="1:11" ht="27.75">
      <c r="A293" s="135" t="s">
        <v>925</v>
      </c>
      <c r="B293" s="135" t="s">
        <v>926</v>
      </c>
      <c r="C293" s="135" t="s">
        <v>29</v>
      </c>
      <c r="D293" s="135" t="s">
        <v>30</v>
      </c>
      <c r="E293" s="135" t="s">
        <v>1368</v>
      </c>
      <c r="F293" s="135" t="s">
        <v>1369</v>
      </c>
      <c r="G293" s="136">
        <v>19</v>
      </c>
      <c r="H293" s="135" t="s">
        <v>1368</v>
      </c>
      <c r="I293" s="81" t="s">
        <v>1409</v>
      </c>
      <c r="K293" s="81" t="s">
        <v>1411</v>
      </c>
    </row>
    <row r="294" spans="1:11" ht="27.75">
      <c r="A294" s="135" t="s">
        <v>927</v>
      </c>
      <c r="B294" s="135" t="s">
        <v>928</v>
      </c>
      <c r="C294" s="135" t="s">
        <v>29</v>
      </c>
      <c r="D294" s="135" t="s">
        <v>30</v>
      </c>
      <c r="E294" s="135" t="s">
        <v>1368</v>
      </c>
      <c r="F294" s="135" t="s">
        <v>1369</v>
      </c>
      <c r="G294" s="136">
        <v>19</v>
      </c>
      <c r="H294" s="135" t="s">
        <v>1368</v>
      </c>
      <c r="I294" s="81" t="s">
        <v>1409</v>
      </c>
      <c r="K294" s="81" t="s">
        <v>1411</v>
      </c>
    </row>
    <row r="295" spans="1:11" ht="27.75">
      <c r="A295" s="135" t="s">
        <v>300</v>
      </c>
      <c r="B295" s="135" t="s">
        <v>301</v>
      </c>
      <c r="C295" s="135" t="s">
        <v>31</v>
      </c>
      <c r="D295" s="135" t="s">
        <v>32</v>
      </c>
      <c r="E295" s="135" t="s">
        <v>1362</v>
      </c>
      <c r="F295" s="135" t="s">
        <v>1363</v>
      </c>
      <c r="G295" s="136">
        <v>20</v>
      </c>
      <c r="H295" s="135" t="s">
        <v>1362</v>
      </c>
      <c r="I295" s="81" t="s">
        <v>1409</v>
      </c>
      <c r="K295" s="81" t="s">
        <v>1408</v>
      </c>
    </row>
    <row r="296" spans="1:11" ht="27.75">
      <c r="A296" s="135" t="s">
        <v>1133</v>
      </c>
      <c r="B296" s="135" t="s">
        <v>1134</v>
      </c>
      <c r="C296" s="135" t="s">
        <v>31</v>
      </c>
      <c r="D296" s="135" t="s">
        <v>32</v>
      </c>
      <c r="E296" s="135" t="s">
        <v>1362</v>
      </c>
      <c r="F296" s="135" t="s">
        <v>1363</v>
      </c>
      <c r="G296" s="136">
        <v>20</v>
      </c>
      <c r="H296" s="135" t="s">
        <v>1362</v>
      </c>
      <c r="I296" s="81" t="s">
        <v>1407</v>
      </c>
      <c r="J296" s="81">
        <v>42643</v>
      </c>
      <c r="K296" s="81" t="s">
        <v>1408</v>
      </c>
    </row>
    <row r="297" spans="1:11" ht="27.75">
      <c r="A297" s="135" t="s">
        <v>302</v>
      </c>
      <c r="B297" s="135" t="s">
        <v>303</v>
      </c>
      <c r="C297" s="135" t="s">
        <v>31</v>
      </c>
      <c r="D297" s="135" t="s">
        <v>32</v>
      </c>
      <c r="E297" s="135" t="s">
        <v>1362</v>
      </c>
      <c r="F297" s="135" t="s">
        <v>1363</v>
      </c>
      <c r="G297" s="136">
        <v>20</v>
      </c>
      <c r="H297" s="135" t="s">
        <v>1362</v>
      </c>
      <c r="I297" s="81" t="s">
        <v>1409</v>
      </c>
      <c r="K297" s="81" t="s">
        <v>1408</v>
      </c>
    </row>
    <row r="298" spans="1:11" ht="27.75">
      <c r="A298" s="135" t="s">
        <v>929</v>
      </c>
      <c r="B298" s="135" t="s">
        <v>930</v>
      </c>
      <c r="C298" s="135" t="s">
        <v>31</v>
      </c>
      <c r="D298" s="135" t="s">
        <v>32</v>
      </c>
      <c r="E298" s="135" t="s">
        <v>1362</v>
      </c>
      <c r="F298" s="135" t="s">
        <v>1363</v>
      </c>
      <c r="G298" s="136">
        <v>20</v>
      </c>
      <c r="H298" s="135" t="s">
        <v>1362</v>
      </c>
      <c r="I298" s="81" t="s">
        <v>1409</v>
      </c>
      <c r="K298" s="81" t="s">
        <v>1411</v>
      </c>
    </row>
    <row r="299" spans="1:11" ht="27.75">
      <c r="A299" s="135" t="s">
        <v>304</v>
      </c>
      <c r="B299" s="135" t="s">
        <v>305</v>
      </c>
      <c r="C299" s="135" t="s">
        <v>31</v>
      </c>
      <c r="D299" s="135" t="s">
        <v>32</v>
      </c>
      <c r="E299" s="135" t="s">
        <v>1362</v>
      </c>
      <c r="F299" s="135" t="s">
        <v>1363</v>
      </c>
      <c r="G299" s="136">
        <v>20</v>
      </c>
      <c r="H299" s="135" t="s">
        <v>1362</v>
      </c>
      <c r="I299" s="81" t="s">
        <v>1409</v>
      </c>
      <c r="K299" s="81" t="s">
        <v>1408</v>
      </c>
    </row>
    <row r="300" spans="1:11" ht="27.75">
      <c r="A300" s="135" t="s">
        <v>306</v>
      </c>
      <c r="B300" s="135" t="s">
        <v>307</v>
      </c>
      <c r="C300" s="135" t="s">
        <v>31</v>
      </c>
      <c r="D300" s="135" t="s">
        <v>32</v>
      </c>
      <c r="E300" s="135" t="s">
        <v>1362</v>
      </c>
      <c r="F300" s="135" t="s">
        <v>1363</v>
      </c>
      <c r="G300" s="136">
        <v>20</v>
      </c>
      <c r="H300" s="135" t="s">
        <v>1362</v>
      </c>
      <c r="I300" s="81" t="s">
        <v>1409</v>
      </c>
      <c r="K300" s="81" t="s">
        <v>1408</v>
      </c>
    </row>
    <row r="301" spans="1:11" ht="27.75">
      <c r="A301" s="135" t="s">
        <v>308</v>
      </c>
      <c r="B301" s="135" t="s">
        <v>1500</v>
      </c>
      <c r="C301" s="135" t="s">
        <v>31</v>
      </c>
      <c r="D301" s="135" t="s">
        <v>32</v>
      </c>
      <c r="E301" s="135" t="s">
        <v>1362</v>
      </c>
      <c r="F301" s="135" t="s">
        <v>1363</v>
      </c>
      <c r="G301" s="136">
        <v>20</v>
      </c>
      <c r="H301" s="135" t="s">
        <v>1362</v>
      </c>
      <c r="I301" s="81" t="s">
        <v>1409</v>
      </c>
      <c r="K301" s="81" t="s">
        <v>1408</v>
      </c>
    </row>
    <row r="302" spans="1:11" ht="27.75">
      <c r="A302" s="135" t="s">
        <v>1135</v>
      </c>
      <c r="B302" s="135" t="s">
        <v>1136</v>
      </c>
      <c r="C302" s="135" t="s">
        <v>31</v>
      </c>
      <c r="D302" s="135" t="s">
        <v>32</v>
      </c>
      <c r="E302" s="135" t="s">
        <v>1362</v>
      </c>
      <c r="F302" s="135" t="s">
        <v>1363</v>
      </c>
      <c r="G302" s="136">
        <v>20</v>
      </c>
      <c r="H302" s="135" t="s">
        <v>1362</v>
      </c>
      <c r="I302" s="81" t="s">
        <v>1407</v>
      </c>
      <c r="J302" s="81">
        <v>42643</v>
      </c>
      <c r="K302" s="81" t="s">
        <v>1408</v>
      </c>
    </row>
    <row r="303" spans="1:11" ht="27.75">
      <c r="A303" s="135" t="s">
        <v>1137</v>
      </c>
      <c r="B303" s="135" t="s">
        <v>1138</v>
      </c>
      <c r="C303" s="135" t="s">
        <v>31</v>
      </c>
      <c r="D303" s="135" t="s">
        <v>32</v>
      </c>
      <c r="E303" s="135" t="s">
        <v>1362</v>
      </c>
      <c r="F303" s="135" t="s">
        <v>1363</v>
      </c>
      <c r="G303" s="136">
        <v>20</v>
      </c>
      <c r="H303" s="135" t="s">
        <v>1362</v>
      </c>
      <c r="I303" s="81" t="s">
        <v>1407</v>
      </c>
      <c r="J303" s="81">
        <v>42643</v>
      </c>
      <c r="K303" s="81" t="s">
        <v>1408</v>
      </c>
    </row>
    <row r="304" spans="1:11" ht="27.75">
      <c r="A304" s="135" t="s">
        <v>1139</v>
      </c>
      <c r="B304" s="135" t="s">
        <v>1140</v>
      </c>
      <c r="C304" s="135" t="s">
        <v>31</v>
      </c>
      <c r="D304" s="135" t="s">
        <v>32</v>
      </c>
      <c r="E304" s="135" t="s">
        <v>1362</v>
      </c>
      <c r="F304" s="135" t="s">
        <v>1363</v>
      </c>
      <c r="G304" s="136">
        <v>20</v>
      </c>
      <c r="H304" s="135" t="s">
        <v>1362</v>
      </c>
      <c r="I304" s="81" t="s">
        <v>1407</v>
      </c>
      <c r="J304" s="81">
        <v>42643</v>
      </c>
      <c r="K304" s="81" t="s">
        <v>1408</v>
      </c>
    </row>
    <row r="305" spans="1:11" ht="27.75">
      <c r="A305" s="135" t="s">
        <v>1141</v>
      </c>
      <c r="B305" s="135" t="s">
        <v>1142</v>
      </c>
      <c r="C305" s="135" t="s">
        <v>31</v>
      </c>
      <c r="D305" s="135" t="s">
        <v>32</v>
      </c>
      <c r="E305" s="135" t="s">
        <v>1362</v>
      </c>
      <c r="F305" s="135" t="s">
        <v>1363</v>
      </c>
      <c r="G305" s="136">
        <v>20</v>
      </c>
      <c r="H305" s="135" t="s">
        <v>1362</v>
      </c>
      <c r="I305" s="81" t="s">
        <v>1407</v>
      </c>
      <c r="J305" s="81">
        <v>42643</v>
      </c>
      <c r="K305" s="81" t="s">
        <v>1408</v>
      </c>
    </row>
    <row r="306" spans="1:11" ht="27.75">
      <c r="A306" s="135" t="s">
        <v>1143</v>
      </c>
      <c r="B306" s="135" t="s">
        <v>1144</v>
      </c>
      <c r="C306" s="135" t="s">
        <v>31</v>
      </c>
      <c r="D306" s="135" t="s">
        <v>32</v>
      </c>
      <c r="E306" s="135" t="s">
        <v>1362</v>
      </c>
      <c r="F306" s="135" t="s">
        <v>1363</v>
      </c>
      <c r="G306" s="136">
        <v>20</v>
      </c>
      <c r="H306" s="135" t="s">
        <v>1362</v>
      </c>
      <c r="I306" s="81" t="s">
        <v>1407</v>
      </c>
      <c r="J306" s="81">
        <v>42643</v>
      </c>
      <c r="K306" s="81" t="s">
        <v>1408</v>
      </c>
    </row>
    <row r="307" spans="1:11" ht="27.75">
      <c r="A307" s="135" t="s">
        <v>309</v>
      </c>
      <c r="B307" s="135" t="s">
        <v>310</v>
      </c>
      <c r="C307" s="135" t="s">
        <v>31</v>
      </c>
      <c r="D307" s="135" t="s">
        <v>32</v>
      </c>
      <c r="E307" s="135" t="s">
        <v>1362</v>
      </c>
      <c r="F307" s="135" t="s">
        <v>1363</v>
      </c>
      <c r="G307" s="136">
        <v>20</v>
      </c>
      <c r="H307" s="135" t="s">
        <v>1362</v>
      </c>
      <c r="I307" s="81" t="s">
        <v>1409</v>
      </c>
      <c r="K307" s="81" t="s">
        <v>1408</v>
      </c>
    </row>
    <row r="308" spans="1:11" ht="27.75">
      <c r="A308" s="135" t="s">
        <v>1145</v>
      </c>
      <c r="B308" s="135" t="s">
        <v>1146</v>
      </c>
      <c r="C308" s="135" t="s">
        <v>31</v>
      </c>
      <c r="D308" s="135" t="s">
        <v>32</v>
      </c>
      <c r="E308" s="135" t="s">
        <v>1362</v>
      </c>
      <c r="F308" s="135" t="s">
        <v>1363</v>
      </c>
      <c r="G308" s="136">
        <v>20</v>
      </c>
      <c r="H308" s="135" t="s">
        <v>1362</v>
      </c>
      <c r="I308" s="81" t="s">
        <v>1407</v>
      </c>
      <c r="J308" s="81">
        <v>42643</v>
      </c>
      <c r="K308" s="81" t="s">
        <v>1408</v>
      </c>
    </row>
    <row r="309" spans="1:11" ht="27.75">
      <c r="A309" s="135" t="s">
        <v>311</v>
      </c>
      <c r="B309" s="135" t="s">
        <v>312</v>
      </c>
      <c r="C309" s="135" t="s">
        <v>31</v>
      </c>
      <c r="D309" s="135" t="s">
        <v>32</v>
      </c>
      <c r="E309" s="135" t="s">
        <v>1362</v>
      </c>
      <c r="F309" s="135" t="s">
        <v>1363</v>
      </c>
      <c r="G309" s="136">
        <v>20</v>
      </c>
      <c r="H309" s="135" t="s">
        <v>1362</v>
      </c>
      <c r="I309" s="81" t="s">
        <v>1409</v>
      </c>
      <c r="K309" s="81" t="s">
        <v>1408</v>
      </c>
    </row>
    <row r="310" spans="1:11" ht="27.75">
      <c r="A310" s="135" t="s">
        <v>313</v>
      </c>
      <c r="B310" s="135" t="s">
        <v>314</v>
      </c>
      <c r="C310" s="135" t="s">
        <v>31</v>
      </c>
      <c r="D310" s="135" t="s">
        <v>32</v>
      </c>
      <c r="E310" s="135" t="s">
        <v>1362</v>
      </c>
      <c r="F310" s="135" t="s">
        <v>1363</v>
      </c>
      <c r="G310" s="136">
        <v>20</v>
      </c>
      <c r="H310" s="135" t="s">
        <v>1362</v>
      </c>
      <c r="I310" s="81" t="s">
        <v>1409</v>
      </c>
      <c r="K310" s="81" t="s">
        <v>1408</v>
      </c>
    </row>
    <row r="311" spans="1:11" ht="27.75">
      <c r="A311" s="135" t="s">
        <v>1147</v>
      </c>
      <c r="B311" s="135" t="s">
        <v>1148</v>
      </c>
      <c r="C311" s="135" t="s">
        <v>31</v>
      </c>
      <c r="D311" s="135" t="s">
        <v>32</v>
      </c>
      <c r="E311" s="135" t="s">
        <v>1362</v>
      </c>
      <c r="F311" s="135" t="s">
        <v>1363</v>
      </c>
      <c r="G311" s="136">
        <v>20</v>
      </c>
      <c r="H311" s="135" t="s">
        <v>1362</v>
      </c>
      <c r="I311" s="81" t="s">
        <v>1407</v>
      </c>
      <c r="J311" s="81">
        <v>42643</v>
      </c>
      <c r="K311" s="81" t="s">
        <v>1408</v>
      </c>
    </row>
    <row r="312" spans="1:11" ht="27.75">
      <c r="A312" s="135" t="s">
        <v>315</v>
      </c>
      <c r="B312" s="135" t="s">
        <v>301</v>
      </c>
      <c r="C312" s="135" t="s">
        <v>31</v>
      </c>
      <c r="D312" s="135" t="s">
        <v>32</v>
      </c>
      <c r="E312" s="135" t="s">
        <v>1362</v>
      </c>
      <c r="F312" s="135" t="s">
        <v>1363</v>
      </c>
      <c r="G312" s="136">
        <v>20</v>
      </c>
      <c r="H312" s="135" t="s">
        <v>1362</v>
      </c>
      <c r="I312" s="81" t="s">
        <v>1409</v>
      </c>
      <c r="K312" s="81" t="s">
        <v>1408</v>
      </c>
    </row>
    <row r="313" spans="1:11" ht="27.75">
      <c r="A313" s="135" t="s">
        <v>1149</v>
      </c>
      <c r="B313" s="135" t="s">
        <v>1134</v>
      </c>
      <c r="C313" s="135" t="s">
        <v>31</v>
      </c>
      <c r="D313" s="135" t="s">
        <v>32</v>
      </c>
      <c r="E313" s="135" t="s">
        <v>1362</v>
      </c>
      <c r="F313" s="135" t="s">
        <v>1363</v>
      </c>
      <c r="G313" s="136">
        <v>20</v>
      </c>
      <c r="H313" s="135" t="s">
        <v>1362</v>
      </c>
      <c r="I313" s="81" t="s">
        <v>1407</v>
      </c>
      <c r="J313" s="81">
        <v>42643</v>
      </c>
      <c r="K313" s="81" t="s">
        <v>1408</v>
      </c>
    </row>
    <row r="314" spans="1:11" ht="27.75">
      <c r="A314" s="135" t="s">
        <v>316</v>
      </c>
      <c r="B314" s="135" t="s">
        <v>317</v>
      </c>
      <c r="C314" s="135" t="s">
        <v>31</v>
      </c>
      <c r="D314" s="135" t="s">
        <v>32</v>
      </c>
      <c r="E314" s="135" t="s">
        <v>1362</v>
      </c>
      <c r="F314" s="135" t="s">
        <v>1363</v>
      </c>
      <c r="G314" s="136">
        <v>20</v>
      </c>
      <c r="H314" s="135" t="s">
        <v>1362</v>
      </c>
      <c r="I314" s="81" t="s">
        <v>1409</v>
      </c>
      <c r="K314" s="81" t="s">
        <v>1408</v>
      </c>
    </row>
    <row r="315" spans="1:11" ht="27.75">
      <c r="A315" s="135" t="s">
        <v>931</v>
      </c>
      <c r="B315" s="135" t="s">
        <v>932</v>
      </c>
      <c r="C315" s="135" t="s">
        <v>31</v>
      </c>
      <c r="D315" s="135" t="s">
        <v>32</v>
      </c>
      <c r="E315" s="135" t="s">
        <v>1362</v>
      </c>
      <c r="F315" s="135" t="s">
        <v>1363</v>
      </c>
      <c r="G315" s="136">
        <v>20</v>
      </c>
      <c r="H315" s="135" t="s">
        <v>1362</v>
      </c>
      <c r="I315" s="81" t="s">
        <v>1409</v>
      </c>
      <c r="K315" s="81" t="s">
        <v>1411</v>
      </c>
    </row>
    <row r="316" spans="1:11" ht="27.75">
      <c r="A316" s="135" t="s">
        <v>318</v>
      </c>
      <c r="B316" s="135" t="s">
        <v>319</v>
      </c>
      <c r="C316" s="135" t="s">
        <v>31</v>
      </c>
      <c r="D316" s="135" t="s">
        <v>32</v>
      </c>
      <c r="E316" s="135" t="s">
        <v>1362</v>
      </c>
      <c r="F316" s="135" t="s">
        <v>1363</v>
      </c>
      <c r="G316" s="136">
        <v>20</v>
      </c>
      <c r="H316" s="135" t="s">
        <v>1362</v>
      </c>
      <c r="I316" s="81" t="s">
        <v>1409</v>
      </c>
      <c r="K316" s="81" t="s">
        <v>1408</v>
      </c>
    </row>
    <row r="317" spans="1:11" ht="27.75">
      <c r="A317" s="135" t="s">
        <v>320</v>
      </c>
      <c r="B317" s="135" t="s">
        <v>321</v>
      </c>
      <c r="C317" s="135" t="s">
        <v>31</v>
      </c>
      <c r="D317" s="135" t="s">
        <v>32</v>
      </c>
      <c r="E317" s="135" t="s">
        <v>1362</v>
      </c>
      <c r="F317" s="135" t="s">
        <v>1363</v>
      </c>
      <c r="G317" s="136">
        <v>20</v>
      </c>
      <c r="H317" s="135" t="s">
        <v>1362</v>
      </c>
      <c r="I317" s="81" t="s">
        <v>1409</v>
      </c>
      <c r="K317" s="81" t="s">
        <v>1408</v>
      </c>
    </row>
    <row r="318" spans="1:11" ht="27.75">
      <c r="A318" s="135" t="s">
        <v>322</v>
      </c>
      <c r="B318" s="135" t="s">
        <v>323</v>
      </c>
      <c r="C318" s="135" t="s">
        <v>31</v>
      </c>
      <c r="D318" s="135" t="s">
        <v>32</v>
      </c>
      <c r="E318" s="135" t="s">
        <v>1362</v>
      </c>
      <c r="F318" s="135" t="s">
        <v>1363</v>
      </c>
      <c r="G318" s="136">
        <v>20</v>
      </c>
      <c r="H318" s="135" t="s">
        <v>1362</v>
      </c>
      <c r="I318" s="81" t="s">
        <v>1409</v>
      </c>
      <c r="K318" s="81" t="s">
        <v>1408</v>
      </c>
    </row>
    <row r="319" spans="1:11" ht="27.75">
      <c r="A319" s="135" t="s">
        <v>324</v>
      </c>
      <c r="B319" s="135" t="s">
        <v>325</v>
      </c>
      <c r="C319" s="135" t="s">
        <v>31</v>
      </c>
      <c r="D319" s="135" t="s">
        <v>32</v>
      </c>
      <c r="E319" s="135" t="s">
        <v>1362</v>
      </c>
      <c r="F319" s="135" t="s">
        <v>1363</v>
      </c>
      <c r="G319" s="136">
        <v>20</v>
      </c>
      <c r="H319" s="135" t="s">
        <v>1362</v>
      </c>
      <c r="I319" s="81" t="s">
        <v>1409</v>
      </c>
      <c r="K319" s="81" t="s">
        <v>1408</v>
      </c>
    </row>
    <row r="320" spans="1:11" ht="27.75">
      <c r="A320" s="135" t="s">
        <v>1150</v>
      </c>
      <c r="B320" s="135" t="s">
        <v>1151</v>
      </c>
      <c r="C320" s="135" t="s">
        <v>31</v>
      </c>
      <c r="D320" s="135" t="s">
        <v>32</v>
      </c>
      <c r="E320" s="135" t="s">
        <v>1362</v>
      </c>
      <c r="F320" s="135" t="s">
        <v>1363</v>
      </c>
      <c r="G320" s="136">
        <v>20</v>
      </c>
      <c r="H320" s="135" t="s">
        <v>1362</v>
      </c>
      <c r="I320" s="81" t="s">
        <v>1407</v>
      </c>
      <c r="J320" s="81">
        <v>42643</v>
      </c>
      <c r="K320" s="81" t="s">
        <v>1408</v>
      </c>
    </row>
    <row r="321" spans="1:11" ht="27.75">
      <c r="A321" s="135" t="s">
        <v>1152</v>
      </c>
      <c r="B321" s="135" t="s">
        <v>1153</v>
      </c>
      <c r="C321" s="135" t="s">
        <v>31</v>
      </c>
      <c r="D321" s="135" t="s">
        <v>32</v>
      </c>
      <c r="E321" s="135" t="s">
        <v>1362</v>
      </c>
      <c r="F321" s="135" t="s">
        <v>1363</v>
      </c>
      <c r="G321" s="136">
        <v>20</v>
      </c>
      <c r="H321" s="135" t="s">
        <v>1362</v>
      </c>
      <c r="I321" s="81" t="s">
        <v>1407</v>
      </c>
      <c r="J321" s="81">
        <v>42643</v>
      </c>
      <c r="K321" s="81" t="s">
        <v>1408</v>
      </c>
    </row>
    <row r="322" spans="1:11" ht="27.75">
      <c r="A322" s="135" t="s">
        <v>326</v>
      </c>
      <c r="B322" s="135" t="s">
        <v>327</v>
      </c>
      <c r="C322" s="135" t="s">
        <v>31</v>
      </c>
      <c r="D322" s="135" t="s">
        <v>32</v>
      </c>
      <c r="E322" s="135" t="s">
        <v>1362</v>
      </c>
      <c r="F322" s="135" t="s">
        <v>1363</v>
      </c>
      <c r="G322" s="136">
        <v>20</v>
      </c>
      <c r="H322" s="135" t="s">
        <v>1362</v>
      </c>
      <c r="I322" s="81" t="s">
        <v>1409</v>
      </c>
      <c r="K322" s="81" t="s">
        <v>1408</v>
      </c>
    </row>
    <row r="323" spans="1:11" ht="27.75">
      <c r="A323" s="135" t="s">
        <v>328</v>
      </c>
      <c r="B323" s="135" t="s">
        <v>329</v>
      </c>
      <c r="C323" s="135" t="s">
        <v>33</v>
      </c>
      <c r="D323" s="135" t="s">
        <v>34</v>
      </c>
      <c r="E323" s="135" t="s">
        <v>1370</v>
      </c>
      <c r="F323" s="135" t="s">
        <v>1371</v>
      </c>
      <c r="G323" s="136">
        <v>21</v>
      </c>
      <c r="H323" s="135" t="s">
        <v>1370</v>
      </c>
      <c r="I323" s="81" t="s">
        <v>1409</v>
      </c>
      <c r="K323" s="81" t="s">
        <v>1408</v>
      </c>
    </row>
    <row r="324" spans="1:11" ht="27.75">
      <c r="A324" s="135" t="s">
        <v>330</v>
      </c>
      <c r="B324" s="135" t="s">
        <v>331</v>
      </c>
      <c r="C324" s="135" t="s">
        <v>33</v>
      </c>
      <c r="D324" s="135" t="s">
        <v>34</v>
      </c>
      <c r="E324" s="135" t="s">
        <v>1370</v>
      </c>
      <c r="F324" s="135" t="s">
        <v>1371</v>
      </c>
      <c r="G324" s="136">
        <v>21</v>
      </c>
      <c r="H324" s="135" t="s">
        <v>1370</v>
      </c>
      <c r="I324" s="81" t="s">
        <v>1409</v>
      </c>
      <c r="K324" s="81" t="s">
        <v>1408</v>
      </c>
    </row>
    <row r="325" spans="1:11" ht="27.75">
      <c r="A325" s="135" t="s">
        <v>332</v>
      </c>
      <c r="B325" s="135" t="s">
        <v>333</v>
      </c>
      <c r="C325" s="135" t="s">
        <v>33</v>
      </c>
      <c r="D325" s="135" t="s">
        <v>34</v>
      </c>
      <c r="E325" s="135" t="s">
        <v>1370</v>
      </c>
      <c r="F325" s="135" t="s">
        <v>1371</v>
      </c>
      <c r="G325" s="136">
        <v>21</v>
      </c>
      <c r="H325" s="135" t="s">
        <v>1370</v>
      </c>
      <c r="I325" s="81" t="s">
        <v>1409</v>
      </c>
      <c r="K325" s="81" t="s">
        <v>1408</v>
      </c>
    </row>
    <row r="326" spans="1:11" ht="27.75">
      <c r="A326" s="135" t="s">
        <v>1154</v>
      </c>
      <c r="B326" s="135" t="s">
        <v>1155</v>
      </c>
      <c r="C326" s="135" t="s">
        <v>33</v>
      </c>
      <c r="D326" s="135" t="s">
        <v>34</v>
      </c>
      <c r="E326" s="135" t="s">
        <v>1370</v>
      </c>
      <c r="F326" s="135" t="s">
        <v>1371</v>
      </c>
      <c r="G326" s="136">
        <v>21</v>
      </c>
      <c r="H326" s="135" t="s">
        <v>1370</v>
      </c>
      <c r="I326" s="81" t="s">
        <v>1407</v>
      </c>
      <c r="J326" s="81">
        <v>42643</v>
      </c>
      <c r="K326" s="81" t="s">
        <v>1408</v>
      </c>
    </row>
    <row r="327" spans="1:11" ht="27.75">
      <c r="A327" s="135" t="s">
        <v>1156</v>
      </c>
      <c r="B327" s="135" t="s">
        <v>1157</v>
      </c>
      <c r="C327" s="135" t="s">
        <v>33</v>
      </c>
      <c r="D327" s="135" t="s">
        <v>34</v>
      </c>
      <c r="E327" s="135" t="s">
        <v>1370</v>
      </c>
      <c r="F327" s="135" t="s">
        <v>1371</v>
      </c>
      <c r="G327" s="136">
        <v>21</v>
      </c>
      <c r="H327" s="135" t="s">
        <v>1370</v>
      </c>
      <c r="I327" s="81" t="s">
        <v>1407</v>
      </c>
      <c r="J327" s="81">
        <v>42643</v>
      </c>
      <c r="K327" s="81" t="s">
        <v>1408</v>
      </c>
    </row>
    <row r="328" spans="1:11" ht="27.75">
      <c r="A328" s="135" t="s">
        <v>1158</v>
      </c>
      <c r="B328" s="135" t="s">
        <v>1159</v>
      </c>
      <c r="C328" s="135" t="s">
        <v>33</v>
      </c>
      <c r="D328" s="135" t="s">
        <v>34</v>
      </c>
      <c r="E328" s="135" t="s">
        <v>1370</v>
      </c>
      <c r="F328" s="135" t="s">
        <v>1371</v>
      </c>
      <c r="G328" s="136">
        <v>21</v>
      </c>
      <c r="H328" s="135" t="s">
        <v>1370</v>
      </c>
      <c r="I328" s="81" t="s">
        <v>1407</v>
      </c>
      <c r="J328" s="81">
        <v>42643</v>
      </c>
      <c r="K328" s="81" t="s">
        <v>1408</v>
      </c>
    </row>
    <row r="329" spans="1:11" ht="27.75">
      <c r="A329" s="135" t="s">
        <v>933</v>
      </c>
      <c r="B329" s="135" t="s">
        <v>399</v>
      </c>
      <c r="C329" s="135" t="s">
        <v>37</v>
      </c>
      <c r="D329" s="135" t="s">
        <v>38</v>
      </c>
      <c r="E329" s="135" t="s">
        <v>1382</v>
      </c>
      <c r="F329" s="135" t="s">
        <v>1383</v>
      </c>
      <c r="G329" s="136">
        <v>23</v>
      </c>
      <c r="H329" s="135" t="s">
        <v>1382</v>
      </c>
      <c r="I329" s="81" t="s">
        <v>1409</v>
      </c>
      <c r="K329" s="81" t="s">
        <v>1411</v>
      </c>
    </row>
    <row r="330" spans="1:11" ht="27.75">
      <c r="A330" s="135" t="s">
        <v>934</v>
      </c>
      <c r="B330" s="135" t="s">
        <v>400</v>
      </c>
      <c r="C330" s="135" t="s">
        <v>37</v>
      </c>
      <c r="D330" s="135" t="s">
        <v>38</v>
      </c>
      <c r="E330" s="135" t="s">
        <v>1382</v>
      </c>
      <c r="F330" s="135" t="s">
        <v>1383</v>
      </c>
      <c r="G330" s="136">
        <v>23</v>
      </c>
      <c r="H330" s="135" t="s">
        <v>1382</v>
      </c>
      <c r="I330" s="81" t="s">
        <v>1409</v>
      </c>
      <c r="K330" s="81" t="s">
        <v>1411</v>
      </c>
    </row>
    <row r="331" spans="1:11" ht="27.75">
      <c r="A331" s="135" t="s">
        <v>935</v>
      </c>
      <c r="B331" s="135" t="s">
        <v>401</v>
      </c>
      <c r="C331" s="135" t="s">
        <v>37</v>
      </c>
      <c r="D331" s="135" t="s">
        <v>38</v>
      </c>
      <c r="E331" s="135" t="s">
        <v>1382</v>
      </c>
      <c r="F331" s="135" t="s">
        <v>1383</v>
      </c>
      <c r="G331" s="136">
        <v>23</v>
      </c>
      <c r="H331" s="135" t="s">
        <v>1382</v>
      </c>
      <c r="I331" s="81" t="s">
        <v>1409</v>
      </c>
      <c r="K331" s="81" t="s">
        <v>1411</v>
      </c>
    </row>
    <row r="332" spans="1:11" ht="27.75">
      <c r="A332" s="135" t="s">
        <v>936</v>
      </c>
      <c r="B332" s="135" t="s">
        <v>402</v>
      </c>
      <c r="C332" s="135" t="s">
        <v>37</v>
      </c>
      <c r="D332" s="135" t="s">
        <v>38</v>
      </c>
      <c r="E332" s="135" t="s">
        <v>1382</v>
      </c>
      <c r="F332" s="135" t="s">
        <v>1383</v>
      </c>
      <c r="G332" s="136">
        <v>23</v>
      </c>
      <c r="H332" s="135" t="s">
        <v>1382</v>
      </c>
      <c r="I332" s="81" t="s">
        <v>1409</v>
      </c>
      <c r="K332" s="81" t="s">
        <v>1411</v>
      </c>
    </row>
    <row r="333" spans="1:11" ht="27.75">
      <c r="A333" s="135" t="s">
        <v>937</v>
      </c>
      <c r="B333" s="135" t="s">
        <v>403</v>
      </c>
      <c r="C333" s="135" t="s">
        <v>37</v>
      </c>
      <c r="D333" s="135" t="s">
        <v>38</v>
      </c>
      <c r="E333" s="135" t="s">
        <v>1382</v>
      </c>
      <c r="F333" s="135" t="s">
        <v>1383</v>
      </c>
      <c r="G333" s="136">
        <v>23</v>
      </c>
      <c r="H333" s="135" t="s">
        <v>1382</v>
      </c>
      <c r="I333" s="81" t="s">
        <v>1409</v>
      </c>
      <c r="K333" s="81" t="s">
        <v>1411</v>
      </c>
    </row>
    <row r="334" spans="1:11" ht="27.75">
      <c r="A334" s="135" t="s">
        <v>938</v>
      </c>
      <c r="B334" s="135" t="s">
        <v>404</v>
      </c>
      <c r="C334" s="135" t="s">
        <v>37</v>
      </c>
      <c r="D334" s="135" t="s">
        <v>38</v>
      </c>
      <c r="E334" s="135" t="s">
        <v>1382</v>
      </c>
      <c r="F334" s="135" t="s">
        <v>1383</v>
      </c>
      <c r="G334" s="136">
        <v>23</v>
      </c>
      <c r="H334" s="135" t="s">
        <v>1382</v>
      </c>
      <c r="I334" s="81" t="s">
        <v>1409</v>
      </c>
      <c r="K334" s="81" t="s">
        <v>1411</v>
      </c>
    </row>
    <row r="335" spans="1:11" ht="27.75">
      <c r="A335" s="135" t="s">
        <v>939</v>
      </c>
      <c r="B335" s="135" t="s">
        <v>409</v>
      </c>
      <c r="C335" s="135" t="s">
        <v>37</v>
      </c>
      <c r="D335" s="135" t="s">
        <v>38</v>
      </c>
      <c r="E335" s="135" t="s">
        <v>1382</v>
      </c>
      <c r="F335" s="135" t="s">
        <v>1383</v>
      </c>
      <c r="G335" s="136">
        <v>23</v>
      </c>
      <c r="H335" s="135" t="s">
        <v>1382</v>
      </c>
      <c r="I335" s="81" t="s">
        <v>1409</v>
      </c>
      <c r="K335" s="81" t="s">
        <v>1411</v>
      </c>
    </row>
    <row r="336" spans="1:11" ht="27.75">
      <c r="A336" s="135" t="s">
        <v>940</v>
      </c>
      <c r="B336" s="135" t="s">
        <v>410</v>
      </c>
      <c r="C336" s="135" t="s">
        <v>37</v>
      </c>
      <c r="D336" s="135" t="s">
        <v>38</v>
      </c>
      <c r="E336" s="135" t="s">
        <v>1382</v>
      </c>
      <c r="F336" s="135" t="s">
        <v>1383</v>
      </c>
      <c r="G336" s="136">
        <v>23</v>
      </c>
      <c r="H336" s="135" t="s">
        <v>1382</v>
      </c>
      <c r="I336" s="81" t="s">
        <v>1409</v>
      </c>
      <c r="K336" s="81" t="s">
        <v>1411</v>
      </c>
    </row>
    <row r="337" spans="1:11" ht="27.75">
      <c r="A337" s="135" t="s">
        <v>941</v>
      </c>
      <c r="B337" s="135" t="s">
        <v>411</v>
      </c>
      <c r="C337" s="135" t="s">
        <v>37</v>
      </c>
      <c r="D337" s="135" t="s">
        <v>38</v>
      </c>
      <c r="E337" s="135" t="s">
        <v>1382</v>
      </c>
      <c r="F337" s="135" t="s">
        <v>1383</v>
      </c>
      <c r="G337" s="136">
        <v>23</v>
      </c>
      <c r="H337" s="135" t="s">
        <v>1382</v>
      </c>
      <c r="I337" s="81" t="s">
        <v>1409</v>
      </c>
      <c r="K337" s="81" t="s">
        <v>1411</v>
      </c>
    </row>
    <row r="338" spans="1:11" ht="27.75">
      <c r="A338" s="135" t="s">
        <v>334</v>
      </c>
      <c r="B338" s="135" t="s">
        <v>335</v>
      </c>
      <c r="C338" s="135" t="s">
        <v>33</v>
      </c>
      <c r="D338" s="135" t="s">
        <v>34</v>
      </c>
      <c r="E338" s="135" t="s">
        <v>1372</v>
      </c>
      <c r="F338" s="135" t="s">
        <v>1373</v>
      </c>
      <c r="G338" s="136">
        <v>21</v>
      </c>
      <c r="H338" s="135" t="s">
        <v>1372</v>
      </c>
      <c r="I338" s="81" t="s">
        <v>1409</v>
      </c>
      <c r="K338" s="81" t="s">
        <v>1408</v>
      </c>
    </row>
    <row r="339" spans="1:11" ht="27.75">
      <c r="A339" s="135" t="s">
        <v>336</v>
      </c>
      <c r="B339" s="135" t="s">
        <v>337</v>
      </c>
      <c r="C339" s="135" t="s">
        <v>33</v>
      </c>
      <c r="D339" s="135" t="s">
        <v>34</v>
      </c>
      <c r="E339" s="135" t="s">
        <v>1372</v>
      </c>
      <c r="F339" s="135" t="s">
        <v>1373</v>
      </c>
      <c r="G339" s="136">
        <v>21</v>
      </c>
      <c r="H339" s="135" t="s">
        <v>1372</v>
      </c>
      <c r="I339" s="81" t="s">
        <v>1409</v>
      </c>
      <c r="K339" s="81" t="s">
        <v>1408</v>
      </c>
    </row>
    <row r="340" spans="1:11" ht="27.75">
      <c r="A340" s="135" t="s">
        <v>338</v>
      </c>
      <c r="B340" s="135" t="s">
        <v>339</v>
      </c>
      <c r="C340" s="135" t="s">
        <v>33</v>
      </c>
      <c r="D340" s="135" t="s">
        <v>34</v>
      </c>
      <c r="E340" s="135" t="s">
        <v>1372</v>
      </c>
      <c r="F340" s="135" t="s">
        <v>1373</v>
      </c>
      <c r="G340" s="136">
        <v>21</v>
      </c>
      <c r="H340" s="135" t="s">
        <v>1372</v>
      </c>
      <c r="I340" s="81" t="s">
        <v>1409</v>
      </c>
      <c r="K340" s="81" t="s">
        <v>1408</v>
      </c>
    </row>
    <row r="341" spans="1:11" ht="27.75">
      <c r="A341" s="135" t="s">
        <v>340</v>
      </c>
      <c r="B341" s="135" t="s">
        <v>341</v>
      </c>
      <c r="C341" s="135" t="s">
        <v>33</v>
      </c>
      <c r="D341" s="135" t="s">
        <v>34</v>
      </c>
      <c r="E341" s="135" t="s">
        <v>1372</v>
      </c>
      <c r="F341" s="135" t="s">
        <v>1373</v>
      </c>
      <c r="G341" s="136">
        <v>21</v>
      </c>
      <c r="H341" s="135" t="s">
        <v>1372</v>
      </c>
      <c r="I341" s="81" t="s">
        <v>1409</v>
      </c>
      <c r="K341" s="81" t="s">
        <v>1408</v>
      </c>
    </row>
    <row r="342" spans="1:11" ht="27.75">
      <c r="A342" s="135" t="s">
        <v>342</v>
      </c>
      <c r="B342" s="135" t="s">
        <v>343</v>
      </c>
      <c r="C342" s="135" t="s">
        <v>33</v>
      </c>
      <c r="D342" s="135" t="s">
        <v>34</v>
      </c>
      <c r="E342" s="135" t="s">
        <v>1372</v>
      </c>
      <c r="F342" s="135" t="s">
        <v>1373</v>
      </c>
      <c r="G342" s="136">
        <v>21</v>
      </c>
      <c r="H342" s="135" t="s">
        <v>1372</v>
      </c>
      <c r="I342" s="81" t="s">
        <v>1409</v>
      </c>
      <c r="K342" s="81" t="s">
        <v>1408</v>
      </c>
    </row>
    <row r="343" spans="1:11" ht="27.75">
      <c r="A343" s="135" t="s">
        <v>344</v>
      </c>
      <c r="B343" s="135" t="s">
        <v>345</v>
      </c>
      <c r="C343" s="135" t="s">
        <v>33</v>
      </c>
      <c r="D343" s="135" t="s">
        <v>34</v>
      </c>
      <c r="E343" s="135" t="s">
        <v>1372</v>
      </c>
      <c r="F343" s="135" t="s">
        <v>1373</v>
      </c>
      <c r="G343" s="136">
        <v>21</v>
      </c>
      <c r="H343" s="135" t="s">
        <v>1372</v>
      </c>
      <c r="I343" s="81" t="s">
        <v>1409</v>
      </c>
      <c r="K343" s="81" t="s">
        <v>1408</v>
      </c>
    </row>
    <row r="344" spans="1:11" ht="27.75">
      <c r="A344" s="135" t="s">
        <v>346</v>
      </c>
      <c r="B344" s="135" t="s">
        <v>347</v>
      </c>
      <c r="C344" s="135" t="s">
        <v>33</v>
      </c>
      <c r="D344" s="135" t="s">
        <v>34</v>
      </c>
      <c r="E344" s="135" t="s">
        <v>1372</v>
      </c>
      <c r="F344" s="135" t="s">
        <v>1373</v>
      </c>
      <c r="G344" s="136">
        <v>21</v>
      </c>
      <c r="H344" s="135" t="s">
        <v>1372</v>
      </c>
      <c r="I344" s="81" t="s">
        <v>1409</v>
      </c>
      <c r="K344" s="81" t="s">
        <v>1408</v>
      </c>
    </row>
    <row r="345" spans="1:11" ht="27.75">
      <c r="A345" s="135" t="s">
        <v>348</v>
      </c>
      <c r="B345" s="135" t="s">
        <v>349</v>
      </c>
      <c r="C345" s="135" t="s">
        <v>33</v>
      </c>
      <c r="D345" s="135" t="s">
        <v>34</v>
      </c>
      <c r="E345" s="135" t="s">
        <v>1372</v>
      </c>
      <c r="F345" s="135" t="s">
        <v>1373</v>
      </c>
      <c r="G345" s="136">
        <v>21</v>
      </c>
      <c r="H345" s="135" t="s">
        <v>1372</v>
      </c>
      <c r="I345" s="81" t="s">
        <v>1409</v>
      </c>
      <c r="K345" s="81" t="s">
        <v>1408</v>
      </c>
    </row>
    <row r="346" spans="1:11" ht="27.75">
      <c r="A346" s="135" t="s">
        <v>350</v>
      </c>
      <c r="B346" s="135" t="s">
        <v>351</v>
      </c>
      <c r="C346" s="135" t="s">
        <v>33</v>
      </c>
      <c r="D346" s="135" t="s">
        <v>34</v>
      </c>
      <c r="E346" s="135" t="s">
        <v>1374</v>
      </c>
      <c r="F346" s="135" t="s">
        <v>1375</v>
      </c>
      <c r="G346" s="136">
        <v>21</v>
      </c>
      <c r="H346" s="135" t="s">
        <v>1374</v>
      </c>
      <c r="I346" s="81" t="s">
        <v>1409</v>
      </c>
      <c r="K346" s="81" t="s">
        <v>1408</v>
      </c>
    </row>
    <row r="347" spans="1:11" ht="27.75">
      <c r="A347" s="135" t="s">
        <v>352</v>
      </c>
      <c r="B347" s="135" t="s">
        <v>353</v>
      </c>
      <c r="C347" s="135" t="s">
        <v>33</v>
      </c>
      <c r="D347" s="135" t="s">
        <v>34</v>
      </c>
      <c r="E347" s="135" t="s">
        <v>1374</v>
      </c>
      <c r="F347" s="135" t="s">
        <v>1375</v>
      </c>
      <c r="G347" s="136">
        <v>21</v>
      </c>
      <c r="H347" s="135" t="s">
        <v>1374</v>
      </c>
      <c r="I347" s="81" t="s">
        <v>1409</v>
      </c>
      <c r="K347" s="81" t="s">
        <v>1408</v>
      </c>
    </row>
    <row r="348" spans="1:11" ht="27.75">
      <c r="A348" s="135" t="s">
        <v>354</v>
      </c>
      <c r="B348" s="135" t="s">
        <v>1501</v>
      </c>
      <c r="C348" s="135" t="s">
        <v>33</v>
      </c>
      <c r="D348" s="135" t="s">
        <v>34</v>
      </c>
      <c r="E348" s="135" t="s">
        <v>1374</v>
      </c>
      <c r="F348" s="135" t="s">
        <v>1375</v>
      </c>
      <c r="G348" s="136">
        <v>21</v>
      </c>
      <c r="H348" s="135" t="s">
        <v>1374</v>
      </c>
      <c r="I348" s="81" t="s">
        <v>1409</v>
      </c>
      <c r="K348" s="81" t="s">
        <v>1408</v>
      </c>
    </row>
    <row r="349" spans="1:11" ht="27.75">
      <c r="A349" s="135" t="s">
        <v>355</v>
      </c>
      <c r="B349" s="135" t="s">
        <v>356</v>
      </c>
      <c r="C349" s="135" t="s">
        <v>33</v>
      </c>
      <c r="D349" s="135" t="s">
        <v>34</v>
      </c>
      <c r="E349" s="135" t="s">
        <v>1374</v>
      </c>
      <c r="F349" s="135" t="s">
        <v>1375</v>
      </c>
      <c r="G349" s="136">
        <v>21</v>
      </c>
      <c r="H349" s="135" t="s">
        <v>1374</v>
      </c>
      <c r="I349" s="81" t="s">
        <v>1409</v>
      </c>
      <c r="K349" s="81" t="s">
        <v>1408</v>
      </c>
    </row>
    <row r="350" spans="1:11" ht="27.75">
      <c r="A350" s="135" t="s">
        <v>357</v>
      </c>
      <c r="B350" s="135" t="s">
        <v>358</v>
      </c>
      <c r="C350" s="135" t="s">
        <v>33</v>
      </c>
      <c r="D350" s="135" t="s">
        <v>34</v>
      </c>
      <c r="E350" s="135" t="s">
        <v>1374</v>
      </c>
      <c r="F350" s="135" t="s">
        <v>1375</v>
      </c>
      <c r="G350" s="136">
        <v>21</v>
      </c>
      <c r="H350" s="135" t="s">
        <v>1374</v>
      </c>
      <c r="I350" s="81" t="s">
        <v>1409</v>
      </c>
      <c r="K350" s="81" t="s">
        <v>1408</v>
      </c>
    </row>
    <row r="351" spans="1:11" ht="27.75">
      <c r="A351" s="135" t="s">
        <v>942</v>
      </c>
      <c r="B351" s="135" t="s">
        <v>943</v>
      </c>
      <c r="C351" s="135" t="s">
        <v>37</v>
      </c>
      <c r="D351" s="135" t="s">
        <v>38</v>
      </c>
      <c r="E351" s="135" t="s">
        <v>1382</v>
      </c>
      <c r="F351" s="135" t="s">
        <v>1383</v>
      </c>
      <c r="G351" s="136">
        <v>23</v>
      </c>
      <c r="H351" s="135" t="s">
        <v>1382</v>
      </c>
      <c r="I351" s="81" t="s">
        <v>1409</v>
      </c>
      <c r="K351" s="81" t="s">
        <v>1411</v>
      </c>
    </row>
    <row r="352" spans="1:11" ht="27.75">
      <c r="A352" s="135" t="s">
        <v>359</v>
      </c>
      <c r="B352" s="135" t="s">
        <v>360</v>
      </c>
      <c r="C352" s="135" t="s">
        <v>33</v>
      </c>
      <c r="D352" s="135" t="s">
        <v>34</v>
      </c>
      <c r="E352" s="135" t="s">
        <v>1376</v>
      </c>
      <c r="F352" s="135" t="s">
        <v>1377</v>
      </c>
      <c r="G352" s="136">
        <v>21</v>
      </c>
      <c r="H352" s="135" t="s">
        <v>1376</v>
      </c>
      <c r="I352" s="81" t="s">
        <v>1409</v>
      </c>
      <c r="K352" s="81" t="s">
        <v>1408</v>
      </c>
    </row>
    <row r="353" spans="1:11" ht="27.75">
      <c r="A353" s="135" t="s">
        <v>361</v>
      </c>
      <c r="B353" s="135" t="s">
        <v>362</v>
      </c>
      <c r="C353" s="135" t="s">
        <v>33</v>
      </c>
      <c r="D353" s="135" t="s">
        <v>34</v>
      </c>
      <c r="E353" s="135" t="s">
        <v>1376</v>
      </c>
      <c r="F353" s="135" t="s">
        <v>1377</v>
      </c>
      <c r="G353" s="136">
        <v>21</v>
      </c>
      <c r="H353" s="135" t="s">
        <v>1376</v>
      </c>
      <c r="I353" s="81" t="s">
        <v>1409</v>
      </c>
      <c r="K353" s="81" t="s">
        <v>1408</v>
      </c>
    </row>
    <row r="354" spans="1:11" ht="27.75">
      <c r="A354" s="135" t="s">
        <v>363</v>
      </c>
      <c r="B354" s="135" t="s">
        <v>364</v>
      </c>
      <c r="C354" s="135" t="s">
        <v>33</v>
      </c>
      <c r="D354" s="135" t="s">
        <v>34</v>
      </c>
      <c r="E354" s="135" t="s">
        <v>1376</v>
      </c>
      <c r="F354" s="135" t="s">
        <v>1377</v>
      </c>
      <c r="G354" s="136">
        <v>21</v>
      </c>
      <c r="H354" s="135" t="s">
        <v>1376</v>
      </c>
      <c r="I354" s="81" t="s">
        <v>1409</v>
      </c>
      <c r="K354" s="81" t="s">
        <v>1408</v>
      </c>
    </row>
    <row r="355" spans="1:11" ht="27.75">
      <c r="A355" s="135" t="s">
        <v>365</v>
      </c>
      <c r="B355" s="135" t="s">
        <v>366</v>
      </c>
      <c r="C355" s="135" t="s">
        <v>33</v>
      </c>
      <c r="D355" s="135" t="s">
        <v>34</v>
      </c>
      <c r="E355" s="135" t="s">
        <v>1376</v>
      </c>
      <c r="F355" s="135" t="s">
        <v>1377</v>
      </c>
      <c r="G355" s="136">
        <v>21</v>
      </c>
      <c r="H355" s="135" t="s">
        <v>1376</v>
      </c>
      <c r="I355" s="81" t="s">
        <v>1409</v>
      </c>
      <c r="K355" s="81" t="s">
        <v>1408</v>
      </c>
    </row>
    <row r="356" spans="1:11" ht="27.75">
      <c r="A356" s="135" t="s">
        <v>367</v>
      </c>
      <c r="B356" s="135" t="s">
        <v>368</v>
      </c>
      <c r="C356" s="135" t="s">
        <v>33</v>
      </c>
      <c r="D356" s="135" t="s">
        <v>34</v>
      </c>
      <c r="E356" s="135" t="s">
        <v>1376</v>
      </c>
      <c r="F356" s="135" t="s">
        <v>1377</v>
      </c>
      <c r="G356" s="136">
        <v>21</v>
      </c>
      <c r="H356" s="135" t="s">
        <v>1376</v>
      </c>
      <c r="I356" s="81" t="s">
        <v>1409</v>
      </c>
      <c r="K356" s="81" t="s">
        <v>1408</v>
      </c>
    </row>
    <row r="357" spans="1:11" ht="27.75">
      <c r="A357" s="135" t="s">
        <v>369</v>
      </c>
      <c r="B357" s="135" t="s">
        <v>370</v>
      </c>
      <c r="C357" s="135" t="s">
        <v>33</v>
      </c>
      <c r="D357" s="135" t="s">
        <v>34</v>
      </c>
      <c r="E357" s="135" t="s">
        <v>1376</v>
      </c>
      <c r="F357" s="135" t="s">
        <v>1377</v>
      </c>
      <c r="G357" s="136">
        <v>21</v>
      </c>
      <c r="H357" s="135" t="s">
        <v>1376</v>
      </c>
      <c r="I357" s="81" t="s">
        <v>1409</v>
      </c>
      <c r="K357" s="81" t="s">
        <v>1408</v>
      </c>
    </row>
    <row r="358" spans="1:11" ht="27.75">
      <c r="A358" s="135" t="s">
        <v>371</v>
      </c>
      <c r="B358" s="135" t="s">
        <v>1502</v>
      </c>
      <c r="C358" s="135" t="s">
        <v>33</v>
      </c>
      <c r="D358" s="135" t="s">
        <v>34</v>
      </c>
      <c r="E358" s="135" t="s">
        <v>1378</v>
      </c>
      <c r="F358" s="135" t="s">
        <v>1379</v>
      </c>
      <c r="G358" s="136">
        <v>21</v>
      </c>
      <c r="H358" s="135" t="s">
        <v>1378</v>
      </c>
      <c r="I358" s="81" t="s">
        <v>1409</v>
      </c>
      <c r="K358" s="81" t="s">
        <v>1408</v>
      </c>
    </row>
    <row r="359" spans="1:11" ht="27.75">
      <c r="A359" s="135" t="s">
        <v>373</v>
      </c>
      <c r="B359" s="135" t="s">
        <v>1503</v>
      </c>
      <c r="C359" s="135" t="s">
        <v>33</v>
      </c>
      <c r="D359" s="135" t="s">
        <v>34</v>
      </c>
      <c r="E359" s="135" t="s">
        <v>1376</v>
      </c>
      <c r="F359" s="135" t="s">
        <v>1377</v>
      </c>
      <c r="G359" s="136">
        <v>21</v>
      </c>
      <c r="H359" s="135" t="s">
        <v>1376</v>
      </c>
      <c r="I359" s="81" t="s">
        <v>1409</v>
      </c>
      <c r="K359" s="81" t="s">
        <v>1408</v>
      </c>
    </row>
    <row r="360" spans="1:11" ht="27.75">
      <c r="A360" s="135" t="s">
        <v>374</v>
      </c>
      <c r="B360" s="135" t="s">
        <v>375</v>
      </c>
      <c r="C360" s="135" t="s">
        <v>33</v>
      </c>
      <c r="D360" s="135" t="s">
        <v>34</v>
      </c>
      <c r="E360" s="135" t="s">
        <v>1378</v>
      </c>
      <c r="F360" s="135" t="s">
        <v>1379</v>
      </c>
      <c r="G360" s="136">
        <v>21</v>
      </c>
      <c r="H360" s="135" t="s">
        <v>1378</v>
      </c>
      <c r="I360" s="81" t="s">
        <v>1409</v>
      </c>
      <c r="K360" s="81" t="s">
        <v>1408</v>
      </c>
    </row>
    <row r="361" spans="1:11" ht="27.75">
      <c r="A361" s="135" t="s">
        <v>376</v>
      </c>
      <c r="B361" s="135" t="s">
        <v>377</v>
      </c>
      <c r="C361" s="135" t="s">
        <v>33</v>
      </c>
      <c r="D361" s="135" t="s">
        <v>34</v>
      </c>
      <c r="E361" s="135" t="s">
        <v>1378</v>
      </c>
      <c r="F361" s="135" t="s">
        <v>1379</v>
      </c>
      <c r="G361" s="136">
        <v>21</v>
      </c>
      <c r="H361" s="135" t="s">
        <v>1378</v>
      </c>
      <c r="I361" s="81" t="s">
        <v>1409</v>
      </c>
      <c r="K361" s="81" t="s">
        <v>1408</v>
      </c>
    </row>
    <row r="362" spans="1:11" ht="27.75">
      <c r="A362" s="135" t="s">
        <v>378</v>
      </c>
      <c r="B362" s="135" t="s">
        <v>379</v>
      </c>
      <c r="C362" s="135" t="s">
        <v>33</v>
      </c>
      <c r="D362" s="135" t="s">
        <v>34</v>
      </c>
      <c r="E362" s="135" t="s">
        <v>1370</v>
      </c>
      <c r="F362" s="135" t="s">
        <v>1371</v>
      </c>
      <c r="G362" s="136">
        <v>21</v>
      </c>
      <c r="H362" s="135" t="s">
        <v>1370</v>
      </c>
      <c r="I362" s="81" t="s">
        <v>1409</v>
      </c>
      <c r="K362" s="81" t="s">
        <v>1408</v>
      </c>
    </row>
    <row r="363" spans="1:11" ht="27.75">
      <c r="A363" s="135" t="s">
        <v>380</v>
      </c>
      <c r="B363" s="135" t="s">
        <v>381</v>
      </c>
      <c r="C363" s="135" t="s">
        <v>33</v>
      </c>
      <c r="D363" s="135" t="s">
        <v>34</v>
      </c>
      <c r="E363" s="135" t="s">
        <v>1370</v>
      </c>
      <c r="F363" s="135" t="s">
        <v>1371</v>
      </c>
      <c r="G363" s="136">
        <v>21</v>
      </c>
      <c r="H363" s="135" t="s">
        <v>1370</v>
      </c>
      <c r="I363" s="81" t="s">
        <v>1409</v>
      </c>
      <c r="K363" s="81" t="s">
        <v>1408</v>
      </c>
    </row>
    <row r="364" spans="1:11" ht="27.75">
      <c r="A364" s="135" t="s">
        <v>390</v>
      </c>
      <c r="B364" s="135" t="s">
        <v>391</v>
      </c>
      <c r="C364" s="135" t="s">
        <v>35</v>
      </c>
      <c r="D364" s="135" t="s">
        <v>36</v>
      </c>
      <c r="E364" s="135" t="s">
        <v>1380</v>
      </c>
      <c r="F364" s="135" t="s">
        <v>1381</v>
      </c>
      <c r="G364" s="136">
        <v>22</v>
      </c>
      <c r="H364" s="135" t="s">
        <v>1380</v>
      </c>
      <c r="I364" s="81" t="s">
        <v>1409</v>
      </c>
      <c r="K364" s="81" t="s">
        <v>1408</v>
      </c>
    </row>
    <row r="365" spans="1:11" ht="27.75">
      <c r="A365" s="135" t="s">
        <v>392</v>
      </c>
      <c r="B365" s="135" t="s">
        <v>1504</v>
      </c>
      <c r="C365" s="135" t="s">
        <v>35</v>
      </c>
      <c r="D365" s="135" t="s">
        <v>36</v>
      </c>
      <c r="E365" s="135" t="s">
        <v>1380</v>
      </c>
      <c r="F365" s="135" t="s">
        <v>1381</v>
      </c>
      <c r="G365" s="136">
        <v>22</v>
      </c>
      <c r="H365" s="135" t="s">
        <v>1380</v>
      </c>
      <c r="I365" s="81" t="s">
        <v>1409</v>
      </c>
      <c r="K365" s="81" t="s">
        <v>1408</v>
      </c>
    </row>
    <row r="366" spans="1:11" ht="27.75">
      <c r="A366" s="135" t="s">
        <v>393</v>
      </c>
      <c r="B366" s="135" t="s">
        <v>394</v>
      </c>
      <c r="C366" s="135" t="s">
        <v>35</v>
      </c>
      <c r="D366" s="135" t="s">
        <v>36</v>
      </c>
      <c r="E366" s="135" t="s">
        <v>1380</v>
      </c>
      <c r="F366" s="135" t="s">
        <v>1381</v>
      </c>
      <c r="G366" s="136">
        <v>22</v>
      </c>
      <c r="H366" s="135" t="s">
        <v>1380</v>
      </c>
      <c r="I366" s="81" t="s">
        <v>1409</v>
      </c>
      <c r="K366" s="81" t="s">
        <v>1408</v>
      </c>
    </row>
    <row r="367" spans="1:11" ht="27.75">
      <c r="A367" s="135" t="s">
        <v>395</v>
      </c>
      <c r="B367" s="135" t="s">
        <v>396</v>
      </c>
      <c r="C367" s="135" t="s">
        <v>35</v>
      </c>
      <c r="D367" s="135" t="s">
        <v>36</v>
      </c>
      <c r="E367" s="135" t="s">
        <v>1380</v>
      </c>
      <c r="F367" s="135" t="s">
        <v>1381</v>
      </c>
      <c r="G367" s="136">
        <v>22</v>
      </c>
      <c r="H367" s="135" t="s">
        <v>1380</v>
      </c>
      <c r="I367" s="81" t="s">
        <v>1409</v>
      </c>
      <c r="K367" s="81" t="s">
        <v>1408</v>
      </c>
    </row>
    <row r="368" spans="1:11" ht="27.75">
      <c r="A368" s="135" t="s">
        <v>397</v>
      </c>
      <c r="B368" s="135" t="s">
        <v>398</v>
      </c>
      <c r="C368" s="135" t="s">
        <v>35</v>
      </c>
      <c r="D368" s="135" t="s">
        <v>36</v>
      </c>
      <c r="E368" s="135" t="s">
        <v>1380</v>
      </c>
      <c r="F368" s="135" t="s">
        <v>1381</v>
      </c>
      <c r="G368" s="136">
        <v>22</v>
      </c>
      <c r="H368" s="135" t="s">
        <v>1380</v>
      </c>
      <c r="I368" s="81" t="s">
        <v>1409</v>
      </c>
      <c r="K368" s="81" t="s">
        <v>1408</v>
      </c>
    </row>
    <row r="369" spans="1:11" ht="27.75">
      <c r="A369" s="135" t="s">
        <v>382</v>
      </c>
      <c r="B369" s="135" t="s">
        <v>383</v>
      </c>
      <c r="C369" s="135" t="s">
        <v>33</v>
      </c>
      <c r="D369" s="135" t="s">
        <v>34</v>
      </c>
      <c r="E369" s="135" t="s">
        <v>1370</v>
      </c>
      <c r="F369" s="135" t="s">
        <v>1371</v>
      </c>
      <c r="G369" s="136">
        <v>21</v>
      </c>
      <c r="H369" s="135" t="s">
        <v>1370</v>
      </c>
      <c r="I369" s="81" t="s">
        <v>1409</v>
      </c>
      <c r="K369" s="81" t="s">
        <v>1408</v>
      </c>
    </row>
    <row r="370" spans="1:11" ht="27.75">
      <c r="A370" s="135" t="s">
        <v>384</v>
      </c>
      <c r="B370" s="135" t="s">
        <v>385</v>
      </c>
      <c r="C370" s="135" t="s">
        <v>33</v>
      </c>
      <c r="D370" s="135" t="s">
        <v>34</v>
      </c>
      <c r="E370" s="135" t="s">
        <v>1370</v>
      </c>
      <c r="F370" s="135" t="s">
        <v>1371</v>
      </c>
      <c r="G370" s="136">
        <v>21</v>
      </c>
      <c r="H370" s="135" t="s">
        <v>1370</v>
      </c>
      <c r="I370" s="81" t="s">
        <v>1409</v>
      </c>
      <c r="K370" s="81" t="s">
        <v>1408</v>
      </c>
    </row>
    <row r="371" spans="1:11" ht="27.75">
      <c r="A371" s="135" t="s">
        <v>220</v>
      </c>
      <c r="B371" s="135" t="s">
        <v>221</v>
      </c>
      <c r="C371" s="135" t="s">
        <v>19</v>
      </c>
      <c r="D371" s="135" t="s">
        <v>20</v>
      </c>
      <c r="E371" s="135" t="s">
        <v>1342</v>
      </c>
      <c r="F371" s="135" t="s">
        <v>1343</v>
      </c>
      <c r="G371" s="136">
        <v>14</v>
      </c>
      <c r="H371" s="135" t="s">
        <v>1342</v>
      </c>
      <c r="I371" s="81" t="s">
        <v>1409</v>
      </c>
      <c r="K371" s="81" t="s">
        <v>1408</v>
      </c>
    </row>
    <row r="372" spans="1:11" ht="27.75">
      <c r="A372" s="135" t="s">
        <v>222</v>
      </c>
      <c r="B372" s="135" t="s">
        <v>1505</v>
      </c>
      <c r="C372" s="135" t="s">
        <v>21</v>
      </c>
      <c r="D372" s="135" t="s">
        <v>22</v>
      </c>
      <c r="E372" s="135" t="s">
        <v>1344</v>
      </c>
      <c r="F372" s="135" t="s">
        <v>1345</v>
      </c>
      <c r="G372" s="136">
        <v>15</v>
      </c>
      <c r="H372" s="135" t="s">
        <v>1344</v>
      </c>
      <c r="I372" s="81" t="s">
        <v>1409</v>
      </c>
      <c r="K372" s="81" t="s">
        <v>1408</v>
      </c>
    </row>
    <row r="373" spans="1:11" ht="27.75">
      <c r="A373" s="135" t="s">
        <v>224</v>
      </c>
      <c r="B373" s="135" t="s">
        <v>1506</v>
      </c>
      <c r="C373" s="135" t="s">
        <v>21</v>
      </c>
      <c r="D373" s="135" t="s">
        <v>22</v>
      </c>
      <c r="E373" s="135" t="s">
        <v>1346</v>
      </c>
      <c r="F373" s="135" t="s">
        <v>1347</v>
      </c>
      <c r="G373" s="136">
        <v>15</v>
      </c>
      <c r="H373" s="135" t="s">
        <v>1346</v>
      </c>
      <c r="I373" s="81" t="s">
        <v>1409</v>
      </c>
      <c r="K373" s="81" t="s">
        <v>1408</v>
      </c>
    </row>
    <row r="374" spans="1:11" ht="27.75">
      <c r="A374" s="135" t="s">
        <v>227</v>
      </c>
      <c r="B374" s="135" t="s">
        <v>228</v>
      </c>
      <c r="C374" s="135" t="s">
        <v>23</v>
      </c>
      <c r="D374" s="135" t="s">
        <v>24</v>
      </c>
      <c r="E374" s="135" t="s">
        <v>1350</v>
      </c>
      <c r="F374" s="135" t="s">
        <v>1351</v>
      </c>
      <c r="G374" s="136">
        <v>16</v>
      </c>
      <c r="H374" s="135" t="s">
        <v>1350</v>
      </c>
      <c r="I374" s="81" t="s">
        <v>1409</v>
      </c>
      <c r="K374" s="81" t="s">
        <v>1408</v>
      </c>
    </row>
    <row r="375" spans="1:11" ht="27.75">
      <c r="A375" s="135" t="s">
        <v>1160</v>
      </c>
      <c r="B375" s="135" t="s">
        <v>399</v>
      </c>
      <c r="C375" s="135" t="s">
        <v>37</v>
      </c>
      <c r="D375" s="135" t="s">
        <v>38</v>
      </c>
      <c r="E375" s="135" t="s">
        <v>1382</v>
      </c>
      <c r="F375" s="135" t="s">
        <v>1383</v>
      </c>
      <c r="G375" s="136">
        <v>23</v>
      </c>
      <c r="H375" s="135" t="s">
        <v>1382</v>
      </c>
      <c r="I375" s="81" t="s">
        <v>1407</v>
      </c>
      <c r="J375" s="81">
        <v>42643</v>
      </c>
      <c r="K375" s="81" t="s">
        <v>1408</v>
      </c>
    </row>
    <row r="376" spans="1:11" ht="27.75">
      <c r="A376" s="135" t="s">
        <v>1161</v>
      </c>
      <c r="B376" s="135" t="s">
        <v>400</v>
      </c>
      <c r="C376" s="135" t="s">
        <v>37</v>
      </c>
      <c r="D376" s="135" t="s">
        <v>38</v>
      </c>
      <c r="E376" s="135" t="s">
        <v>1382</v>
      </c>
      <c r="F376" s="135" t="s">
        <v>1383</v>
      </c>
      <c r="G376" s="136">
        <v>23</v>
      </c>
      <c r="H376" s="135" t="s">
        <v>1382</v>
      </c>
      <c r="I376" s="81" t="s">
        <v>1407</v>
      </c>
      <c r="J376" s="81">
        <v>42643</v>
      </c>
      <c r="K376" s="81" t="s">
        <v>1408</v>
      </c>
    </row>
    <row r="377" spans="1:11" ht="27.75">
      <c r="A377" s="135" t="s">
        <v>1162</v>
      </c>
      <c r="B377" s="135" t="s">
        <v>1163</v>
      </c>
      <c r="C377" s="135" t="s">
        <v>37</v>
      </c>
      <c r="D377" s="135" t="s">
        <v>38</v>
      </c>
      <c r="E377" s="135" t="s">
        <v>1382</v>
      </c>
      <c r="F377" s="135" t="s">
        <v>1383</v>
      </c>
      <c r="G377" s="136">
        <v>23</v>
      </c>
      <c r="H377" s="135" t="s">
        <v>1382</v>
      </c>
      <c r="I377" s="81" t="s">
        <v>1407</v>
      </c>
      <c r="J377" s="81">
        <v>42643</v>
      </c>
      <c r="K377" s="81" t="s">
        <v>1408</v>
      </c>
    </row>
    <row r="378" spans="1:11" ht="27.75">
      <c r="A378" s="135" t="s">
        <v>1164</v>
      </c>
      <c r="B378" s="135" t="s">
        <v>401</v>
      </c>
      <c r="C378" s="135" t="s">
        <v>37</v>
      </c>
      <c r="D378" s="135" t="s">
        <v>38</v>
      </c>
      <c r="E378" s="135" t="s">
        <v>1382</v>
      </c>
      <c r="F378" s="135" t="s">
        <v>1383</v>
      </c>
      <c r="G378" s="136">
        <v>23</v>
      </c>
      <c r="H378" s="135" t="s">
        <v>1382</v>
      </c>
      <c r="I378" s="81" t="s">
        <v>1407</v>
      </c>
      <c r="J378" s="81">
        <v>42643</v>
      </c>
      <c r="K378" s="81" t="s">
        <v>1408</v>
      </c>
    </row>
    <row r="379" spans="1:11" ht="27.75">
      <c r="A379" s="135" t="s">
        <v>1165</v>
      </c>
      <c r="B379" s="135" t="s">
        <v>402</v>
      </c>
      <c r="C379" s="135" t="s">
        <v>37</v>
      </c>
      <c r="D379" s="135" t="s">
        <v>38</v>
      </c>
      <c r="E379" s="135" t="s">
        <v>1382</v>
      </c>
      <c r="F379" s="135" t="s">
        <v>1383</v>
      </c>
      <c r="G379" s="136">
        <v>23</v>
      </c>
      <c r="H379" s="135" t="s">
        <v>1382</v>
      </c>
      <c r="I379" s="81" t="s">
        <v>1407</v>
      </c>
      <c r="J379" s="81">
        <v>42643</v>
      </c>
      <c r="K379" s="81" t="s">
        <v>1408</v>
      </c>
    </row>
    <row r="380" spans="1:11" ht="27.75">
      <c r="A380" s="135" t="s">
        <v>1166</v>
      </c>
      <c r="B380" s="135" t="s">
        <v>1507</v>
      </c>
      <c r="C380" s="135" t="s">
        <v>37</v>
      </c>
      <c r="D380" s="135" t="s">
        <v>38</v>
      </c>
      <c r="E380" s="135" t="s">
        <v>1382</v>
      </c>
      <c r="F380" s="135" t="s">
        <v>1383</v>
      </c>
      <c r="G380" s="136">
        <v>23</v>
      </c>
      <c r="H380" s="135" t="s">
        <v>1382</v>
      </c>
      <c r="I380" s="81" t="s">
        <v>1407</v>
      </c>
      <c r="J380" s="81">
        <v>42643</v>
      </c>
      <c r="K380" s="81" t="s">
        <v>1408</v>
      </c>
    </row>
    <row r="381" spans="1:11" ht="27.75">
      <c r="A381" s="135" t="s">
        <v>1167</v>
      </c>
      <c r="B381" s="135" t="s">
        <v>404</v>
      </c>
      <c r="C381" s="135" t="s">
        <v>37</v>
      </c>
      <c r="D381" s="135" t="s">
        <v>38</v>
      </c>
      <c r="E381" s="135" t="s">
        <v>1382</v>
      </c>
      <c r="F381" s="135" t="s">
        <v>1383</v>
      </c>
      <c r="G381" s="136">
        <v>23</v>
      </c>
      <c r="H381" s="135" t="s">
        <v>1382</v>
      </c>
      <c r="I381" s="81" t="s">
        <v>1407</v>
      </c>
      <c r="J381" s="81">
        <v>42643</v>
      </c>
      <c r="K381" s="81" t="s">
        <v>1408</v>
      </c>
    </row>
    <row r="382" spans="1:11" ht="27.75">
      <c r="A382" s="135" t="s">
        <v>405</v>
      </c>
      <c r="B382" s="135" t="s">
        <v>406</v>
      </c>
      <c r="C382" s="135" t="s">
        <v>37</v>
      </c>
      <c r="D382" s="135" t="s">
        <v>38</v>
      </c>
      <c r="E382" s="135" t="s">
        <v>1382</v>
      </c>
      <c r="F382" s="135" t="s">
        <v>1383</v>
      </c>
      <c r="G382" s="136">
        <v>23</v>
      </c>
      <c r="H382" s="135" t="s">
        <v>1382</v>
      </c>
      <c r="I382" s="81" t="s">
        <v>1409</v>
      </c>
      <c r="K382" s="81" t="s">
        <v>1408</v>
      </c>
    </row>
    <row r="383" spans="1:11" ht="27.75">
      <c r="A383" s="135" t="s">
        <v>407</v>
      </c>
      <c r="B383" s="135" t="s">
        <v>408</v>
      </c>
      <c r="C383" s="135" t="s">
        <v>37</v>
      </c>
      <c r="D383" s="135" t="s">
        <v>38</v>
      </c>
      <c r="E383" s="135" t="s">
        <v>1382</v>
      </c>
      <c r="F383" s="135" t="s">
        <v>1383</v>
      </c>
      <c r="G383" s="136">
        <v>23</v>
      </c>
      <c r="H383" s="135" t="s">
        <v>1382</v>
      </c>
      <c r="I383" s="81" t="s">
        <v>1409</v>
      </c>
      <c r="K383" s="81" t="s">
        <v>1408</v>
      </c>
    </row>
    <row r="384" spans="1:11" ht="27.75">
      <c r="A384" s="135" t="s">
        <v>1168</v>
      </c>
      <c r="B384" s="135" t="s">
        <v>409</v>
      </c>
      <c r="C384" s="135" t="s">
        <v>37</v>
      </c>
      <c r="D384" s="135" t="s">
        <v>38</v>
      </c>
      <c r="E384" s="135" t="s">
        <v>1382</v>
      </c>
      <c r="F384" s="135" t="s">
        <v>1383</v>
      </c>
      <c r="G384" s="136">
        <v>23</v>
      </c>
      <c r="H384" s="135" t="s">
        <v>1382</v>
      </c>
      <c r="I384" s="81" t="s">
        <v>1407</v>
      </c>
      <c r="J384" s="81">
        <v>42643</v>
      </c>
      <c r="K384" s="81" t="s">
        <v>1408</v>
      </c>
    </row>
    <row r="385" spans="1:11" ht="27.75">
      <c r="A385" s="135" t="s">
        <v>1169</v>
      </c>
      <c r="B385" s="135" t="s">
        <v>410</v>
      </c>
      <c r="C385" s="135" t="s">
        <v>37</v>
      </c>
      <c r="D385" s="135" t="s">
        <v>38</v>
      </c>
      <c r="E385" s="135" t="s">
        <v>1382</v>
      </c>
      <c r="F385" s="135" t="s">
        <v>1383</v>
      </c>
      <c r="G385" s="136">
        <v>23</v>
      </c>
      <c r="H385" s="135" t="s">
        <v>1382</v>
      </c>
      <c r="I385" s="81" t="s">
        <v>1407</v>
      </c>
      <c r="J385" s="81">
        <v>42643</v>
      </c>
      <c r="K385" s="81" t="s">
        <v>1408</v>
      </c>
    </row>
    <row r="386" spans="1:11" ht="27.75">
      <c r="A386" s="135" t="s">
        <v>1170</v>
      </c>
      <c r="B386" s="135" t="s">
        <v>411</v>
      </c>
      <c r="C386" s="135" t="s">
        <v>37</v>
      </c>
      <c r="D386" s="135" t="s">
        <v>38</v>
      </c>
      <c r="E386" s="135" t="s">
        <v>1382</v>
      </c>
      <c r="F386" s="135" t="s">
        <v>1383</v>
      </c>
      <c r="G386" s="136">
        <v>23</v>
      </c>
      <c r="H386" s="135" t="s">
        <v>1382</v>
      </c>
      <c r="I386" s="81" t="s">
        <v>1407</v>
      </c>
      <c r="J386" s="81">
        <v>42643</v>
      </c>
      <c r="K386" s="81" t="s">
        <v>1408</v>
      </c>
    </row>
    <row r="387" spans="1:11" ht="27.75">
      <c r="A387" s="135" t="s">
        <v>225</v>
      </c>
      <c r="B387" s="135" t="s">
        <v>226</v>
      </c>
      <c r="C387" s="135" t="s">
        <v>732</v>
      </c>
      <c r="D387" s="135" t="s">
        <v>733</v>
      </c>
      <c r="E387" s="135" t="s">
        <v>1348</v>
      </c>
      <c r="F387" s="135" t="s">
        <v>1349</v>
      </c>
      <c r="G387" s="136">
        <v>163</v>
      </c>
      <c r="H387" s="135" t="s">
        <v>1348</v>
      </c>
      <c r="I387" s="81" t="s">
        <v>1409</v>
      </c>
      <c r="K387" s="81" t="s">
        <v>1408</v>
      </c>
    </row>
    <row r="388" spans="1:11" ht="27.75">
      <c r="A388" s="135" t="s">
        <v>944</v>
      </c>
      <c r="B388" s="135" t="s">
        <v>945</v>
      </c>
      <c r="C388" s="135" t="s">
        <v>21</v>
      </c>
      <c r="D388" s="135" t="s">
        <v>22</v>
      </c>
      <c r="E388" s="135" t="s">
        <v>1344</v>
      </c>
      <c r="F388" s="135" t="s">
        <v>1345</v>
      </c>
      <c r="G388" s="136">
        <v>15</v>
      </c>
      <c r="H388" s="135" t="s">
        <v>1344</v>
      </c>
      <c r="I388" s="81" t="s">
        <v>1409</v>
      </c>
      <c r="K388" s="81" t="s">
        <v>1411</v>
      </c>
    </row>
    <row r="389" spans="1:11" ht="27.75">
      <c r="A389" s="135" t="s">
        <v>412</v>
      </c>
      <c r="B389" s="135" t="s">
        <v>1508</v>
      </c>
      <c r="C389" s="135" t="s">
        <v>37</v>
      </c>
      <c r="D389" s="135" t="s">
        <v>38</v>
      </c>
      <c r="E389" s="135" t="s">
        <v>1382</v>
      </c>
      <c r="F389" s="135" t="s">
        <v>1383</v>
      </c>
      <c r="G389" s="136">
        <v>23</v>
      </c>
      <c r="H389" s="135" t="s">
        <v>1382</v>
      </c>
      <c r="I389" s="81" t="s">
        <v>1409</v>
      </c>
      <c r="K389" s="81" t="s">
        <v>1408</v>
      </c>
    </row>
    <row r="390" spans="1:11" ht="27.75">
      <c r="A390" s="135" t="s">
        <v>386</v>
      </c>
      <c r="B390" s="135" t="s">
        <v>387</v>
      </c>
      <c r="C390" s="135" t="s">
        <v>33</v>
      </c>
      <c r="D390" s="135" t="s">
        <v>34</v>
      </c>
      <c r="E390" s="135" t="s">
        <v>1370</v>
      </c>
      <c r="F390" s="135" t="s">
        <v>1371</v>
      </c>
      <c r="G390" s="136">
        <v>21</v>
      </c>
      <c r="H390" s="135" t="s">
        <v>1370</v>
      </c>
      <c r="I390" s="81" t="s">
        <v>1409</v>
      </c>
      <c r="K390" s="81" t="s">
        <v>1408</v>
      </c>
    </row>
    <row r="391" spans="1:11" ht="27.75">
      <c r="A391" s="135" t="s">
        <v>388</v>
      </c>
      <c r="B391" s="135" t="s">
        <v>389</v>
      </c>
      <c r="C391" s="135" t="s">
        <v>33</v>
      </c>
      <c r="D391" s="135" t="s">
        <v>34</v>
      </c>
      <c r="E391" s="135" t="s">
        <v>1370</v>
      </c>
      <c r="F391" s="135" t="s">
        <v>1371</v>
      </c>
      <c r="G391" s="136">
        <v>21</v>
      </c>
      <c r="H391" s="135" t="s">
        <v>1370</v>
      </c>
      <c r="I391" s="81" t="s">
        <v>1409</v>
      </c>
      <c r="K391" s="81" t="s">
        <v>1408</v>
      </c>
    </row>
    <row r="392" spans="1:11" ht="27.75">
      <c r="A392" s="135" t="s">
        <v>1171</v>
      </c>
      <c r="B392" s="135" t="s">
        <v>1172</v>
      </c>
      <c r="C392" s="135" t="s">
        <v>33</v>
      </c>
      <c r="D392" s="135" t="s">
        <v>34</v>
      </c>
      <c r="E392" s="135" t="s">
        <v>1370</v>
      </c>
      <c r="F392" s="135" t="s">
        <v>1371</v>
      </c>
      <c r="G392" s="136">
        <v>21</v>
      </c>
      <c r="H392" s="135" t="s">
        <v>1370</v>
      </c>
      <c r="I392" s="81" t="s">
        <v>1407</v>
      </c>
      <c r="J392" s="81">
        <v>42643</v>
      </c>
      <c r="K392" s="81" t="s">
        <v>1408</v>
      </c>
    </row>
    <row r="393" spans="1:11" ht="27.75">
      <c r="A393" s="135" t="s">
        <v>503</v>
      </c>
      <c r="B393" s="135" t="s">
        <v>1509</v>
      </c>
      <c r="C393" s="135" t="s">
        <v>33</v>
      </c>
      <c r="D393" s="135" t="s">
        <v>34</v>
      </c>
      <c r="E393" s="135" t="s">
        <v>1370</v>
      </c>
      <c r="F393" s="135" t="s">
        <v>1371</v>
      </c>
      <c r="G393" s="136">
        <v>21</v>
      </c>
      <c r="H393" s="135" t="s">
        <v>1370</v>
      </c>
      <c r="I393" s="81" t="s">
        <v>1409</v>
      </c>
      <c r="K393" s="81" t="s">
        <v>1408</v>
      </c>
    </row>
    <row r="394" spans="1:11" ht="27.75">
      <c r="A394" s="135" t="s">
        <v>946</v>
      </c>
      <c r="B394" s="135" t="s">
        <v>947</v>
      </c>
      <c r="C394" s="135" t="s">
        <v>33</v>
      </c>
      <c r="D394" s="135" t="s">
        <v>34</v>
      </c>
      <c r="E394" s="135" t="s">
        <v>1370</v>
      </c>
      <c r="F394" s="135" t="s">
        <v>1371</v>
      </c>
      <c r="G394" s="136">
        <v>21</v>
      </c>
      <c r="H394" s="135" t="s">
        <v>1370</v>
      </c>
      <c r="I394" s="81" t="s">
        <v>1409</v>
      </c>
      <c r="K394" s="81" t="s">
        <v>1411</v>
      </c>
    </row>
    <row r="395" spans="1:11" ht="27.75">
      <c r="A395" s="135" t="s">
        <v>504</v>
      </c>
      <c r="B395" s="135" t="s">
        <v>505</v>
      </c>
      <c r="C395" s="135" t="s">
        <v>33</v>
      </c>
      <c r="D395" s="135" t="s">
        <v>34</v>
      </c>
      <c r="E395" s="135" t="s">
        <v>1370</v>
      </c>
      <c r="F395" s="135" t="s">
        <v>1371</v>
      </c>
      <c r="G395" s="136">
        <v>21</v>
      </c>
      <c r="H395" s="135" t="s">
        <v>1370</v>
      </c>
      <c r="I395" s="81" t="s">
        <v>1409</v>
      </c>
      <c r="K395" s="81" t="s">
        <v>1408</v>
      </c>
    </row>
    <row r="396" spans="1:11" ht="27.75">
      <c r="A396" s="135" t="s">
        <v>948</v>
      </c>
      <c r="B396" s="135" t="s">
        <v>949</v>
      </c>
      <c r="C396" s="135" t="s">
        <v>41</v>
      </c>
      <c r="D396" s="135" t="s">
        <v>42</v>
      </c>
      <c r="E396" s="135" t="s">
        <v>1396</v>
      </c>
      <c r="F396" s="135" t="s">
        <v>1397</v>
      </c>
      <c r="G396" s="136">
        <v>25</v>
      </c>
      <c r="H396" s="135" t="s">
        <v>1396</v>
      </c>
      <c r="I396" s="81" t="s">
        <v>1409</v>
      </c>
      <c r="K396" s="81" t="s">
        <v>1411</v>
      </c>
    </row>
    <row r="397" spans="1:11" ht="27.75">
      <c r="A397" s="135" t="s">
        <v>506</v>
      </c>
      <c r="B397" s="135" t="s">
        <v>507</v>
      </c>
      <c r="C397" s="135" t="s">
        <v>33</v>
      </c>
      <c r="D397" s="135" t="s">
        <v>34</v>
      </c>
      <c r="E397" s="135" t="s">
        <v>1370</v>
      </c>
      <c r="F397" s="135" t="s">
        <v>1371</v>
      </c>
      <c r="G397" s="136">
        <v>21</v>
      </c>
      <c r="H397" s="135" t="s">
        <v>1370</v>
      </c>
      <c r="I397" s="81" t="s">
        <v>1409</v>
      </c>
      <c r="K397" s="81" t="s">
        <v>1408</v>
      </c>
    </row>
    <row r="398" spans="1:11" ht="27.75">
      <c r="A398" s="135" t="s">
        <v>508</v>
      </c>
      <c r="B398" s="135" t="s">
        <v>509</v>
      </c>
      <c r="C398" s="135" t="s">
        <v>33</v>
      </c>
      <c r="D398" s="135" t="s">
        <v>34</v>
      </c>
      <c r="E398" s="135" t="s">
        <v>1370</v>
      </c>
      <c r="F398" s="135" t="s">
        <v>1371</v>
      </c>
      <c r="G398" s="136">
        <v>21</v>
      </c>
      <c r="H398" s="135" t="s">
        <v>1370</v>
      </c>
      <c r="I398" s="81" t="s">
        <v>1409</v>
      </c>
      <c r="K398" s="81" t="s">
        <v>1408</v>
      </c>
    </row>
    <row r="399" spans="1:11" ht="27.75">
      <c r="A399" s="135" t="s">
        <v>510</v>
      </c>
      <c r="B399" s="135" t="s">
        <v>511</v>
      </c>
      <c r="C399" s="135" t="s">
        <v>33</v>
      </c>
      <c r="D399" s="135" t="s">
        <v>34</v>
      </c>
      <c r="E399" s="135" t="s">
        <v>1370</v>
      </c>
      <c r="F399" s="135" t="s">
        <v>1371</v>
      </c>
      <c r="G399" s="136">
        <v>21</v>
      </c>
      <c r="H399" s="135" t="s">
        <v>1370</v>
      </c>
      <c r="I399" s="81" t="s">
        <v>1409</v>
      </c>
      <c r="K399" s="81" t="s">
        <v>1408</v>
      </c>
    </row>
    <row r="400" spans="1:11" ht="27.75">
      <c r="A400" s="135" t="s">
        <v>512</v>
      </c>
      <c r="B400" s="135" t="s">
        <v>1510</v>
      </c>
      <c r="C400" s="135" t="s">
        <v>41</v>
      </c>
      <c r="D400" s="135" t="s">
        <v>42</v>
      </c>
      <c r="E400" s="135" t="s">
        <v>1390</v>
      </c>
      <c r="F400" s="135" t="s">
        <v>1391</v>
      </c>
      <c r="G400" s="136">
        <v>25</v>
      </c>
      <c r="H400" s="135" t="s">
        <v>1390</v>
      </c>
      <c r="I400" s="81" t="s">
        <v>1409</v>
      </c>
      <c r="K400" s="81" t="s">
        <v>1408</v>
      </c>
    </row>
    <row r="401" spans="1:11" ht="27.75">
      <c r="A401" s="135" t="s">
        <v>513</v>
      </c>
      <c r="B401" s="135" t="s">
        <v>514</v>
      </c>
      <c r="C401" s="135" t="s">
        <v>41</v>
      </c>
      <c r="D401" s="135" t="s">
        <v>42</v>
      </c>
      <c r="E401" s="135" t="s">
        <v>1392</v>
      </c>
      <c r="F401" s="135" t="s">
        <v>1393</v>
      </c>
      <c r="G401" s="136">
        <v>25</v>
      </c>
      <c r="H401" s="135" t="s">
        <v>1392</v>
      </c>
      <c r="I401" s="81" t="s">
        <v>1409</v>
      </c>
      <c r="K401" s="81" t="s">
        <v>1408</v>
      </c>
    </row>
    <row r="402" spans="1:11" ht="27.75">
      <c r="A402" s="135" t="s">
        <v>950</v>
      </c>
      <c r="B402" s="135" t="s">
        <v>951</v>
      </c>
      <c r="C402" s="135" t="s">
        <v>33</v>
      </c>
      <c r="D402" s="135" t="s">
        <v>34</v>
      </c>
      <c r="E402" s="135" t="s">
        <v>1370</v>
      </c>
      <c r="F402" s="135" t="s">
        <v>1371</v>
      </c>
      <c r="G402" s="136">
        <v>21</v>
      </c>
      <c r="H402" s="135" t="s">
        <v>1370</v>
      </c>
      <c r="I402" s="81" t="s">
        <v>1409</v>
      </c>
      <c r="K402" s="81" t="s">
        <v>1411</v>
      </c>
    </row>
    <row r="403" spans="1:11" ht="27.75">
      <c r="A403" s="135" t="s">
        <v>515</v>
      </c>
      <c r="B403" s="135" t="s">
        <v>1511</v>
      </c>
      <c r="C403" s="135" t="s">
        <v>41</v>
      </c>
      <c r="D403" s="135" t="s">
        <v>42</v>
      </c>
      <c r="E403" s="135" t="s">
        <v>1394</v>
      </c>
      <c r="F403" s="135" t="s">
        <v>1395</v>
      </c>
      <c r="G403" s="136">
        <v>25</v>
      </c>
      <c r="H403" s="135" t="s">
        <v>1394</v>
      </c>
      <c r="I403" s="81" t="s">
        <v>1409</v>
      </c>
      <c r="K403" s="81" t="s">
        <v>1408</v>
      </c>
    </row>
    <row r="404" spans="1:11" ht="27.75">
      <c r="A404" s="135" t="s">
        <v>516</v>
      </c>
      <c r="B404" s="135" t="s">
        <v>1512</v>
      </c>
      <c r="C404" s="135" t="s">
        <v>41</v>
      </c>
      <c r="D404" s="135" t="s">
        <v>42</v>
      </c>
      <c r="E404" s="135" t="s">
        <v>1394</v>
      </c>
      <c r="F404" s="135" t="s">
        <v>1395</v>
      </c>
      <c r="G404" s="136">
        <v>25</v>
      </c>
      <c r="H404" s="135" t="s">
        <v>1394</v>
      </c>
      <c r="I404" s="81" t="s">
        <v>1409</v>
      </c>
      <c r="K404" s="81" t="s">
        <v>1408</v>
      </c>
    </row>
    <row r="405" spans="1:11" ht="27.75">
      <c r="A405" s="135" t="s">
        <v>1173</v>
      </c>
      <c r="B405" s="135" t="s">
        <v>1174</v>
      </c>
      <c r="C405" s="135" t="s">
        <v>41</v>
      </c>
      <c r="D405" s="135" t="s">
        <v>42</v>
      </c>
      <c r="E405" s="135" t="s">
        <v>1394</v>
      </c>
      <c r="F405" s="135" t="s">
        <v>1395</v>
      </c>
      <c r="G405" s="136">
        <v>25</v>
      </c>
      <c r="H405" s="135" t="s">
        <v>1394</v>
      </c>
      <c r="I405" s="81" t="s">
        <v>1407</v>
      </c>
      <c r="J405" s="81">
        <v>42643</v>
      </c>
      <c r="K405" s="81" t="s">
        <v>1408</v>
      </c>
    </row>
    <row r="406" spans="1:11" ht="27.75">
      <c r="A406" s="135" t="s">
        <v>952</v>
      </c>
      <c r="B406" s="135" t="s">
        <v>953</v>
      </c>
      <c r="C406" s="135" t="s">
        <v>41</v>
      </c>
      <c r="D406" s="135" t="s">
        <v>42</v>
      </c>
      <c r="E406" s="135" t="s">
        <v>1394</v>
      </c>
      <c r="F406" s="135" t="s">
        <v>1395</v>
      </c>
      <c r="G406" s="136">
        <v>25</v>
      </c>
      <c r="H406" s="135" t="s">
        <v>1394</v>
      </c>
      <c r="I406" s="81" t="s">
        <v>1409</v>
      </c>
      <c r="K406" s="81" t="s">
        <v>1411</v>
      </c>
    </row>
    <row r="407" spans="1:11" ht="27.75">
      <c r="A407" s="135" t="s">
        <v>517</v>
      </c>
      <c r="B407" s="135" t="s">
        <v>518</v>
      </c>
      <c r="C407" s="135" t="s">
        <v>41</v>
      </c>
      <c r="D407" s="135" t="s">
        <v>42</v>
      </c>
      <c r="E407" s="135" t="s">
        <v>1390</v>
      </c>
      <c r="F407" s="135" t="s">
        <v>1391</v>
      </c>
      <c r="G407" s="136">
        <v>25</v>
      </c>
      <c r="H407" s="135" t="s">
        <v>1390</v>
      </c>
      <c r="I407" s="81" t="s">
        <v>1409</v>
      </c>
      <c r="K407" s="81" t="s">
        <v>1408</v>
      </c>
    </row>
    <row r="408" spans="1:11" ht="27.75">
      <c r="A408" s="135" t="s">
        <v>519</v>
      </c>
      <c r="B408" s="135" t="s">
        <v>520</v>
      </c>
      <c r="C408" s="135" t="s">
        <v>41</v>
      </c>
      <c r="D408" s="135" t="s">
        <v>42</v>
      </c>
      <c r="E408" s="135" t="s">
        <v>1394</v>
      </c>
      <c r="F408" s="135" t="s">
        <v>1395</v>
      </c>
      <c r="G408" s="136">
        <v>25</v>
      </c>
      <c r="H408" s="135" t="s">
        <v>1394</v>
      </c>
      <c r="I408" s="81" t="s">
        <v>1409</v>
      </c>
      <c r="K408" s="81" t="s">
        <v>1408</v>
      </c>
    </row>
    <row r="409" spans="1:11" ht="27.75">
      <c r="A409" s="135" t="s">
        <v>954</v>
      </c>
      <c r="B409" s="135" t="s">
        <v>955</v>
      </c>
      <c r="C409" s="135" t="s">
        <v>29</v>
      </c>
      <c r="D409" s="135" t="s">
        <v>30</v>
      </c>
      <c r="E409" s="135" t="s">
        <v>1354</v>
      </c>
      <c r="F409" s="135" t="s">
        <v>1355</v>
      </c>
      <c r="G409" s="136">
        <v>19</v>
      </c>
      <c r="H409" s="135" t="s">
        <v>1354</v>
      </c>
      <c r="I409" s="81" t="s">
        <v>1409</v>
      </c>
      <c r="K409" s="81" t="s">
        <v>1411</v>
      </c>
    </row>
    <row r="410" spans="1:11" ht="27.75">
      <c r="A410" s="135" t="s">
        <v>956</v>
      </c>
      <c r="B410" s="135" t="s">
        <v>957</v>
      </c>
      <c r="C410" s="135" t="s">
        <v>29</v>
      </c>
      <c r="D410" s="135" t="s">
        <v>30</v>
      </c>
      <c r="E410" s="135" t="s">
        <v>1354</v>
      </c>
      <c r="F410" s="135" t="s">
        <v>1355</v>
      </c>
      <c r="G410" s="136">
        <v>19</v>
      </c>
      <c r="H410" s="135" t="s">
        <v>1354</v>
      </c>
      <c r="I410" s="81" t="s">
        <v>1409</v>
      </c>
      <c r="K410" s="81" t="s">
        <v>1411</v>
      </c>
    </row>
    <row r="411" spans="1:11" ht="27.75">
      <c r="A411" s="135" t="s">
        <v>958</v>
      </c>
      <c r="B411" s="135" t="s">
        <v>959</v>
      </c>
      <c r="C411" s="135" t="s">
        <v>29</v>
      </c>
      <c r="D411" s="135" t="s">
        <v>30</v>
      </c>
      <c r="E411" s="135" t="s">
        <v>1354</v>
      </c>
      <c r="F411" s="135" t="s">
        <v>1355</v>
      </c>
      <c r="G411" s="136">
        <v>19</v>
      </c>
      <c r="H411" s="135" t="s">
        <v>1354</v>
      </c>
      <c r="I411" s="81" t="s">
        <v>1409</v>
      </c>
      <c r="K411" s="81" t="s">
        <v>1411</v>
      </c>
    </row>
    <row r="412" spans="1:11" ht="27.75">
      <c r="A412" s="135" t="s">
        <v>960</v>
      </c>
      <c r="B412" s="135" t="s">
        <v>961</v>
      </c>
      <c r="C412" s="135" t="s">
        <v>29</v>
      </c>
      <c r="D412" s="135" t="s">
        <v>30</v>
      </c>
      <c r="E412" s="135" t="s">
        <v>1354</v>
      </c>
      <c r="F412" s="135" t="s">
        <v>1355</v>
      </c>
      <c r="G412" s="136">
        <v>19</v>
      </c>
      <c r="H412" s="135" t="s">
        <v>1354</v>
      </c>
      <c r="I412" s="81" t="s">
        <v>1409</v>
      </c>
      <c r="K412" s="81" t="s">
        <v>1411</v>
      </c>
    </row>
    <row r="413" spans="1:11" ht="27.75">
      <c r="A413" s="135" t="s">
        <v>962</v>
      </c>
      <c r="B413" s="135" t="s">
        <v>963</v>
      </c>
      <c r="C413" s="135" t="s">
        <v>29</v>
      </c>
      <c r="D413" s="135" t="s">
        <v>30</v>
      </c>
      <c r="E413" s="135" t="s">
        <v>1354</v>
      </c>
      <c r="F413" s="135" t="s">
        <v>1355</v>
      </c>
      <c r="G413" s="136">
        <v>19</v>
      </c>
      <c r="H413" s="135" t="s">
        <v>1354</v>
      </c>
      <c r="I413" s="81" t="s">
        <v>1409</v>
      </c>
      <c r="K413" s="81" t="s">
        <v>1411</v>
      </c>
    </row>
    <row r="414" spans="1:11" ht="27.75">
      <c r="A414" s="135" t="s">
        <v>964</v>
      </c>
      <c r="B414" s="135" t="s">
        <v>271</v>
      </c>
      <c r="C414" s="135" t="s">
        <v>29</v>
      </c>
      <c r="D414" s="135" t="s">
        <v>30</v>
      </c>
      <c r="E414" s="135" t="s">
        <v>1354</v>
      </c>
      <c r="F414" s="135" t="s">
        <v>1355</v>
      </c>
      <c r="G414" s="136">
        <v>19</v>
      </c>
      <c r="H414" s="135" t="s">
        <v>1354</v>
      </c>
      <c r="I414" s="81" t="s">
        <v>1409</v>
      </c>
      <c r="K414" s="81" t="s">
        <v>1411</v>
      </c>
    </row>
    <row r="415" spans="1:11" ht="27.75">
      <c r="A415" s="135" t="s">
        <v>965</v>
      </c>
      <c r="B415" s="135" t="s">
        <v>272</v>
      </c>
      <c r="C415" s="135" t="s">
        <v>29</v>
      </c>
      <c r="D415" s="135" t="s">
        <v>30</v>
      </c>
      <c r="E415" s="135" t="s">
        <v>1354</v>
      </c>
      <c r="F415" s="135" t="s">
        <v>1355</v>
      </c>
      <c r="G415" s="136">
        <v>19</v>
      </c>
      <c r="H415" s="135" t="s">
        <v>1354</v>
      </c>
      <c r="I415" s="81" t="s">
        <v>1409</v>
      </c>
      <c r="K415" s="81" t="s">
        <v>1411</v>
      </c>
    </row>
    <row r="416" spans="1:11" ht="27.75">
      <c r="A416" s="135" t="s">
        <v>966</v>
      </c>
      <c r="B416" s="135" t="s">
        <v>273</v>
      </c>
      <c r="C416" s="135" t="s">
        <v>29</v>
      </c>
      <c r="D416" s="135" t="s">
        <v>30</v>
      </c>
      <c r="E416" s="135" t="s">
        <v>1354</v>
      </c>
      <c r="F416" s="135" t="s">
        <v>1355</v>
      </c>
      <c r="G416" s="136">
        <v>19</v>
      </c>
      <c r="H416" s="135" t="s">
        <v>1354</v>
      </c>
      <c r="I416" s="81" t="s">
        <v>1409</v>
      </c>
      <c r="K416" s="81" t="s">
        <v>1411</v>
      </c>
    </row>
    <row r="417" spans="1:11" ht="27.75">
      <c r="A417" s="135" t="s">
        <v>967</v>
      </c>
      <c r="B417" s="135" t="s">
        <v>968</v>
      </c>
      <c r="C417" s="135" t="s">
        <v>29</v>
      </c>
      <c r="D417" s="135" t="s">
        <v>30</v>
      </c>
      <c r="E417" s="135" t="s">
        <v>1354</v>
      </c>
      <c r="F417" s="135" t="s">
        <v>1355</v>
      </c>
      <c r="G417" s="136">
        <v>19</v>
      </c>
      <c r="H417" s="135" t="s">
        <v>1354</v>
      </c>
      <c r="I417" s="81" t="s">
        <v>1409</v>
      </c>
      <c r="K417" s="81" t="s">
        <v>1411</v>
      </c>
    </row>
    <row r="418" spans="1:11" ht="27.75">
      <c r="A418" s="135" t="s">
        <v>969</v>
      </c>
      <c r="B418" s="135" t="s">
        <v>276</v>
      </c>
      <c r="C418" s="135" t="s">
        <v>29</v>
      </c>
      <c r="D418" s="135" t="s">
        <v>30</v>
      </c>
      <c r="E418" s="135" t="s">
        <v>1354</v>
      </c>
      <c r="F418" s="135" t="s">
        <v>1355</v>
      </c>
      <c r="G418" s="136">
        <v>19</v>
      </c>
      <c r="H418" s="135" t="s">
        <v>1354</v>
      </c>
      <c r="I418" s="81" t="s">
        <v>1409</v>
      </c>
      <c r="K418" s="81" t="s">
        <v>1411</v>
      </c>
    </row>
    <row r="419" spans="1:11" ht="27.75">
      <c r="A419" s="135" t="s">
        <v>413</v>
      </c>
      <c r="B419" s="135" t="s">
        <v>414</v>
      </c>
      <c r="C419" s="135" t="s">
        <v>39</v>
      </c>
      <c r="D419" s="135" t="s">
        <v>40</v>
      </c>
      <c r="E419" s="135" t="s">
        <v>1384</v>
      </c>
      <c r="F419" s="135" t="s">
        <v>1385</v>
      </c>
      <c r="G419" s="136">
        <v>24</v>
      </c>
      <c r="H419" s="135" t="s">
        <v>1384</v>
      </c>
      <c r="I419" s="81" t="s">
        <v>1409</v>
      </c>
      <c r="K419" s="81" t="s">
        <v>1408</v>
      </c>
    </row>
    <row r="420" spans="1:11" ht="27.75">
      <c r="A420" s="135" t="s">
        <v>415</v>
      </c>
      <c r="B420" s="135" t="s">
        <v>416</v>
      </c>
      <c r="C420" s="135" t="s">
        <v>39</v>
      </c>
      <c r="D420" s="135" t="s">
        <v>40</v>
      </c>
      <c r="E420" s="135" t="s">
        <v>1384</v>
      </c>
      <c r="F420" s="135" t="s">
        <v>1385</v>
      </c>
      <c r="G420" s="136">
        <v>24</v>
      </c>
      <c r="H420" s="135" t="s">
        <v>1384</v>
      </c>
      <c r="I420" s="81" t="s">
        <v>1409</v>
      </c>
      <c r="K420" s="81" t="s">
        <v>1408</v>
      </c>
    </row>
    <row r="421" spans="1:11" ht="27.75">
      <c r="A421" s="135" t="s">
        <v>417</v>
      </c>
      <c r="B421" s="135" t="s">
        <v>418</v>
      </c>
      <c r="C421" s="135" t="s">
        <v>39</v>
      </c>
      <c r="D421" s="135" t="s">
        <v>40</v>
      </c>
      <c r="E421" s="135" t="s">
        <v>1384</v>
      </c>
      <c r="F421" s="135" t="s">
        <v>1385</v>
      </c>
      <c r="G421" s="136">
        <v>24</v>
      </c>
      <c r="H421" s="135" t="s">
        <v>1384</v>
      </c>
      <c r="I421" s="81" t="s">
        <v>1409</v>
      </c>
      <c r="K421" s="81" t="s">
        <v>1408</v>
      </c>
    </row>
    <row r="422" spans="1:11" ht="27.75">
      <c r="A422" s="135" t="s">
        <v>419</v>
      </c>
      <c r="B422" s="135" t="s">
        <v>420</v>
      </c>
      <c r="C422" s="135" t="s">
        <v>39</v>
      </c>
      <c r="D422" s="135" t="s">
        <v>40</v>
      </c>
      <c r="E422" s="135" t="s">
        <v>1384</v>
      </c>
      <c r="F422" s="135" t="s">
        <v>1385</v>
      </c>
      <c r="G422" s="136">
        <v>24</v>
      </c>
      <c r="H422" s="135" t="s">
        <v>1384</v>
      </c>
      <c r="I422" s="81" t="s">
        <v>1409</v>
      </c>
      <c r="K422" s="81" t="s">
        <v>1408</v>
      </c>
    </row>
    <row r="423" spans="1:11" ht="27.75">
      <c r="A423" s="135" t="s">
        <v>421</v>
      </c>
      <c r="B423" s="135" t="s">
        <v>422</v>
      </c>
      <c r="C423" s="135" t="s">
        <v>39</v>
      </c>
      <c r="D423" s="135" t="s">
        <v>40</v>
      </c>
      <c r="E423" s="135" t="s">
        <v>1384</v>
      </c>
      <c r="F423" s="135" t="s">
        <v>1385</v>
      </c>
      <c r="G423" s="136">
        <v>24</v>
      </c>
      <c r="H423" s="135" t="s">
        <v>1384</v>
      </c>
      <c r="I423" s="81" t="s">
        <v>1409</v>
      </c>
      <c r="K423" s="81" t="s">
        <v>1408</v>
      </c>
    </row>
    <row r="424" spans="1:11" ht="27.75">
      <c r="A424" s="135" t="s">
        <v>423</v>
      </c>
      <c r="B424" s="135" t="s">
        <v>424</v>
      </c>
      <c r="C424" s="135" t="s">
        <v>39</v>
      </c>
      <c r="D424" s="135" t="s">
        <v>40</v>
      </c>
      <c r="E424" s="135" t="s">
        <v>1384</v>
      </c>
      <c r="F424" s="135" t="s">
        <v>1385</v>
      </c>
      <c r="G424" s="136">
        <v>24</v>
      </c>
      <c r="H424" s="135" t="s">
        <v>1384</v>
      </c>
      <c r="I424" s="81" t="s">
        <v>1409</v>
      </c>
      <c r="K424" s="81" t="s">
        <v>1408</v>
      </c>
    </row>
    <row r="425" spans="1:11" ht="27.75">
      <c r="A425" s="135" t="s">
        <v>425</v>
      </c>
      <c r="B425" s="135" t="s">
        <v>426</v>
      </c>
      <c r="C425" s="135" t="s">
        <v>39</v>
      </c>
      <c r="D425" s="135" t="s">
        <v>40</v>
      </c>
      <c r="E425" s="135" t="s">
        <v>1384</v>
      </c>
      <c r="F425" s="135" t="s">
        <v>1385</v>
      </c>
      <c r="G425" s="136">
        <v>24</v>
      </c>
      <c r="H425" s="135" t="s">
        <v>1384</v>
      </c>
      <c r="I425" s="81" t="s">
        <v>1409</v>
      </c>
      <c r="K425" s="81" t="s">
        <v>1408</v>
      </c>
    </row>
    <row r="426" spans="1:11" ht="27.75">
      <c r="A426" s="135" t="s">
        <v>427</v>
      </c>
      <c r="B426" s="135" t="s">
        <v>428</v>
      </c>
      <c r="C426" s="135" t="s">
        <v>39</v>
      </c>
      <c r="D426" s="135" t="s">
        <v>40</v>
      </c>
      <c r="E426" s="135" t="s">
        <v>1384</v>
      </c>
      <c r="F426" s="135" t="s">
        <v>1385</v>
      </c>
      <c r="G426" s="136">
        <v>24</v>
      </c>
      <c r="H426" s="135" t="s">
        <v>1384</v>
      </c>
      <c r="I426" s="81" t="s">
        <v>1409</v>
      </c>
      <c r="K426" s="81" t="s">
        <v>1408</v>
      </c>
    </row>
    <row r="427" spans="1:11" ht="27.75">
      <c r="A427" s="135" t="s">
        <v>429</v>
      </c>
      <c r="B427" s="135" t="s">
        <v>430</v>
      </c>
      <c r="C427" s="135" t="s">
        <v>39</v>
      </c>
      <c r="D427" s="135" t="s">
        <v>40</v>
      </c>
      <c r="E427" s="135" t="s">
        <v>1384</v>
      </c>
      <c r="F427" s="135" t="s">
        <v>1385</v>
      </c>
      <c r="G427" s="136">
        <v>24</v>
      </c>
      <c r="H427" s="135" t="s">
        <v>1384</v>
      </c>
      <c r="I427" s="81" t="s">
        <v>1409</v>
      </c>
      <c r="K427" s="81" t="s">
        <v>1408</v>
      </c>
    </row>
    <row r="428" spans="1:11" ht="27.75">
      <c r="A428" s="135" t="s">
        <v>431</v>
      </c>
      <c r="B428" s="135" t="s">
        <v>432</v>
      </c>
      <c r="C428" s="135" t="s">
        <v>39</v>
      </c>
      <c r="D428" s="135" t="s">
        <v>40</v>
      </c>
      <c r="E428" s="135" t="s">
        <v>1386</v>
      </c>
      <c r="F428" s="135" t="s">
        <v>1387</v>
      </c>
      <c r="G428" s="136">
        <v>24</v>
      </c>
      <c r="H428" s="135" t="s">
        <v>1386</v>
      </c>
      <c r="I428" s="81" t="s">
        <v>1409</v>
      </c>
      <c r="K428" s="81" t="s">
        <v>1408</v>
      </c>
    </row>
    <row r="429" spans="1:11" ht="27.75">
      <c r="A429" s="135" t="s">
        <v>433</v>
      </c>
      <c r="B429" s="135" t="s">
        <v>434</v>
      </c>
      <c r="C429" s="135" t="s">
        <v>39</v>
      </c>
      <c r="D429" s="135" t="s">
        <v>40</v>
      </c>
      <c r="E429" s="135" t="s">
        <v>1386</v>
      </c>
      <c r="F429" s="135" t="s">
        <v>1387</v>
      </c>
      <c r="G429" s="136">
        <v>24</v>
      </c>
      <c r="H429" s="135" t="s">
        <v>1386</v>
      </c>
      <c r="I429" s="81" t="s">
        <v>1409</v>
      </c>
      <c r="K429" s="81" t="s">
        <v>1408</v>
      </c>
    </row>
    <row r="430" spans="1:11" ht="27.75">
      <c r="A430" s="135" t="s">
        <v>435</v>
      </c>
      <c r="B430" s="135" t="s">
        <v>436</v>
      </c>
      <c r="C430" s="135" t="s">
        <v>39</v>
      </c>
      <c r="D430" s="135" t="s">
        <v>40</v>
      </c>
      <c r="E430" s="135" t="s">
        <v>1386</v>
      </c>
      <c r="F430" s="135" t="s">
        <v>1387</v>
      </c>
      <c r="G430" s="136">
        <v>24</v>
      </c>
      <c r="H430" s="135" t="s">
        <v>1386</v>
      </c>
      <c r="I430" s="81" t="s">
        <v>1409</v>
      </c>
      <c r="K430" s="81" t="s">
        <v>1408</v>
      </c>
    </row>
    <row r="431" spans="1:11" ht="27.75">
      <c r="A431" s="135" t="s">
        <v>437</v>
      </c>
      <c r="B431" s="135" t="s">
        <v>438</v>
      </c>
      <c r="C431" s="135" t="s">
        <v>39</v>
      </c>
      <c r="D431" s="135" t="s">
        <v>40</v>
      </c>
      <c r="E431" s="135" t="s">
        <v>1386</v>
      </c>
      <c r="F431" s="135" t="s">
        <v>1387</v>
      </c>
      <c r="G431" s="136">
        <v>24</v>
      </c>
      <c r="H431" s="135" t="s">
        <v>1386</v>
      </c>
      <c r="I431" s="81" t="s">
        <v>1409</v>
      </c>
      <c r="K431" s="81" t="s">
        <v>1408</v>
      </c>
    </row>
    <row r="432" spans="1:11" ht="27.75">
      <c r="A432" s="135" t="s">
        <v>439</v>
      </c>
      <c r="B432" s="135" t="s">
        <v>440</v>
      </c>
      <c r="C432" s="135" t="s">
        <v>39</v>
      </c>
      <c r="D432" s="135" t="s">
        <v>40</v>
      </c>
      <c r="E432" s="135" t="s">
        <v>1386</v>
      </c>
      <c r="F432" s="135" t="s">
        <v>1387</v>
      </c>
      <c r="G432" s="136">
        <v>24</v>
      </c>
      <c r="H432" s="135" t="s">
        <v>1386</v>
      </c>
      <c r="I432" s="81" t="s">
        <v>1409</v>
      </c>
      <c r="K432" s="81" t="s">
        <v>1408</v>
      </c>
    </row>
    <row r="433" spans="1:11" ht="27.75">
      <c r="A433" s="135" t="s">
        <v>441</v>
      </c>
      <c r="B433" s="135" t="s">
        <v>442</v>
      </c>
      <c r="C433" s="135" t="s">
        <v>39</v>
      </c>
      <c r="D433" s="135" t="s">
        <v>40</v>
      </c>
      <c r="E433" s="135" t="s">
        <v>1386</v>
      </c>
      <c r="F433" s="135" t="s">
        <v>1387</v>
      </c>
      <c r="G433" s="136">
        <v>24</v>
      </c>
      <c r="H433" s="135" t="s">
        <v>1386</v>
      </c>
      <c r="I433" s="81" t="s">
        <v>1409</v>
      </c>
      <c r="K433" s="81" t="s">
        <v>1408</v>
      </c>
    </row>
    <row r="434" spans="1:11" ht="27.75">
      <c r="A434" s="135" t="s">
        <v>443</v>
      </c>
      <c r="B434" s="135" t="s">
        <v>444</v>
      </c>
      <c r="C434" s="135" t="s">
        <v>39</v>
      </c>
      <c r="D434" s="135" t="s">
        <v>40</v>
      </c>
      <c r="E434" s="135" t="s">
        <v>1386</v>
      </c>
      <c r="F434" s="135" t="s">
        <v>1387</v>
      </c>
      <c r="G434" s="136">
        <v>24</v>
      </c>
      <c r="H434" s="135" t="s">
        <v>1386</v>
      </c>
      <c r="I434" s="81" t="s">
        <v>1409</v>
      </c>
      <c r="K434" s="81" t="s">
        <v>1408</v>
      </c>
    </row>
    <row r="435" spans="1:11" ht="27.75">
      <c r="A435" s="135" t="s">
        <v>445</v>
      </c>
      <c r="B435" s="135" t="s">
        <v>446</v>
      </c>
      <c r="C435" s="135" t="s">
        <v>39</v>
      </c>
      <c r="D435" s="135" t="s">
        <v>40</v>
      </c>
      <c r="E435" s="135" t="s">
        <v>1386</v>
      </c>
      <c r="F435" s="135" t="s">
        <v>1387</v>
      </c>
      <c r="G435" s="136">
        <v>24</v>
      </c>
      <c r="H435" s="135" t="s">
        <v>1386</v>
      </c>
      <c r="I435" s="81" t="s">
        <v>1409</v>
      </c>
      <c r="K435" s="81" t="s">
        <v>1408</v>
      </c>
    </row>
    <row r="436" spans="1:11" ht="27.75">
      <c r="A436" s="135" t="s">
        <v>970</v>
      </c>
      <c r="B436" s="135" t="s">
        <v>971</v>
      </c>
      <c r="C436" s="135" t="s">
        <v>39</v>
      </c>
      <c r="D436" s="135" t="s">
        <v>40</v>
      </c>
      <c r="E436" s="135" t="s">
        <v>1386</v>
      </c>
      <c r="F436" s="135" t="s">
        <v>1387</v>
      </c>
      <c r="G436" s="136">
        <v>24</v>
      </c>
      <c r="H436" s="135" t="s">
        <v>1386</v>
      </c>
      <c r="I436" s="81" t="s">
        <v>1409</v>
      </c>
      <c r="K436" s="81" t="s">
        <v>1411</v>
      </c>
    </row>
    <row r="437" spans="1:11" ht="27.75">
      <c r="A437" s="135" t="s">
        <v>447</v>
      </c>
      <c r="B437" s="135" t="s">
        <v>448</v>
      </c>
      <c r="C437" s="135" t="s">
        <v>39</v>
      </c>
      <c r="D437" s="135" t="s">
        <v>40</v>
      </c>
      <c r="E437" s="135" t="s">
        <v>1386</v>
      </c>
      <c r="F437" s="135" t="s">
        <v>1387</v>
      </c>
      <c r="G437" s="136">
        <v>24</v>
      </c>
      <c r="H437" s="135" t="s">
        <v>1386</v>
      </c>
      <c r="I437" s="81" t="s">
        <v>1409</v>
      </c>
      <c r="K437" s="81" t="s">
        <v>1408</v>
      </c>
    </row>
    <row r="438" spans="1:11" ht="27.75">
      <c r="A438" s="135" t="s">
        <v>972</v>
      </c>
      <c r="B438" s="135" t="s">
        <v>973</v>
      </c>
      <c r="C438" s="135" t="s">
        <v>39</v>
      </c>
      <c r="D438" s="135" t="s">
        <v>40</v>
      </c>
      <c r="E438" s="135" t="s">
        <v>1386</v>
      </c>
      <c r="F438" s="135" t="s">
        <v>1387</v>
      </c>
      <c r="G438" s="136">
        <v>24</v>
      </c>
      <c r="H438" s="135" t="s">
        <v>1386</v>
      </c>
      <c r="I438" s="81" t="s">
        <v>1409</v>
      </c>
      <c r="K438" s="81" t="s">
        <v>1411</v>
      </c>
    </row>
    <row r="439" spans="1:11" ht="27.75">
      <c r="A439" s="135" t="s">
        <v>974</v>
      </c>
      <c r="B439" s="135" t="s">
        <v>975</v>
      </c>
      <c r="C439" s="135" t="s">
        <v>39</v>
      </c>
      <c r="D439" s="135" t="s">
        <v>40</v>
      </c>
      <c r="E439" s="135" t="s">
        <v>1386</v>
      </c>
      <c r="F439" s="135" t="s">
        <v>1387</v>
      </c>
      <c r="G439" s="136">
        <v>24</v>
      </c>
      <c r="H439" s="135" t="s">
        <v>1386</v>
      </c>
      <c r="I439" s="81" t="s">
        <v>1409</v>
      </c>
      <c r="K439" s="81" t="s">
        <v>1411</v>
      </c>
    </row>
    <row r="440" spans="1:11" ht="27.75">
      <c r="A440" s="135" t="s">
        <v>976</v>
      </c>
      <c r="B440" s="135" t="s">
        <v>977</v>
      </c>
      <c r="C440" s="135" t="s">
        <v>39</v>
      </c>
      <c r="D440" s="135" t="s">
        <v>40</v>
      </c>
      <c r="E440" s="135" t="s">
        <v>1386</v>
      </c>
      <c r="F440" s="135" t="s">
        <v>1387</v>
      </c>
      <c r="G440" s="136">
        <v>24</v>
      </c>
      <c r="H440" s="135" t="s">
        <v>1386</v>
      </c>
      <c r="I440" s="81" t="s">
        <v>1409</v>
      </c>
      <c r="K440" s="81" t="s">
        <v>1411</v>
      </c>
    </row>
    <row r="441" spans="1:11" ht="27.75">
      <c r="A441" s="135" t="s">
        <v>449</v>
      </c>
      <c r="B441" s="135" t="s">
        <v>450</v>
      </c>
      <c r="C441" s="135" t="s">
        <v>39</v>
      </c>
      <c r="D441" s="135" t="s">
        <v>40</v>
      </c>
      <c r="E441" s="135" t="s">
        <v>1386</v>
      </c>
      <c r="F441" s="135" t="s">
        <v>1387</v>
      </c>
      <c r="G441" s="136">
        <v>24</v>
      </c>
      <c r="H441" s="135" t="s">
        <v>1386</v>
      </c>
      <c r="I441" s="81" t="s">
        <v>1409</v>
      </c>
      <c r="K441" s="81" t="s">
        <v>1408</v>
      </c>
    </row>
    <row r="442" spans="1:11" ht="27.75">
      <c r="A442" s="135" t="s">
        <v>451</v>
      </c>
      <c r="B442" s="135" t="s">
        <v>452</v>
      </c>
      <c r="C442" s="135" t="s">
        <v>39</v>
      </c>
      <c r="D442" s="135" t="s">
        <v>40</v>
      </c>
      <c r="E442" s="135" t="s">
        <v>1388</v>
      </c>
      <c r="F442" s="135" t="s">
        <v>1389</v>
      </c>
      <c r="G442" s="136">
        <v>24</v>
      </c>
      <c r="H442" s="135" t="s">
        <v>1388</v>
      </c>
      <c r="I442" s="81" t="s">
        <v>1409</v>
      </c>
      <c r="K442" s="81" t="s">
        <v>1408</v>
      </c>
    </row>
    <row r="443" spans="1:11" ht="27.75">
      <c r="A443" s="135" t="s">
        <v>1175</v>
      </c>
      <c r="B443" s="135" t="s">
        <v>1176</v>
      </c>
      <c r="C443" s="135" t="s">
        <v>39</v>
      </c>
      <c r="D443" s="135" t="s">
        <v>40</v>
      </c>
      <c r="E443" s="135" t="s">
        <v>1388</v>
      </c>
      <c r="F443" s="135" t="s">
        <v>1389</v>
      </c>
      <c r="G443" s="136">
        <v>24</v>
      </c>
      <c r="H443" s="135" t="s">
        <v>1388</v>
      </c>
      <c r="I443" s="81" t="s">
        <v>1407</v>
      </c>
      <c r="J443" s="81">
        <v>42643</v>
      </c>
      <c r="K443" s="81" t="s">
        <v>1408</v>
      </c>
    </row>
    <row r="444" spans="1:11" ht="27.75">
      <c r="A444" s="135" t="s">
        <v>453</v>
      </c>
      <c r="B444" s="135" t="s">
        <v>454</v>
      </c>
      <c r="C444" s="135" t="s">
        <v>39</v>
      </c>
      <c r="D444" s="135" t="s">
        <v>40</v>
      </c>
      <c r="E444" s="135" t="s">
        <v>1388</v>
      </c>
      <c r="F444" s="135" t="s">
        <v>1389</v>
      </c>
      <c r="G444" s="136">
        <v>24</v>
      </c>
      <c r="H444" s="135" t="s">
        <v>1388</v>
      </c>
      <c r="I444" s="81" t="s">
        <v>1409</v>
      </c>
      <c r="K444" s="81" t="s">
        <v>1408</v>
      </c>
    </row>
    <row r="445" spans="1:11" ht="27.75">
      <c r="A445" s="135" t="s">
        <v>455</v>
      </c>
      <c r="B445" s="135" t="s">
        <v>456</v>
      </c>
      <c r="C445" s="135" t="s">
        <v>39</v>
      </c>
      <c r="D445" s="135" t="s">
        <v>40</v>
      </c>
      <c r="E445" s="135" t="s">
        <v>1384</v>
      </c>
      <c r="F445" s="135" t="s">
        <v>1385</v>
      </c>
      <c r="G445" s="136">
        <v>24</v>
      </c>
      <c r="H445" s="135" t="s">
        <v>1384</v>
      </c>
      <c r="I445" s="81" t="s">
        <v>1409</v>
      </c>
      <c r="K445" s="81" t="s">
        <v>1408</v>
      </c>
    </row>
    <row r="446" spans="1:11" ht="27.75">
      <c r="A446" s="135" t="s">
        <v>457</v>
      </c>
      <c r="B446" s="135" t="s">
        <v>458</v>
      </c>
      <c r="C446" s="135" t="s">
        <v>39</v>
      </c>
      <c r="D446" s="135" t="s">
        <v>40</v>
      </c>
      <c r="E446" s="135" t="s">
        <v>1384</v>
      </c>
      <c r="F446" s="135" t="s">
        <v>1385</v>
      </c>
      <c r="G446" s="136">
        <v>24</v>
      </c>
      <c r="H446" s="135" t="s">
        <v>1384</v>
      </c>
      <c r="I446" s="81" t="s">
        <v>1409</v>
      </c>
      <c r="K446" s="81" t="s">
        <v>1408</v>
      </c>
    </row>
    <row r="447" spans="1:11" ht="27.75">
      <c r="A447" s="135" t="s">
        <v>459</v>
      </c>
      <c r="B447" s="135" t="s">
        <v>460</v>
      </c>
      <c r="C447" s="135" t="s">
        <v>39</v>
      </c>
      <c r="D447" s="135" t="s">
        <v>40</v>
      </c>
      <c r="E447" s="135" t="s">
        <v>1384</v>
      </c>
      <c r="F447" s="135" t="s">
        <v>1385</v>
      </c>
      <c r="G447" s="136">
        <v>24</v>
      </c>
      <c r="H447" s="135" t="s">
        <v>1384</v>
      </c>
      <c r="I447" s="81" t="s">
        <v>1409</v>
      </c>
      <c r="K447" s="81" t="s">
        <v>1408</v>
      </c>
    </row>
    <row r="448" spans="1:11" ht="27.75">
      <c r="A448" s="135" t="s">
        <v>461</v>
      </c>
      <c r="B448" s="135" t="s">
        <v>462</v>
      </c>
      <c r="C448" s="135" t="s">
        <v>39</v>
      </c>
      <c r="D448" s="135" t="s">
        <v>40</v>
      </c>
      <c r="E448" s="135" t="s">
        <v>1384</v>
      </c>
      <c r="F448" s="135" t="s">
        <v>1385</v>
      </c>
      <c r="G448" s="136">
        <v>24</v>
      </c>
      <c r="H448" s="135" t="s">
        <v>1384</v>
      </c>
      <c r="I448" s="81" t="s">
        <v>1409</v>
      </c>
      <c r="K448" s="81" t="s">
        <v>1408</v>
      </c>
    </row>
    <row r="449" spans="1:11" ht="27.75">
      <c r="A449" s="135" t="s">
        <v>463</v>
      </c>
      <c r="B449" s="135" t="s">
        <v>464</v>
      </c>
      <c r="C449" s="135" t="s">
        <v>39</v>
      </c>
      <c r="D449" s="135" t="s">
        <v>40</v>
      </c>
      <c r="E449" s="135" t="s">
        <v>1384</v>
      </c>
      <c r="F449" s="135" t="s">
        <v>1385</v>
      </c>
      <c r="G449" s="136">
        <v>24</v>
      </c>
      <c r="H449" s="135" t="s">
        <v>1384</v>
      </c>
      <c r="I449" s="81" t="s">
        <v>1409</v>
      </c>
      <c r="K449" s="81" t="s">
        <v>1408</v>
      </c>
    </row>
    <row r="450" spans="1:11" ht="27.75">
      <c r="A450" s="135" t="s">
        <v>465</v>
      </c>
      <c r="B450" s="135" t="s">
        <v>466</v>
      </c>
      <c r="C450" s="135" t="s">
        <v>39</v>
      </c>
      <c r="D450" s="135" t="s">
        <v>40</v>
      </c>
      <c r="E450" s="135" t="s">
        <v>1384</v>
      </c>
      <c r="F450" s="135" t="s">
        <v>1385</v>
      </c>
      <c r="G450" s="136">
        <v>24</v>
      </c>
      <c r="H450" s="135" t="s">
        <v>1384</v>
      </c>
      <c r="I450" s="81" t="s">
        <v>1409</v>
      </c>
      <c r="K450" s="81" t="s">
        <v>1408</v>
      </c>
    </row>
    <row r="451" spans="1:11" ht="27.75">
      <c r="A451" s="135" t="s">
        <v>467</v>
      </c>
      <c r="B451" s="135" t="s">
        <v>468</v>
      </c>
      <c r="C451" s="135" t="s">
        <v>39</v>
      </c>
      <c r="D451" s="135" t="s">
        <v>40</v>
      </c>
      <c r="E451" s="135" t="s">
        <v>1384</v>
      </c>
      <c r="F451" s="135" t="s">
        <v>1385</v>
      </c>
      <c r="G451" s="136">
        <v>24</v>
      </c>
      <c r="H451" s="135" t="s">
        <v>1384</v>
      </c>
      <c r="I451" s="81" t="s">
        <v>1409</v>
      </c>
      <c r="K451" s="81" t="s">
        <v>1408</v>
      </c>
    </row>
    <row r="452" spans="1:11" ht="27.75">
      <c r="A452" s="135" t="s">
        <v>469</v>
      </c>
      <c r="B452" s="135" t="s">
        <v>470</v>
      </c>
      <c r="C452" s="135" t="s">
        <v>39</v>
      </c>
      <c r="D452" s="135" t="s">
        <v>40</v>
      </c>
      <c r="E452" s="135" t="s">
        <v>1384</v>
      </c>
      <c r="F452" s="135" t="s">
        <v>1385</v>
      </c>
      <c r="G452" s="136">
        <v>24</v>
      </c>
      <c r="H452" s="135" t="s">
        <v>1384</v>
      </c>
      <c r="I452" s="81" t="s">
        <v>1409</v>
      </c>
      <c r="K452" s="81" t="s">
        <v>1408</v>
      </c>
    </row>
    <row r="453" spans="1:11" ht="18" customHeight="1">
      <c r="A453" s="135" t="s">
        <v>471</v>
      </c>
      <c r="B453" s="135" t="s">
        <v>472</v>
      </c>
      <c r="C453" s="135" t="s">
        <v>39</v>
      </c>
      <c r="D453" s="135" t="s">
        <v>40</v>
      </c>
      <c r="E453" s="135" t="s">
        <v>1384</v>
      </c>
      <c r="F453" s="135" t="s">
        <v>1385</v>
      </c>
      <c r="G453" s="136">
        <v>24</v>
      </c>
      <c r="H453" s="135" t="s">
        <v>1384</v>
      </c>
      <c r="I453" s="81" t="s">
        <v>1409</v>
      </c>
      <c r="K453" s="81" t="s">
        <v>1408</v>
      </c>
    </row>
    <row r="454" spans="1:11" ht="27.75">
      <c r="A454" s="135" t="s">
        <v>473</v>
      </c>
      <c r="B454" s="135" t="s">
        <v>474</v>
      </c>
      <c r="C454" s="135" t="s">
        <v>39</v>
      </c>
      <c r="D454" s="135" t="s">
        <v>40</v>
      </c>
      <c r="E454" s="135" t="s">
        <v>1384</v>
      </c>
      <c r="F454" s="135" t="s">
        <v>1385</v>
      </c>
      <c r="G454" s="136">
        <v>24</v>
      </c>
      <c r="H454" s="135" t="s">
        <v>1384</v>
      </c>
      <c r="I454" s="81" t="s">
        <v>1409</v>
      </c>
      <c r="K454" s="81" t="s">
        <v>1408</v>
      </c>
    </row>
    <row r="455" spans="1:11" ht="27.75">
      <c r="A455" s="135" t="s">
        <v>475</v>
      </c>
      <c r="B455" s="135" t="s">
        <v>476</v>
      </c>
      <c r="C455" s="135" t="s">
        <v>39</v>
      </c>
      <c r="D455" s="135" t="s">
        <v>40</v>
      </c>
      <c r="E455" s="135" t="s">
        <v>1386</v>
      </c>
      <c r="F455" s="135" t="s">
        <v>1387</v>
      </c>
      <c r="G455" s="136">
        <v>24</v>
      </c>
      <c r="H455" s="135" t="s">
        <v>1386</v>
      </c>
      <c r="I455" s="81" t="s">
        <v>1409</v>
      </c>
      <c r="K455" s="81" t="s">
        <v>1408</v>
      </c>
    </row>
    <row r="456" spans="1:11" ht="27.75">
      <c r="A456" s="135" t="s">
        <v>477</v>
      </c>
      <c r="B456" s="135" t="s">
        <v>478</v>
      </c>
      <c r="C456" s="135" t="s">
        <v>39</v>
      </c>
      <c r="D456" s="135" t="s">
        <v>40</v>
      </c>
      <c r="E456" s="135" t="s">
        <v>1386</v>
      </c>
      <c r="F456" s="135" t="s">
        <v>1387</v>
      </c>
      <c r="G456" s="136">
        <v>24</v>
      </c>
      <c r="H456" s="135" t="s">
        <v>1386</v>
      </c>
      <c r="I456" s="81" t="s">
        <v>1409</v>
      </c>
      <c r="K456" s="81" t="s">
        <v>1408</v>
      </c>
    </row>
    <row r="457" spans="1:11" ht="27.75">
      <c r="A457" s="135" t="s">
        <v>479</v>
      </c>
      <c r="B457" s="135" t="s">
        <v>480</v>
      </c>
      <c r="C457" s="135" t="s">
        <v>39</v>
      </c>
      <c r="D457" s="135" t="s">
        <v>40</v>
      </c>
      <c r="E457" s="135" t="s">
        <v>1386</v>
      </c>
      <c r="F457" s="135" t="s">
        <v>1387</v>
      </c>
      <c r="G457" s="136">
        <v>24</v>
      </c>
      <c r="H457" s="135" t="s">
        <v>1386</v>
      </c>
      <c r="I457" s="81" t="s">
        <v>1409</v>
      </c>
      <c r="K457" s="81" t="s">
        <v>1408</v>
      </c>
    </row>
    <row r="458" spans="1:11" ht="27.75">
      <c r="A458" s="135" t="s">
        <v>481</v>
      </c>
      <c r="B458" s="135" t="s">
        <v>482</v>
      </c>
      <c r="C458" s="135" t="s">
        <v>39</v>
      </c>
      <c r="D458" s="135" t="s">
        <v>40</v>
      </c>
      <c r="E458" s="135" t="s">
        <v>1386</v>
      </c>
      <c r="F458" s="135" t="s">
        <v>1387</v>
      </c>
      <c r="G458" s="136">
        <v>24</v>
      </c>
      <c r="H458" s="135" t="s">
        <v>1386</v>
      </c>
      <c r="I458" s="81" t="s">
        <v>1409</v>
      </c>
      <c r="K458" s="81" t="s">
        <v>1408</v>
      </c>
    </row>
    <row r="459" spans="1:11" ht="27.75">
      <c r="A459" s="135" t="s">
        <v>483</v>
      </c>
      <c r="B459" s="135" t="s">
        <v>484</v>
      </c>
      <c r="C459" s="135" t="s">
        <v>39</v>
      </c>
      <c r="D459" s="135" t="s">
        <v>40</v>
      </c>
      <c r="E459" s="135" t="s">
        <v>1386</v>
      </c>
      <c r="F459" s="135" t="s">
        <v>1387</v>
      </c>
      <c r="G459" s="136">
        <v>24</v>
      </c>
      <c r="H459" s="135" t="s">
        <v>1386</v>
      </c>
      <c r="I459" s="81" t="s">
        <v>1409</v>
      </c>
      <c r="K459" s="81" t="s">
        <v>1408</v>
      </c>
    </row>
    <row r="460" spans="1:11" ht="27.75">
      <c r="A460" s="135" t="s">
        <v>485</v>
      </c>
      <c r="B460" s="135" t="s">
        <v>486</v>
      </c>
      <c r="C460" s="135" t="s">
        <v>39</v>
      </c>
      <c r="D460" s="135" t="s">
        <v>40</v>
      </c>
      <c r="E460" s="135" t="s">
        <v>1386</v>
      </c>
      <c r="F460" s="135" t="s">
        <v>1387</v>
      </c>
      <c r="G460" s="136">
        <v>24</v>
      </c>
      <c r="H460" s="135" t="s">
        <v>1386</v>
      </c>
      <c r="I460" s="81" t="s">
        <v>1409</v>
      </c>
      <c r="K460" s="81" t="s">
        <v>1408</v>
      </c>
    </row>
    <row r="461" spans="1:11" ht="27.75">
      <c r="A461" s="135" t="s">
        <v>487</v>
      </c>
      <c r="B461" s="135" t="s">
        <v>488</v>
      </c>
      <c r="C461" s="135" t="s">
        <v>39</v>
      </c>
      <c r="D461" s="135" t="s">
        <v>40</v>
      </c>
      <c r="E461" s="135" t="s">
        <v>1386</v>
      </c>
      <c r="F461" s="135" t="s">
        <v>1387</v>
      </c>
      <c r="G461" s="136">
        <v>24</v>
      </c>
      <c r="H461" s="135" t="s">
        <v>1386</v>
      </c>
      <c r="I461" s="81" t="s">
        <v>1409</v>
      </c>
      <c r="K461" s="81" t="s">
        <v>1408</v>
      </c>
    </row>
    <row r="462" spans="1:11" ht="27.75">
      <c r="A462" s="135" t="s">
        <v>489</v>
      </c>
      <c r="B462" s="135" t="s">
        <v>490</v>
      </c>
      <c r="C462" s="135" t="s">
        <v>39</v>
      </c>
      <c r="D462" s="135" t="s">
        <v>40</v>
      </c>
      <c r="E462" s="135" t="s">
        <v>1386</v>
      </c>
      <c r="F462" s="135" t="s">
        <v>1387</v>
      </c>
      <c r="G462" s="136">
        <v>24</v>
      </c>
      <c r="H462" s="135" t="s">
        <v>1386</v>
      </c>
      <c r="I462" s="81" t="s">
        <v>1409</v>
      </c>
      <c r="K462" s="81" t="s">
        <v>1408</v>
      </c>
    </row>
    <row r="463" spans="1:11" ht="27.75">
      <c r="A463" s="135" t="s">
        <v>491</v>
      </c>
      <c r="B463" s="135" t="s">
        <v>492</v>
      </c>
      <c r="C463" s="135" t="s">
        <v>39</v>
      </c>
      <c r="D463" s="135" t="s">
        <v>40</v>
      </c>
      <c r="E463" s="135" t="s">
        <v>1386</v>
      </c>
      <c r="F463" s="135" t="s">
        <v>1387</v>
      </c>
      <c r="G463" s="136">
        <v>24</v>
      </c>
      <c r="H463" s="135" t="s">
        <v>1386</v>
      </c>
      <c r="I463" s="81" t="s">
        <v>1409</v>
      </c>
      <c r="K463" s="81" t="s">
        <v>1408</v>
      </c>
    </row>
    <row r="464" spans="1:11" ht="27.75">
      <c r="A464" s="135" t="s">
        <v>493</v>
      </c>
      <c r="B464" s="135" t="s">
        <v>494</v>
      </c>
      <c r="C464" s="135" t="s">
        <v>39</v>
      </c>
      <c r="D464" s="135" t="s">
        <v>40</v>
      </c>
      <c r="E464" s="135" t="s">
        <v>1386</v>
      </c>
      <c r="F464" s="135" t="s">
        <v>1387</v>
      </c>
      <c r="G464" s="136">
        <v>24</v>
      </c>
      <c r="H464" s="135" t="s">
        <v>1386</v>
      </c>
      <c r="I464" s="81" t="s">
        <v>1409</v>
      </c>
      <c r="K464" s="81" t="s">
        <v>1408</v>
      </c>
    </row>
    <row r="465" spans="1:11" ht="27.75">
      <c r="A465" s="135" t="s">
        <v>495</v>
      </c>
      <c r="B465" s="135" t="s">
        <v>496</v>
      </c>
      <c r="C465" s="135" t="s">
        <v>39</v>
      </c>
      <c r="D465" s="135" t="s">
        <v>40</v>
      </c>
      <c r="E465" s="135" t="s">
        <v>1388</v>
      </c>
      <c r="F465" s="135" t="s">
        <v>1389</v>
      </c>
      <c r="G465" s="136">
        <v>24</v>
      </c>
      <c r="H465" s="135" t="s">
        <v>1388</v>
      </c>
      <c r="I465" s="81" t="s">
        <v>1409</v>
      </c>
      <c r="K465" s="81" t="s">
        <v>1408</v>
      </c>
    </row>
    <row r="466" spans="1:11" ht="27.75">
      <c r="A466" s="135" t="s">
        <v>1177</v>
      </c>
      <c r="B466" s="135" t="s">
        <v>1178</v>
      </c>
      <c r="C466" s="135" t="s">
        <v>39</v>
      </c>
      <c r="D466" s="135" t="s">
        <v>40</v>
      </c>
      <c r="E466" s="135" t="s">
        <v>1388</v>
      </c>
      <c r="F466" s="135" t="s">
        <v>1389</v>
      </c>
      <c r="G466" s="136">
        <v>24</v>
      </c>
      <c r="H466" s="135" t="s">
        <v>1388</v>
      </c>
      <c r="I466" s="81" t="s">
        <v>1407</v>
      </c>
      <c r="J466" s="81">
        <v>42643</v>
      </c>
      <c r="K466" s="81" t="s">
        <v>1408</v>
      </c>
    </row>
    <row r="467" spans="1:11" ht="27.75">
      <c r="A467" s="135" t="s">
        <v>497</v>
      </c>
      <c r="B467" s="135" t="s">
        <v>498</v>
      </c>
      <c r="C467" s="135" t="s">
        <v>39</v>
      </c>
      <c r="D467" s="135" t="s">
        <v>40</v>
      </c>
      <c r="E467" s="135" t="s">
        <v>1388</v>
      </c>
      <c r="F467" s="135" t="s">
        <v>1389</v>
      </c>
      <c r="G467" s="136">
        <v>24</v>
      </c>
      <c r="H467" s="135" t="s">
        <v>1388</v>
      </c>
      <c r="I467" s="81" t="s">
        <v>1409</v>
      </c>
      <c r="K467" s="81" t="s">
        <v>1408</v>
      </c>
    </row>
    <row r="468" spans="1:11" ht="27.75">
      <c r="A468" s="135" t="s">
        <v>499</v>
      </c>
      <c r="B468" s="135" t="s">
        <v>500</v>
      </c>
      <c r="C468" s="135" t="s">
        <v>39</v>
      </c>
      <c r="D468" s="135" t="s">
        <v>40</v>
      </c>
      <c r="E468" s="135" t="s">
        <v>1384</v>
      </c>
      <c r="F468" s="135" t="s">
        <v>1385</v>
      </c>
      <c r="G468" s="136">
        <v>24</v>
      </c>
      <c r="H468" s="135" t="s">
        <v>1384</v>
      </c>
      <c r="I468" s="81" t="s">
        <v>1409</v>
      </c>
      <c r="K468" s="81" t="s">
        <v>1408</v>
      </c>
    </row>
    <row r="469" spans="1:11" ht="27.75">
      <c r="A469" s="135" t="s">
        <v>501</v>
      </c>
      <c r="B469" s="135" t="s">
        <v>502</v>
      </c>
      <c r="C469" s="135" t="s">
        <v>39</v>
      </c>
      <c r="D469" s="135" t="s">
        <v>40</v>
      </c>
      <c r="E469" s="135" t="s">
        <v>1384</v>
      </c>
      <c r="F469" s="135" t="s">
        <v>1385</v>
      </c>
      <c r="G469" s="136">
        <v>24</v>
      </c>
      <c r="H469" s="135" t="s">
        <v>1384</v>
      </c>
      <c r="I469" s="81" t="s">
        <v>1409</v>
      </c>
      <c r="K469" s="81" t="s">
        <v>1408</v>
      </c>
    </row>
    <row r="470" spans="1:11" ht="27.75">
      <c r="A470" s="135" t="s">
        <v>1179</v>
      </c>
      <c r="B470" s="135" t="s">
        <v>1180</v>
      </c>
      <c r="C470" s="135" t="s">
        <v>41</v>
      </c>
      <c r="D470" s="135" t="s">
        <v>42</v>
      </c>
      <c r="E470" s="135" t="s">
        <v>1396</v>
      </c>
      <c r="F470" s="135" t="s">
        <v>1397</v>
      </c>
      <c r="G470" s="136">
        <v>25</v>
      </c>
      <c r="H470" s="135" t="s">
        <v>1396</v>
      </c>
      <c r="I470" s="81" t="s">
        <v>1407</v>
      </c>
      <c r="J470" s="81">
        <v>42643</v>
      </c>
      <c r="K470" s="81" t="s">
        <v>1408</v>
      </c>
    </row>
    <row r="471" spans="1:11" ht="27.75">
      <c r="A471" s="135" t="s">
        <v>1181</v>
      </c>
      <c r="B471" s="135" t="s">
        <v>1182</v>
      </c>
      <c r="C471" s="135" t="s">
        <v>41</v>
      </c>
      <c r="D471" s="135" t="s">
        <v>42</v>
      </c>
      <c r="E471" s="135" t="s">
        <v>1396</v>
      </c>
      <c r="F471" s="135" t="s">
        <v>1397</v>
      </c>
      <c r="G471" s="136">
        <v>25</v>
      </c>
      <c r="H471" s="135" t="s">
        <v>1396</v>
      </c>
      <c r="I471" s="81" t="s">
        <v>1407</v>
      </c>
      <c r="J471" s="81">
        <v>42643</v>
      </c>
      <c r="K471" s="81" t="s">
        <v>1408</v>
      </c>
    </row>
    <row r="472" spans="1:11" ht="27.75">
      <c r="A472" s="135" t="s">
        <v>1183</v>
      </c>
      <c r="B472" s="135" t="s">
        <v>1184</v>
      </c>
      <c r="C472" s="135" t="s">
        <v>41</v>
      </c>
      <c r="D472" s="135" t="s">
        <v>42</v>
      </c>
      <c r="E472" s="135" t="s">
        <v>1396</v>
      </c>
      <c r="F472" s="135" t="s">
        <v>1397</v>
      </c>
      <c r="G472" s="136">
        <v>25</v>
      </c>
      <c r="H472" s="135" t="s">
        <v>1396</v>
      </c>
      <c r="I472" s="81" t="s">
        <v>1407</v>
      </c>
      <c r="J472" s="81">
        <v>42643</v>
      </c>
      <c r="K472" s="81" t="s">
        <v>1408</v>
      </c>
    </row>
    <row r="473" spans="1:11" ht="27.75">
      <c r="A473" s="135" t="s">
        <v>1185</v>
      </c>
      <c r="B473" s="135" t="s">
        <v>1186</v>
      </c>
      <c r="C473" s="135" t="s">
        <v>41</v>
      </c>
      <c r="D473" s="135" t="s">
        <v>42</v>
      </c>
      <c r="E473" s="135" t="s">
        <v>1396</v>
      </c>
      <c r="F473" s="135" t="s">
        <v>1397</v>
      </c>
      <c r="G473" s="136">
        <v>25</v>
      </c>
      <c r="H473" s="135" t="s">
        <v>1396</v>
      </c>
      <c r="I473" s="81" t="s">
        <v>1407</v>
      </c>
      <c r="J473" s="81">
        <v>42643</v>
      </c>
      <c r="K473" s="81" t="s">
        <v>1408</v>
      </c>
    </row>
    <row r="474" spans="1:11" ht="27.75">
      <c r="A474" s="135" t="s">
        <v>1187</v>
      </c>
      <c r="B474" s="135" t="s">
        <v>1188</v>
      </c>
      <c r="C474" s="135" t="s">
        <v>41</v>
      </c>
      <c r="D474" s="135" t="s">
        <v>42</v>
      </c>
      <c r="E474" s="135" t="s">
        <v>1396</v>
      </c>
      <c r="F474" s="135" t="s">
        <v>1397</v>
      </c>
      <c r="G474" s="136">
        <v>25</v>
      </c>
      <c r="H474" s="135" t="s">
        <v>1396</v>
      </c>
      <c r="I474" s="81" t="s">
        <v>1407</v>
      </c>
      <c r="J474" s="81">
        <v>42643</v>
      </c>
      <c r="K474" s="81" t="s">
        <v>1408</v>
      </c>
    </row>
    <row r="475" spans="1:11" ht="27.75">
      <c r="A475" s="135" t="s">
        <v>521</v>
      </c>
      <c r="B475" s="135" t="s">
        <v>522</v>
      </c>
      <c r="C475" s="135" t="s">
        <v>41</v>
      </c>
      <c r="D475" s="135" t="s">
        <v>42</v>
      </c>
      <c r="E475" s="135" t="s">
        <v>1396</v>
      </c>
      <c r="F475" s="135" t="s">
        <v>1397</v>
      </c>
      <c r="G475" s="136">
        <v>25</v>
      </c>
      <c r="H475" s="135" t="s">
        <v>1396</v>
      </c>
      <c r="I475" s="81" t="s">
        <v>1409</v>
      </c>
      <c r="K475" s="81" t="s">
        <v>1408</v>
      </c>
    </row>
    <row r="476" spans="1:11" ht="27.75">
      <c r="A476" s="135" t="s">
        <v>523</v>
      </c>
      <c r="B476" s="135" t="s">
        <v>524</v>
      </c>
      <c r="C476" s="135" t="s">
        <v>41</v>
      </c>
      <c r="D476" s="135" t="s">
        <v>42</v>
      </c>
      <c r="E476" s="135" t="s">
        <v>1396</v>
      </c>
      <c r="F476" s="135" t="s">
        <v>1397</v>
      </c>
      <c r="G476" s="136">
        <v>25</v>
      </c>
      <c r="H476" s="135" t="s">
        <v>1396</v>
      </c>
      <c r="I476" s="81" t="s">
        <v>1409</v>
      </c>
      <c r="K476" s="81" t="s">
        <v>1408</v>
      </c>
    </row>
    <row r="477" spans="1:11" ht="27.75">
      <c r="A477" s="135" t="s">
        <v>978</v>
      </c>
      <c r="B477" s="135" t="s">
        <v>979</v>
      </c>
      <c r="C477" s="135" t="s">
        <v>41</v>
      </c>
      <c r="D477" s="135" t="s">
        <v>42</v>
      </c>
      <c r="E477" s="135" t="s">
        <v>1396</v>
      </c>
      <c r="F477" s="135" t="s">
        <v>1397</v>
      </c>
      <c r="G477" s="136">
        <v>25</v>
      </c>
      <c r="H477" s="135" t="s">
        <v>1396</v>
      </c>
      <c r="I477" s="81" t="s">
        <v>1409</v>
      </c>
      <c r="K477" s="81" t="s">
        <v>1411</v>
      </c>
    </row>
    <row r="478" spans="1:11" ht="27.75">
      <c r="A478" s="135" t="s">
        <v>525</v>
      </c>
      <c r="B478" s="135" t="s">
        <v>1513</v>
      </c>
      <c r="C478" s="135" t="s">
        <v>734</v>
      </c>
      <c r="D478" s="135" t="s">
        <v>735</v>
      </c>
      <c r="E478" s="135" t="s">
        <v>1398</v>
      </c>
      <c r="F478" s="135" t="s">
        <v>1399</v>
      </c>
      <c r="G478" s="136">
        <v>164</v>
      </c>
      <c r="H478" s="135" t="s">
        <v>1398</v>
      </c>
      <c r="I478" s="81" t="s">
        <v>1409</v>
      </c>
      <c r="K478" s="81" t="s">
        <v>1408</v>
      </c>
    </row>
    <row r="479" spans="1:11" ht="27.75">
      <c r="A479" s="135" t="s">
        <v>1189</v>
      </c>
      <c r="B479" s="135" t="s">
        <v>1190</v>
      </c>
      <c r="C479" s="135" t="s">
        <v>734</v>
      </c>
      <c r="D479" s="135" t="s">
        <v>735</v>
      </c>
      <c r="E479" s="135" t="s">
        <v>1398</v>
      </c>
      <c r="F479" s="135" t="s">
        <v>1399</v>
      </c>
      <c r="G479" s="136">
        <v>164</v>
      </c>
      <c r="H479" s="135" t="s">
        <v>1398</v>
      </c>
      <c r="I479" s="81" t="s">
        <v>1407</v>
      </c>
      <c r="J479" s="81">
        <v>42643</v>
      </c>
      <c r="K479" s="81" t="s">
        <v>1408</v>
      </c>
    </row>
    <row r="480" spans="1:11" ht="27.75">
      <c r="A480" s="135" t="s">
        <v>526</v>
      </c>
      <c r="B480" s="135" t="s">
        <v>527</v>
      </c>
      <c r="C480" s="135" t="s">
        <v>734</v>
      </c>
      <c r="D480" s="135" t="s">
        <v>735</v>
      </c>
      <c r="E480" s="135" t="s">
        <v>1398</v>
      </c>
      <c r="F480" s="135" t="s">
        <v>1399</v>
      </c>
      <c r="G480" s="136">
        <v>164</v>
      </c>
      <c r="H480" s="135" t="s">
        <v>1398</v>
      </c>
      <c r="I480" s="81" t="s">
        <v>1409</v>
      </c>
      <c r="K480" s="81" t="s">
        <v>1408</v>
      </c>
    </row>
    <row r="481" spans="1:11" ht="27.75">
      <c r="A481" s="135" t="s">
        <v>528</v>
      </c>
      <c r="B481" s="135" t="s">
        <v>529</v>
      </c>
      <c r="C481" s="135" t="s">
        <v>734</v>
      </c>
      <c r="D481" s="135" t="s">
        <v>735</v>
      </c>
      <c r="E481" s="135" t="s">
        <v>1398</v>
      </c>
      <c r="F481" s="135" t="s">
        <v>1399</v>
      </c>
      <c r="G481" s="136">
        <v>164</v>
      </c>
      <c r="H481" s="135" t="s">
        <v>1398</v>
      </c>
      <c r="I481" s="81" t="s">
        <v>1409</v>
      </c>
      <c r="K481" s="81" t="s">
        <v>1408</v>
      </c>
    </row>
    <row r="482" spans="1:11" ht="27.75">
      <c r="A482" s="135" t="s">
        <v>1191</v>
      </c>
      <c r="B482" s="135" t="s">
        <v>1192</v>
      </c>
      <c r="C482" s="135" t="s">
        <v>734</v>
      </c>
      <c r="D482" s="135" t="s">
        <v>735</v>
      </c>
      <c r="E482" s="135" t="s">
        <v>1398</v>
      </c>
      <c r="F482" s="135" t="s">
        <v>1399</v>
      </c>
      <c r="G482" s="136">
        <v>164</v>
      </c>
      <c r="H482" s="135" t="s">
        <v>1398</v>
      </c>
      <c r="I482" s="81" t="s">
        <v>1407</v>
      </c>
      <c r="J482" s="81">
        <v>42643</v>
      </c>
      <c r="K482" s="81" t="s">
        <v>1408</v>
      </c>
    </row>
    <row r="483" spans="1:11" ht="27.75">
      <c r="A483" s="135" t="s">
        <v>1193</v>
      </c>
      <c r="B483" s="135" t="s">
        <v>1194</v>
      </c>
      <c r="C483" s="135" t="s">
        <v>734</v>
      </c>
      <c r="D483" s="135" t="s">
        <v>735</v>
      </c>
      <c r="E483" s="135" t="s">
        <v>1398</v>
      </c>
      <c r="F483" s="135" t="s">
        <v>1399</v>
      </c>
      <c r="G483" s="136">
        <v>164</v>
      </c>
      <c r="H483" s="135" t="s">
        <v>1398</v>
      </c>
      <c r="I483" s="81" t="s">
        <v>1407</v>
      </c>
      <c r="J483" s="81">
        <v>42643</v>
      </c>
      <c r="K483" s="81" t="s">
        <v>1408</v>
      </c>
    </row>
    <row r="484" spans="1:11" ht="27.75">
      <c r="A484" s="135" t="s">
        <v>1195</v>
      </c>
      <c r="B484" s="135" t="s">
        <v>1196</v>
      </c>
      <c r="C484" s="135" t="s">
        <v>734</v>
      </c>
      <c r="D484" s="135" t="s">
        <v>735</v>
      </c>
      <c r="E484" s="135" t="s">
        <v>1398</v>
      </c>
      <c r="F484" s="135" t="s">
        <v>1399</v>
      </c>
      <c r="G484" s="136">
        <v>164</v>
      </c>
      <c r="H484" s="135" t="s">
        <v>1398</v>
      </c>
      <c r="I484" s="81" t="s">
        <v>1407</v>
      </c>
      <c r="J484" s="81">
        <v>42643</v>
      </c>
      <c r="K484" s="81" t="s">
        <v>1408</v>
      </c>
    </row>
    <row r="485" spans="1:11" ht="27.75">
      <c r="A485" s="135" t="s">
        <v>1197</v>
      </c>
      <c r="B485" s="135" t="s">
        <v>1198</v>
      </c>
      <c r="C485" s="135" t="s">
        <v>734</v>
      </c>
      <c r="D485" s="135" t="s">
        <v>735</v>
      </c>
      <c r="E485" s="135" t="s">
        <v>1398</v>
      </c>
      <c r="F485" s="135" t="s">
        <v>1399</v>
      </c>
      <c r="G485" s="136">
        <v>164</v>
      </c>
      <c r="H485" s="135" t="s">
        <v>1398</v>
      </c>
      <c r="I485" s="81" t="s">
        <v>1407</v>
      </c>
      <c r="J485" s="81">
        <v>42643</v>
      </c>
      <c r="K485" s="81" t="s">
        <v>1408</v>
      </c>
    </row>
    <row r="486" spans="1:11" ht="27.75">
      <c r="A486" s="135" t="s">
        <v>1199</v>
      </c>
      <c r="B486" s="135" t="s">
        <v>1200</v>
      </c>
      <c r="C486" s="135" t="s">
        <v>734</v>
      </c>
      <c r="D486" s="135" t="s">
        <v>735</v>
      </c>
      <c r="E486" s="135" t="s">
        <v>1398</v>
      </c>
      <c r="F486" s="135" t="s">
        <v>1399</v>
      </c>
      <c r="G486" s="136">
        <v>164</v>
      </c>
      <c r="H486" s="135" t="s">
        <v>1398</v>
      </c>
      <c r="I486" s="81" t="s">
        <v>1407</v>
      </c>
      <c r="J486" s="81">
        <v>42643</v>
      </c>
      <c r="K486" s="81" t="s">
        <v>1408</v>
      </c>
    </row>
    <row r="487" spans="1:11" ht="27.75">
      <c r="A487" s="135" t="s">
        <v>1201</v>
      </c>
      <c r="B487" s="135" t="s">
        <v>1202</v>
      </c>
      <c r="C487" s="135" t="s">
        <v>734</v>
      </c>
      <c r="D487" s="135" t="s">
        <v>735</v>
      </c>
      <c r="E487" s="135" t="s">
        <v>1398</v>
      </c>
      <c r="F487" s="135" t="s">
        <v>1399</v>
      </c>
      <c r="G487" s="136">
        <v>164</v>
      </c>
      <c r="H487" s="135" t="s">
        <v>1398</v>
      </c>
      <c r="I487" s="81" t="s">
        <v>1407</v>
      </c>
      <c r="J487" s="81">
        <v>42643</v>
      </c>
      <c r="K487" s="81" t="s">
        <v>1408</v>
      </c>
    </row>
    <row r="488" spans="1:11" ht="27.75">
      <c r="A488" s="135" t="s">
        <v>1203</v>
      </c>
      <c r="B488" s="135" t="s">
        <v>1204</v>
      </c>
      <c r="C488" s="135" t="s">
        <v>734</v>
      </c>
      <c r="D488" s="135" t="s">
        <v>735</v>
      </c>
      <c r="E488" s="135" t="s">
        <v>1398</v>
      </c>
      <c r="F488" s="135" t="s">
        <v>1399</v>
      </c>
      <c r="G488" s="136">
        <v>164</v>
      </c>
      <c r="H488" s="135" t="s">
        <v>1398</v>
      </c>
      <c r="I488" s="81" t="s">
        <v>1407</v>
      </c>
      <c r="J488" s="81">
        <v>42643</v>
      </c>
      <c r="K488" s="81" t="s">
        <v>1408</v>
      </c>
    </row>
    <row r="489" spans="1:11" ht="27.75">
      <c r="A489" s="135" t="s">
        <v>530</v>
      </c>
      <c r="B489" s="135" t="s">
        <v>1514</v>
      </c>
      <c r="C489" s="135" t="s">
        <v>734</v>
      </c>
      <c r="D489" s="135" t="s">
        <v>735</v>
      </c>
      <c r="E489" s="135" t="s">
        <v>1398</v>
      </c>
      <c r="F489" s="135" t="s">
        <v>1399</v>
      </c>
      <c r="G489" s="136">
        <v>164</v>
      </c>
      <c r="H489" s="135" t="s">
        <v>1398</v>
      </c>
      <c r="I489" s="81" t="s">
        <v>1409</v>
      </c>
      <c r="K489" s="81" t="s">
        <v>1408</v>
      </c>
    </row>
    <row r="490" spans="1:11" ht="27.75">
      <c r="A490" s="135" t="s">
        <v>531</v>
      </c>
      <c r="B490" s="135" t="s">
        <v>1515</v>
      </c>
      <c r="C490" s="135" t="s">
        <v>734</v>
      </c>
      <c r="D490" s="135" t="s">
        <v>735</v>
      </c>
      <c r="E490" s="135" t="s">
        <v>1398</v>
      </c>
      <c r="F490" s="135" t="s">
        <v>1399</v>
      </c>
      <c r="G490" s="136">
        <v>164</v>
      </c>
      <c r="H490" s="135" t="s">
        <v>1398</v>
      </c>
      <c r="I490" s="81" t="s">
        <v>1409</v>
      </c>
      <c r="K490" s="81" t="s">
        <v>1408</v>
      </c>
    </row>
    <row r="491" spans="1:11" ht="27.75">
      <c r="A491" s="135" t="s">
        <v>980</v>
      </c>
      <c r="B491" s="135" t="s">
        <v>981</v>
      </c>
      <c r="C491" s="135" t="s">
        <v>734</v>
      </c>
      <c r="D491" s="135" t="s">
        <v>735</v>
      </c>
      <c r="E491" s="135" t="s">
        <v>1398</v>
      </c>
      <c r="F491" s="135" t="s">
        <v>1399</v>
      </c>
      <c r="G491" s="136">
        <v>164</v>
      </c>
      <c r="H491" s="135" t="s">
        <v>1398</v>
      </c>
      <c r="I491" s="81" t="s">
        <v>1409</v>
      </c>
      <c r="K491" s="81" t="s">
        <v>1411</v>
      </c>
    </row>
    <row r="492" spans="1:11" ht="27.75">
      <c r="A492" s="135" t="s">
        <v>532</v>
      </c>
      <c r="B492" s="135" t="s">
        <v>1516</v>
      </c>
      <c r="C492" s="135" t="s">
        <v>734</v>
      </c>
      <c r="D492" s="135" t="s">
        <v>735</v>
      </c>
      <c r="E492" s="135" t="s">
        <v>1398</v>
      </c>
      <c r="F492" s="135" t="s">
        <v>1399</v>
      </c>
      <c r="G492" s="136">
        <v>164</v>
      </c>
      <c r="H492" s="135" t="s">
        <v>1398</v>
      </c>
      <c r="I492" s="81" t="s">
        <v>1409</v>
      </c>
      <c r="K492" s="81" t="s">
        <v>1408</v>
      </c>
    </row>
    <row r="493" spans="1:11" ht="27.75">
      <c r="A493" s="135" t="s">
        <v>533</v>
      </c>
      <c r="B493" s="135" t="s">
        <v>1517</v>
      </c>
      <c r="C493" s="135" t="s">
        <v>734</v>
      </c>
      <c r="D493" s="135" t="s">
        <v>735</v>
      </c>
      <c r="E493" s="135" t="s">
        <v>1398</v>
      </c>
      <c r="F493" s="135" t="s">
        <v>1399</v>
      </c>
      <c r="G493" s="136">
        <v>164</v>
      </c>
      <c r="H493" s="135" t="s">
        <v>1398</v>
      </c>
      <c r="I493" s="81" t="s">
        <v>1409</v>
      </c>
      <c r="K493" s="81" t="s">
        <v>1408</v>
      </c>
    </row>
    <row r="494" spans="1:11" ht="27.75">
      <c r="A494" s="135" t="s">
        <v>1205</v>
      </c>
      <c r="B494" s="135" t="s">
        <v>1206</v>
      </c>
      <c r="C494" s="135" t="s">
        <v>734</v>
      </c>
      <c r="D494" s="135" t="s">
        <v>735</v>
      </c>
      <c r="E494" s="135" t="s">
        <v>1398</v>
      </c>
      <c r="F494" s="135" t="s">
        <v>1399</v>
      </c>
      <c r="G494" s="136">
        <v>164</v>
      </c>
      <c r="H494" s="135" t="s">
        <v>1398</v>
      </c>
      <c r="I494" s="81" t="s">
        <v>1407</v>
      </c>
      <c r="J494" s="81">
        <v>42643</v>
      </c>
      <c r="K494" s="81" t="s">
        <v>1408</v>
      </c>
    </row>
    <row r="495" spans="1:11" ht="27.75">
      <c r="A495" s="135" t="s">
        <v>534</v>
      </c>
      <c r="B495" s="135" t="s">
        <v>1518</v>
      </c>
      <c r="C495" s="135" t="s">
        <v>734</v>
      </c>
      <c r="D495" s="135" t="s">
        <v>735</v>
      </c>
      <c r="E495" s="135" t="s">
        <v>1398</v>
      </c>
      <c r="F495" s="135" t="s">
        <v>1399</v>
      </c>
      <c r="G495" s="136">
        <v>164</v>
      </c>
      <c r="H495" s="135" t="s">
        <v>1398</v>
      </c>
      <c r="I495" s="81" t="s">
        <v>1409</v>
      </c>
      <c r="K495" s="81" t="s">
        <v>1408</v>
      </c>
    </row>
    <row r="496" spans="1:11" ht="27.75">
      <c r="A496" s="135" t="s">
        <v>1207</v>
      </c>
      <c r="B496" s="135" t="s">
        <v>1208</v>
      </c>
      <c r="C496" s="135" t="s">
        <v>734</v>
      </c>
      <c r="D496" s="135" t="s">
        <v>735</v>
      </c>
      <c r="E496" s="135" t="s">
        <v>1398</v>
      </c>
      <c r="F496" s="135" t="s">
        <v>1399</v>
      </c>
      <c r="G496" s="136">
        <v>164</v>
      </c>
      <c r="H496" s="135" t="s">
        <v>1398</v>
      </c>
      <c r="I496" s="81" t="s">
        <v>1407</v>
      </c>
      <c r="J496" s="81">
        <v>42643</v>
      </c>
      <c r="K496" s="81" t="s">
        <v>1408</v>
      </c>
    </row>
    <row r="497" spans="1:11" ht="27.75">
      <c r="A497" s="135" t="s">
        <v>535</v>
      </c>
      <c r="B497" s="135" t="s">
        <v>1519</v>
      </c>
      <c r="C497" s="135" t="s">
        <v>734</v>
      </c>
      <c r="D497" s="135" t="s">
        <v>735</v>
      </c>
      <c r="E497" s="135" t="s">
        <v>1398</v>
      </c>
      <c r="F497" s="135" t="s">
        <v>1399</v>
      </c>
      <c r="G497" s="136">
        <v>164</v>
      </c>
      <c r="H497" s="135" t="s">
        <v>1398</v>
      </c>
      <c r="I497" s="81" t="s">
        <v>1409</v>
      </c>
      <c r="K497" s="81" t="s">
        <v>1408</v>
      </c>
    </row>
    <row r="498" spans="1:11" ht="27.75">
      <c r="A498" s="135" t="s">
        <v>536</v>
      </c>
      <c r="B498" s="135" t="s">
        <v>1520</v>
      </c>
      <c r="C498" s="135" t="s">
        <v>734</v>
      </c>
      <c r="D498" s="135" t="s">
        <v>735</v>
      </c>
      <c r="E498" s="135" t="s">
        <v>1398</v>
      </c>
      <c r="F498" s="135" t="s">
        <v>1399</v>
      </c>
      <c r="G498" s="136">
        <v>164</v>
      </c>
      <c r="H498" s="135" t="s">
        <v>1398</v>
      </c>
      <c r="I498" s="81" t="s">
        <v>1409</v>
      </c>
      <c r="K498" s="81" t="s">
        <v>1408</v>
      </c>
    </row>
    <row r="499" spans="1:11" ht="27.75">
      <c r="A499" s="135" t="s">
        <v>537</v>
      </c>
      <c r="B499" s="135" t="s">
        <v>1521</v>
      </c>
      <c r="C499" s="135" t="s">
        <v>734</v>
      </c>
      <c r="D499" s="135" t="s">
        <v>735</v>
      </c>
      <c r="E499" s="135" t="s">
        <v>1398</v>
      </c>
      <c r="F499" s="135" t="s">
        <v>1399</v>
      </c>
      <c r="G499" s="136">
        <v>164</v>
      </c>
      <c r="H499" s="135" t="s">
        <v>1398</v>
      </c>
      <c r="I499" s="81" t="s">
        <v>1409</v>
      </c>
      <c r="K499" s="81" t="s">
        <v>1408</v>
      </c>
    </row>
    <row r="500" spans="1:11" ht="27.75">
      <c r="A500" s="135" t="s">
        <v>538</v>
      </c>
      <c r="B500" s="135" t="s">
        <v>1522</v>
      </c>
      <c r="C500" s="135" t="s">
        <v>734</v>
      </c>
      <c r="D500" s="135" t="s">
        <v>735</v>
      </c>
      <c r="E500" s="135" t="s">
        <v>1398</v>
      </c>
      <c r="F500" s="135" t="s">
        <v>1399</v>
      </c>
      <c r="G500" s="136">
        <v>164</v>
      </c>
      <c r="H500" s="135" t="s">
        <v>1398</v>
      </c>
      <c r="I500" s="81" t="s">
        <v>1409</v>
      </c>
      <c r="K500" s="81" t="s">
        <v>1408</v>
      </c>
    </row>
    <row r="501" spans="1:11" ht="27.75">
      <c r="A501" s="135" t="s">
        <v>1209</v>
      </c>
      <c r="B501" s="135" t="s">
        <v>1210</v>
      </c>
      <c r="C501" s="135" t="s">
        <v>734</v>
      </c>
      <c r="D501" s="135" t="s">
        <v>735</v>
      </c>
      <c r="E501" s="135" t="s">
        <v>1398</v>
      </c>
      <c r="F501" s="135" t="s">
        <v>1399</v>
      </c>
      <c r="G501" s="136">
        <v>164</v>
      </c>
      <c r="H501" s="135" t="s">
        <v>1398</v>
      </c>
      <c r="I501" s="81" t="s">
        <v>1407</v>
      </c>
      <c r="J501" s="81">
        <v>42643</v>
      </c>
      <c r="K501" s="81" t="s">
        <v>1408</v>
      </c>
    </row>
    <row r="502" spans="1:11" ht="27.75">
      <c r="A502" s="135" t="s">
        <v>1211</v>
      </c>
      <c r="B502" s="135" t="s">
        <v>1212</v>
      </c>
      <c r="C502" s="135" t="s">
        <v>734</v>
      </c>
      <c r="D502" s="135" t="s">
        <v>735</v>
      </c>
      <c r="E502" s="135" t="s">
        <v>1398</v>
      </c>
      <c r="F502" s="135" t="s">
        <v>1399</v>
      </c>
      <c r="G502" s="136">
        <v>164</v>
      </c>
      <c r="H502" s="135" t="s">
        <v>1398</v>
      </c>
      <c r="I502" s="81" t="s">
        <v>1407</v>
      </c>
      <c r="J502" s="81">
        <v>42643</v>
      </c>
      <c r="K502" s="81" t="s">
        <v>1408</v>
      </c>
    </row>
    <row r="503" spans="1:11" ht="27.75">
      <c r="A503" s="135" t="s">
        <v>1213</v>
      </c>
      <c r="B503" s="135" t="s">
        <v>1214</v>
      </c>
      <c r="C503" s="135" t="s">
        <v>734</v>
      </c>
      <c r="D503" s="135" t="s">
        <v>735</v>
      </c>
      <c r="E503" s="135" t="s">
        <v>1398</v>
      </c>
      <c r="F503" s="135" t="s">
        <v>1399</v>
      </c>
      <c r="G503" s="136">
        <v>164</v>
      </c>
      <c r="H503" s="135" t="s">
        <v>1398</v>
      </c>
      <c r="I503" s="81" t="s">
        <v>1407</v>
      </c>
      <c r="J503" s="81">
        <v>42643</v>
      </c>
      <c r="K503" s="81" t="s">
        <v>1408</v>
      </c>
    </row>
    <row r="504" spans="1:11" ht="27.75">
      <c r="A504" s="135" t="s">
        <v>1215</v>
      </c>
      <c r="B504" s="135" t="s">
        <v>1216</v>
      </c>
      <c r="C504" s="135" t="s">
        <v>734</v>
      </c>
      <c r="D504" s="135" t="s">
        <v>735</v>
      </c>
      <c r="E504" s="135" t="s">
        <v>1398</v>
      </c>
      <c r="F504" s="135" t="s">
        <v>1399</v>
      </c>
      <c r="G504" s="136">
        <v>164</v>
      </c>
      <c r="H504" s="135" t="s">
        <v>1398</v>
      </c>
      <c r="I504" s="81" t="s">
        <v>1407</v>
      </c>
      <c r="J504" s="81">
        <v>42643</v>
      </c>
      <c r="K504" s="81" t="s">
        <v>1408</v>
      </c>
    </row>
    <row r="505" spans="1:11" ht="27.75">
      <c r="A505" s="135" t="s">
        <v>1217</v>
      </c>
      <c r="B505" s="135" t="s">
        <v>1218</v>
      </c>
      <c r="C505" s="135" t="s">
        <v>734</v>
      </c>
      <c r="D505" s="135" t="s">
        <v>735</v>
      </c>
      <c r="E505" s="135" t="s">
        <v>1398</v>
      </c>
      <c r="F505" s="135" t="s">
        <v>1399</v>
      </c>
      <c r="G505" s="136">
        <v>164</v>
      </c>
      <c r="H505" s="135" t="s">
        <v>1398</v>
      </c>
      <c r="I505" s="81" t="s">
        <v>1407</v>
      </c>
      <c r="J505" s="81">
        <v>42643</v>
      </c>
      <c r="K505" s="81" t="s">
        <v>1408</v>
      </c>
    </row>
    <row r="506" spans="1:11" ht="27.75">
      <c r="A506" s="135" t="s">
        <v>1219</v>
      </c>
      <c r="B506" s="135" t="s">
        <v>1220</v>
      </c>
      <c r="C506" s="135" t="s">
        <v>734</v>
      </c>
      <c r="D506" s="135" t="s">
        <v>735</v>
      </c>
      <c r="E506" s="135" t="s">
        <v>1398</v>
      </c>
      <c r="F506" s="135" t="s">
        <v>1399</v>
      </c>
      <c r="G506" s="136">
        <v>164</v>
      </c>
      <c r="H506" s="135" t="s">
        <v>1398</v>
      </c>
      <c r="I506" s="81" t="s">
        <v>1407</v>
      </c>
      <c r="J506" s="81">
        <v>42643</v>
      </c>
      <c r="K506" s="81" t="s">
        <v>1408</v>
      </c>
    </row>
    <row r="507" spans="1:11" ht="27.75">
      <c r="A507" s="135" t="s">
        <v>539</v>
      </c>
      <c r="B507" s="135" t="s">
        <v>1523</v>
      </c>
      <c r="C507" s="135" t="s">
        <v>734</v>
      </c>
      <c r="D507" s="135" t="s">
        <v>735</v>
      </c>
      <c r="E507" s="135" t="s">
        <v>1398</v>
      </c>
      <c r="F507" s="135" t="s">
        <v>1399</v>
      </c>
      <c r="G507" s="136">
        <v>164</v>
      </c>
      <c r="H507" s="135" t="s">
        <v>1398</v>
      </c>
      <c r="I507" s="81" t="s">
        <v>1409</v>
      </c>
      <c r="K507" s="81" t="s">
        <v>1408</v>
      </c>
    </row>
    <row r="508" spans="1:11" ht="27.75">
      <c r="A508" s="135" t="s">
        <v>1221</v>
      </c>
      <c r="B508" s="135" t="s">
        <v>1222</v>
      </c>
      <c r="C508" s="135" t="s">
        <v>734</v>
      </c>
      <c r="D508" s="135" t="s">
        <v>735</v>
      </c>
      <c r="E508" s="135" t="s">
        <v>1398</v>
      </c>
      <c r="F508" s="135" t="s">
        <v>1399</v>
      </c>
      <c r="G508" s="136">
        <v>164</v>
      </c>
      <c r="H508" s="135" t="s">
        <v>1398</v>
      </c>
      <c r="I508" s="81" t="s">
        <v>1407</v>
      </c>
      <c r="J508" s="81">
        <v>42643</v>
      </c>
      <c r="K508" s="81" t="s">
        <v>1408</v>
      </c>
    </row>
    <row r="509" spans="1:11" ht="27.75">
      <c r="A509" s="135" t="s">
        <v>1223</v>
      </c>
      <c r="B509" s="135" t="s">
        <v>1224</v>
      </c>
      <c r="C509" s="135" t="s">
        <v>734</v>
      </c>
      <c r="D509" s="135" t="s">
        <v>735</v>
      </c>
      <c r="E509" s="135" t="s">
        <v>1398</v>
      </c>
      <c r="F509" s="135" t="s">
        <v>1399</v>
      </c>
      <c r="G509" s="136">
        <v>164</v>
      </c>
      <c r="H509" s="135" t="s">
        <v>1398</v>
      </c>
      <c r="I509" s="81" t="s">
        <v>1407</v>
      </c>
      <c r="J509" s="81">
        <v>42643</v>
      </c>
      <c r="K509" s="81" t="s">
        <v>1408</v>
      </c>
    </row>
    <row r="510" spans="1:11" ht="27.75">
      <c r="A510" s="135" t="s">
        <v>540</v>
      </c>
      <c r="B510" s="135" t="s">
        <v>1524</v>
      </c>
      <c r="C510" s="135" t="s">
        <v>734</v>
      </c>
      <c r="D510" s="135" t="s">
        <v>735</v>
      </c>
      <c r="E510" s="135" t="s">
        <v>1398</v>
      </c>
      <c r="F510" s="135" t="s">
        <v>1399</v>
      </c>
      <c r="G510" s="136">
        <v>164</v>
      </c>
      <c r="H510" s="135" t="s">
        <v>1398</v>
      </c>
      <c r="I510" s="81" t="s">
        <v>1409</v>
      </c>
      <c r="K510" s="81" t="s">
        <v>1408</v>
      </c>
    </row>
    <row r="511" spans="1:11" ht="27.75">
      <c r="A511" s="135" t="s">
        <v>541</v>
      </c>
      <c r="B511" s="135" t="s">
        <v>1525</v>
      </c>
      <c r="C511" s="135" t="s">
        <v>734</v>
      </c>
      <c r="D511" s="135" t="s">
        <v>735</v>
      </c>
      <c r="E511" s="135" t="s">
        <v>1398</v>
      </c>
      <c r="F511" s="135" t="s">
        <v>1399</v>
      </c>
      <c r="G511" s="136">
        <v>164</v>
      </c>
      <c r="H511" s="135" t="s">
        <v>1398</v>
      </c>
      <c r="I511" s="81" t="s">
        <v>1409</v>
      </c>
      <c r="K511" s="81" t="s">
        <v>1408</v>
      </c>
    </row>
    <row r="512" spans="1:11" ht="27.75">
      <c r="A512" s="135" t="s">
        <v>542</v>
      </c>
      <c r="B512" s="135" t="s">
        <v>543</v>
      </c>
      <c r="C512" s="135" t="s">
        <v>734</v>
      </c>
      <c r="D512" s="135" t="s">
        <v>735</v>
      </c>
      <c r="E512" s="135" t="s">
        <v>1398</v>
      </c>
      <c r="F512" s="135" t="s">
        <v>1399</v>
      </c>
      <c r="G512" s="136">
        <v>164</v>
      </c>
      <c r="H512" s="135" t="s">
        <v>1398</v>
      </c>
      <c r="I512" s="81" t="s">
        <v>1409</v>
      </c>
      <c r="K512" s="81" t="s">
        <v>1408</v>
      </c>
    </row>
    <row r="513" spans="1:11" ht="27.75">
      <c r="A513" s="135" t="s">
        <v>1225</v>
      </c>
      <c r="B513" s="135" t="s">
        <v>1226</v>
      </c>
      <c r="C513" s="135" t="s">
        <v>734</v>
      </c>
      <c r="D513" s="135" t="s">
        <v>735</v>
      </c>
      <c r="E513" s="135" t="s">
        <v>1398</v>
      </c>
      <c r="F513" s="135" t="s">
        <v>1399</v>
      </c>
      <c r="G513" s="136">
        <v>164</v>
      </c>
      <c r="H513" s="135" t="s">
        <v>1398</v>
      </c>
      <c r="I513" s="81" t="s">
        <v>1407</v>
      </c>
      <c r="J513" s="81">
        <v>42643</v>
      </c>
      <c r="K513" s="81" t="s">
        <v>1408</v>
      </c>
    </row>
    <row r="514" spans="1:11" ht="27.75">
      <c r="A514" s="135" t="s">
        <v>544</v>
      </c>
      <c r="B514" s="135" t="s">
        <v>545</v>
      </c>
      <c r="C514" s="135" t="s">
        <v>734</v>
      </c>
      <c r="D514" s="135" t="s">
        <v>735</v>
      </c>
      <c r="E514" s="135" t="s">
        <v>1398</v>
      </c>
      <c r="F514" s="135" t="s">
        <v>1399</v>
      </c>
      <c r="G514" s="136">
        <v>164</v>
      </c>
      <c r="H514" s="135" t="s">
        <v>1398</v>
      </c>
      <c r="I514" s="81" t="s">
        <v>1409</v>
      </c>
      <c r="K514" s="81" t="s">
        <v>1408</v>
      </c>
    </row>
    <row r="515" spans="1:11" ht="27.75">
      <c r="A515" s="135" t="s">
        <v>1227</v>
      </c>
      <c r="B515" s="135" t="s">
        <v>1228</v>
      </c>
      <c r="C515" s="135" t="s">
        <v>734</v>
      </c>
      <c r="D515" s="135" t="s">
        <v>735</v>
      </c>
      <c r="E515" s="135" t="s">
        <v>1398</v>
      </c>
      <c r="F515" s="135" t="s">
        <v>1399</v>
      </c>
      <c r="G515" s="136">
        <v>164</v>
      </c>
      <c r="H515" s="135" t="s">
        <v>1398</v>
      </c>
      <c r="I515" s="81" t="s">
        <v>1407</v>
      </c>
      <c r="J515" s="81">
        <v>42643</v>
      </c>
      <c r="K515" s="81" t="s">
        <v>1408</v>
      </c>
    </row>
    <row r="516" spans="1:11" ht="27.75">
      <c r="A516" s="135" t="s">
        <v>1229</v>
      </c>
      <c r="B516" s="135" t="s">
        <v>1230</v>
      </c>
      <c r="C516" s="135" t="s">
        <v>734</v>
      </c>
      <c r="D516" s="135" t="s">
        <v>735</v>
      </c>
      <c r="E516" s="135" t="s">
        <v>1398</v>
      </c>
      <c r="F516" s="135" t="s">
        <v>1399</v>
      </c>
      <c r="G516" s="136">
        <v>164</v>
      </c>
      <c r="H516" s="135" t="s">
        <v>1398</v>
      </c>
      <c r="I516" s="81" t="s">
        <v>1407</v>
      </c>
      <c r="J516" s="81">
        <v>42643</v>
      </c>
      <c r="K516" s="81" t="s">
        <v>1408</v>
      </c>
    </row>
    <row r="517" spans="1:11" ht="27.75">
      <c r="A517" s="135" t="s">
        <v>1231</v>
      </c>
      <c r="B517" s="135" t="s">
        <v>1232</v>
      </c>
      <c r="C517" s="135" t="s">
        <v>734</v>
      </c>
      <c r="D517" s="135" t="s">
        <v>735</v>
      </c>
      <c r="E517" s="135" t="s">
        <v>1398</v>
      </c>
      <c r="F517" s="135" t="s">
        <v>1399</v>
      </c>
      <c r="G517" s="136">
        <v>164</v>
      </c>
      <c r="H517" s="135" t="s">
        <v>1398</v>
      </c>
      <c r="I517" s="81" t="s">
        <v>1407</v>
      </c>
      <c r="J517" s="81">
        <v>42643</v>
      </c>
      <c r="K517" s="81" t="s">
        <v>1408</v>
      </c>
    </row>
    <row r="518" spans="1:11" ht="27.75">
      <c r="A518" s="135" t="s">
        <v>1233</v>
      </c>
      <c r="B518" s="135" t="s">
        <v>1234</v>
      </c>
      <c r="C518" s="135" t="s">
        <v>734</v>
      </c>
      <c r="D518" s="135" t="s">
        <v>735</v>
      </c>
      <c r="E518" s="135" t="s">
        <v>1398</v>
      </c>
      <c r="F518" s="135" t="s">
        <v>1399</v>
      </c>
      <c r="G518" s="136">
        <v>164</v>
      </c>
      <c r="H518" s="135" t="s">
        <v>1398</v>
      </c>
      <c r="I518" s="81" t="s">
        <v>1407</v>
      </c>
      <c r="J518" s="81">
        <v>42643</v>
      </c>
      <c r="K518" s="81" t="s">
        <v>1408</v>
      </c>
    </row>
    <row r="519" spans="1:11" ht="27.75">
      <c r="A519" s="135" t="s">
        <v>1235</v>
      </c>
      <c r="B519" s="135" t="s">
        <v>1236</v>
      </c>
      <c r="C519" s="135" t="s">
        <v>734</v>
      </c>
      <c r="D519" s="135" t="s">
        <v>735</v>
      </c>
      <c r="E519" s="135" t="s">
        <v>1398</v>
      </c>
      <c r="F519" s="135" t="s">
        <v>1399</v>
      </c>
      <c r="G519" s="136">
        <v>164</v>
      </c>
      <c r="H519" s="135" t="s">
        <v>1398</v>
      </c>
      <c r="I519" s="81" t="s">
        <v>1407</v>
      </c>
      <c r="J519" s="81">
        <v>42643</v>
      </c>
      <c r="K519" s="81" t="s">
        <v>1408</v>
      </c>
    </row>
    <row r="520" spans="1:11" ht="27.75">
      <c r="A520" s="135" t="s">
        <v>1237</v>
      </c>
      <c r="B520" s="135" t="s">
        <v>1238</v>
      </c>
      <c r="C520" s="135" t="s">
        <v>734</v>
      </c>
      <c r="D520" s="135" t="s">
        <v>735</v>
      </c>
      <c r="E520" s="135" t="s">
        <v>1398</v>
      </c>
      <c r="F520" s="135" t="s">
        <v>1399</v>
      </c>
      <c r="G520" s="136">
        <v>164</v>
      </c>
      <c r="H520" s="135" t="s">
        <v>1398</v>
      </c>
      <c r="I520" s="81" t="s">
        <v>1407</v>
      </c>
      <c r="J520" s="81">
        <v>42643</v>
      </c>
      <c r="K520" s="81" t="s">
        <v>1408</v>
      </c>
    </row>
    <row r="521" spans="1:11" ht="27.75">
      <c r="A521" s="135" t="s">
        <v>1239</v>
      </c>
      <c r="B521" s="135" t="s">
        <v>1240</v>
      </c>
      <c r="C521" s="135" t="s">
        <v>734</v>
      </c>
      <c r="D521" s="135" t="s">
        <v>735</v>
      </c>
      <c r="E521" s="135" t="s">
        <v>1398</v>
      </c>
      <c r="F521" s="135" t="s">
        <v>1399</v>
      </c>
      <c r="G521" s="136">
        <v>164</v>
      </c>
      <c r="H521" s="135" t="s">
        <v>1398</v>
      </c>
      <c r="I521" s="81" t="s">
        <v>1407</v>
      </c>
      <c r="J521" s="81">
        <v>42643</v>
      </c>
      <c r="K521" s="81" t="s">
        <v>1408</v>
      </c>
    </row>
    <row r="522" spans="1:11" ht="27.75">
      <c r="A522" s="135" t="s">
        <v>1241</v>
      </c>
      <c r="B522" s="135" t="s">
        <v>1242</v>
      </c>
      <c r="C522" s="135" t="s">
        <v>734</v>
      </c>
      <c r="D522" s="135" t="s">
        <v>735</v>
      </c>
      <c r="E522" s="135" t="s">
        <v>1398</v>
      </c>
      <c r="F522" s="135" t="s">
        <v>1399</v>
      </c>
      <c r="G522" s="136">
        <v>164</v>
      </c>
      <c r="H522" s="135" t="s">
        <v>1398</v>
      </c>
      <c r="I522" s="81" t="s">
        <v>1407</v>
      </c>
      <c r="J522" s="81">
        <v>42643</v>
      </c>
      <c r="K522" s="81" t="s">
        <v>1408</v>
      </c>
    </row>
    <row r="523" spans="1:11" ht="27.75">
      <c r="A523" s="135" t="s">
        <v>546</v>
      </c>
      <c r="B523" s="135" t="s">
        <v>1526</v>
      </c>
      <c r="C523" s="135" t="s">
        <v>734</v>
      </c>
      <c r="D523" s="135" t="s">
        <v>735</v>
      </c>
      <c r="E523" s="135" t="s">
        <v>1398</v>
      </c>
      <c r="F523" s="135" t="s">
        <v>1399</v>
      </c>
      <c r="G523" s="136">
        <v>164</v>
      </c>
      <c r="H523" s="135" t="s">
        <v>1398</v>
      </c>
      <c r="I523" s="81" t="s">
        <v>1409</v>
      </c>
      <c r="K523" s="81" t="s">
        <v>1408</v>
      </c>
    </row>
    <row r="524" spans="1:11" ht="27.75">
      <c r="A524" s="135" t="s">
        <v>547</v>
      </c>
      <c r="B524" s="135" t="s">
        <v>1527</v>
      </c>
      <c r="C524" s="135" t="s">
        <v>734</v>
      </c>
      <c r="D524" s="135" t="s">
        <v>735</v>
      </c>
      <c r="E524" s="135" t="s">
        <v>1398</v>
      </c>
      <c r="F524" s="135" t="s">
        <v>1399</v>
      </c>
      <c r="G524" s="136">
        <v>164</v>
      </c>
      <c r="H524" s="135" t="s">
        <v>1398</v>
      </c>
      <c r="I524" s="81" t="s">
        <v>1409</v>
      </c>
      <c r="K524" s="81" t="s">
        <v>1408</v>
      </c>
    </row>
    <row r="525" spans="1:11" ht="27.75">
      <c r="A525" s="135" t="s">
        <v>982</v>
      </c>
      <c r="B525" s="135" t="s">
        <v>983</v>
      </c>
      <c r="C525" s="135" t="s">
        <v>734</v>
      </c>
      <c r="D525" s="135" t="s">
        <v>735</v>
      </c>
      <c r="E525" s="135" t="s">
        <v>1398</v>
      </c>
      <c r="F525" s="135" t="s">
        <v>1399</v>
      </c>
      <c r="G525" s="136">
        <v>164</v>
      </c>
      <c r="H525" s="135" t="s">
        <v>1398</v>
      </c>
      <c r="I525" s="81" t="s">
        <v>1409</v>
      </c>
      <c r="K525" s="81" t="s">
        <v>1411</v>
      </c>
    </row>
    <row r="526" spans="1:11" ht="27.75">
      <c r="A526" s="135" t="s">
        <v>1243</v>
      </c>
      <c r="B526" s="135" t="s">
        <v>1244</v>
      </c>
      <c r="C526" s="135" t="s">
        <v>734</v>
      </c>
      <c r="D526" s="135" t="s">
        <v>735</v>
      </c>
      <c r="E526" s="135" t="s">
        <v>1398</v>
      </c>
      <c r="F526" s="135" t="s">
        <v>1399</v>
      </c>
      <c r="G526" s="136">
        <v>164</v>
      </c>
      <c r="H526" s="135" t="s">
        <v>1398</v>
      </c>
      <c r="I526" s="81" t="s">
        <v>1407</v>
      </c>
      <c r="J526" s="81">
        <v>42643</v>
      </c>
      <c r="K526" s="81" t="s">
        <v>1408</v>
      </c>
    </row>
    <row r="527" spans="1:11" ht="27.75">
      <c r="A527" s="135" t="s">
        <v>1245</v>
      </c>
      <c r="B527" s="135" t="s">
        <v>1246</v>
      </c>
      <c r="C527" s="135" t="s">
        <v>734</v>
      </c>
      <c r="D527" s="135" t="s">
        <v>735</v>
      </c>
      <c r="E527" s="135" t="s">
        <v>1398</v>
      </c>
      <c r="F527" s="135" t="s">
        <v>1399</v>
      </c>
      <c r="G527" s="136">
        <v>164</v>
      </c>
      <c r="H527" s="135" t="s">
        <v>1398</v>
      </c>
      <c r="I527" s="81" t="s">
        <v>1407</v>
      </c>
      <c r="J527" s="81">
        <v>42643</v>
      </c>
      <c r="K527" s="81" t="s">
        <v>1408</v>
      </c>
    </row>
    <row r="528" spans="1:11" ht="27.75">
      <c r="A528" s="135" t="s">
        <v>1247</v>
      </c>
      <c r="B528" s="135" t="s">
        <v>1248</v>
      </c>
      <c r="C528" s="135" t="s">
        <v>734</v>
      </c>
      <c r="D528" s="135" t="s">
        <v>735</v>
      </c>
      <c r="E528" s="135" t="s">
        <v>1398</v>
      </c>
      <c r="F528" s="135" t="s">
        <v>1399</v>
      </c>
      <c r="G528" s="136">
        <v>164</v>
      </c>
      <c r="H528" s="135" t="s">
        <v>1398</v>
      </c>
      <c r="I528" s="81" t="s">
        <v>1407</v>
      </c>
      <c r="J528" s="81">
        <v>42643</v>
      </c>
      <c r="K528" s="81" t="s">
        <v>1408</v>
      </c>
    </row>
    <row r="529" spans="1:11" ht="27.75">
      <c r="A529" s="135" t="s">
        <v>548</v>
      </c>
      <c r="B529" s="135" t="s">
        <v>1528</v>
      </c>
      <c r="C529" s="135" t="s">
        <v>734</v>
      </c>
      <c r="D529" s="135" t="s">
        <v>735</v>
      </c>
      <c r="E529" s="135" t="s">
        <v>1398</v>
      </c>
      <c r="F529" s="135" t="s">
        <v>1399</v>
      </c>
      <c r="G529" s="136">
        <v>164</v>
      </c>
      <c r="H529" s="135" t="s">
        <v>1398</v>
      </c>
      <c r="I529" s="81" t="s">
        <v>1409</v>
      </c>
      <c r="K529" s="81" t="s">
        <v>1408</v>
      </c>
    </row>
    <row r="530" spans="1:11" ht="27.75">
      <c r="A530" s="135" t="s">
        <v>549</v>
      </c>
      <c r="B530" s="135" t="s">
        <v>1529</v>
      </c>
      <c r="C530" s="135" t="s">
        <v>734</v>
      </c>
      <c r="D530" s="135" t="s">
        <v>735</v>
      </c>
      <c r="E530" s="135" t="s">
        <v>1398</v>
      </c>
      <c r="F530" s="135" t="s">
        <v>1399</v>
      </c>
      <c r="G530" s="136">
        <v>164</v>
      </c>
      <c r="H530" s="135" t="s">
        <v>1398</v>
      </c>
      <c r="I530" s="81" t="s">
        <v>1409</v>
      </c>
      <c r="K530" s="81" t="s">
        <v>1408</v>
      </c>
    </row>
    <row r="531" spans="1:11" ht="27.75">
      <c r="A531" s="135" t="s">
        <v>550</v>
      </c>
      <c r="B531" s="135" t="s">
        <v>1530</v>
      </c>
      <c r="C531" s="135" t="s">
        <v>734</v>
      </c>
      <c r="D531" s="135" t="s">
        <v>735</v>
      </c>
      <c r="E531" s="135" t="s">
        <v>1398</v>
      </c>
      <c r="F531" s="135" t="s">
        <v>1399</v>
      </c>
      <c r="G531" s="136">
        <v>164</v>
      </c>
      <c r="H531" s="135" t="s">
        <v>1398</v>
      </c>
      <c r="I531" s="81" t="s">
        <v>1409</v>
      </c>
      <c r="K531" s="81" t="s">
        <v>1408</v>
      </c>
    </row>
    <row r="532" spans="1:11" ht="27.75">
      <c r="A532" s="135" t="s">
        <v>551</v>
      </c>
      <c r="B532" s="135" t="s">
        <v>1531</v>
      </c>
      <c r="C532" s="135" t="s">
        <v>734</v>
      </c>
      <c r="D532" s="135" t="s">
        <v>735</v>
      </c>
      <c r="E532" s="135" t="s">
        <v>1398</v>
      </c>
      <c r="F532" s="135" t="s">
        <v>1399</v>
      </c>
      <c r="G532" s="136">
        <v>164</v>
      </c>
      <c r="H532" s="135" t="s">
        <v>1398</v>
      </c>
      <c r="I532" s="81" t="s">
        <v>1409</v>
      </c>
      <c r="K532" s="81" t="s">
        <v>1408</v>
      </c>
    </row>
    <row r="533" spans="1:11" ht="27.75">
      <c r="A533" s="135" t="s">
        <v>552</v>
      </c>
      <c r="B533" s="135" t="s">
        <v>1532</v>
      </c>
      <c r="C533" s="135" t="s">
        <v>734</v>
      </c>
      <c r="D533" s="135" t="s">
        <v>735</v>
      </c>
      <c r="E533" s="135" t="s">
        <v>1398</v>
      </c>
      <c r="F533" s="135" t="s">
        <v>1399</v>
      </c>
      <c r="G533" s="136">
        <v>164</v>
      </c>
      <c r="H533" s="135" t="s">
        <v>1398</v>
      </c>
      <c r="I533" s="81" t="s">
        <v>1409</v>
      </c>
      <c r="K533" s="81" t="s">
        <v>1408</v>
      </c>
    </row>
    <row r="534" spans="1:11" ht="27.75">
      <c r="A534" s="135" t="s">
        <v>553</v>
      </c>
      <c r="B534" s="135" t="s">
        <v>1533</v>
      </c>
      <c r="C534" s="135" t="s">
        <v>734</v>
      </c>
      <c r="D534" s="135" t="s">
        <v>735</v>
      </c>
      <c r="E534" s="135" t="s">
        <v>1398</v>
      </c>
      <c r="F534" s="135" t="s">
        <v>1399</v>
      </c>
      <c r="G534" s="136">
        <v>164</v>
      </c>
      <c r="H534" s="135" t="s">
        <v>1398</v>
      </c>
      <c r="I534" s="81" t="s">
        <v>1409</v>
      </c>
      <c r="K534" s="81" t="s">
        <v>1408</v>
      </c>
    </row>
    <row r="535" spans="1:11" ht="27.75">
      <c r="A535" s="135" t="s">
        <v>1249</v>
      </c>
      <c r="B535" s="135" t="s">
        <v>1250</v>
      </c>
      <c r="C535" s="135" t="s">
        <v>734</v>
      </c>
      <c r="D535" s="135" t="s">
        <v>735</v>
      </c>
      <c r="E535" s="135" t="s">
        <v>1398</v>
      </c>
      <c r="F535" s="135" t="s">
        <v>1399</v>
      </c>
      <c r="G535" s="136">
        <v>164</v>
      </c>
      <c r="H535" s="135" t="s">
        <v>1398</v>
      </c>
      <c r="I535" s="81" t="s">
        <v>1407</v>
      </c>
      <c r="J535" s="81">
        <v>42643</v>
      </c>
      <c r="K535" s="81" t="s">
        <v>1408</v>
      </c>
    </row>
    <row r="536" spans="1:11" ht="27.75">
      <c r="A536" s="135" t="s">
        <v>1251</v>
      </c>
      <c r="B536" s="135" t="s">
        <v>1252</v>
      </c>
      <c r="C536" s="135" t="s">
        <v>734</v>
      </c>
      <c r="D536" s="135" t="s">
        <v>735</v>
      </c>
      <c r="E536" s="135" t="s">
        <v>1398</v>
      </c>
      <c r="F536" s="135" t="s">
        <v>1399</v>
      </c>
      <c r="G536" s="136">
        <v>164</v>
      </c>
      <c r="H536" s="135" t="s">
        <v>1398</v>
      </c>
      <c r="I536" s="81" t="s">
        <v>1407</v>
      </c>
      <c r="J536" s="81">
        <v>42643</v>
      </c>
      <c r="K536" s="81" t="s">
        <v>1408</v>
      </c>
    </row>
    <row r="537" spans="1:11" ht="27.75">
      <c r="A537" s="135" t="s">
        <v>1253</v>
      </c>
      <c r="B537" s="135" t="s">
        <v>1254</v>
      </c>
      <c r="C537" s="135" t="s">
        <v>734</v>
      </c>
      <c r="D537" s="135" t="s">
        <v>735</v>
      </c>
      <c r="E537" s="135" t="s">
        <v>1398</v>
      </c>
      <c r="F537" s="135" t="s">
        <v>1399</v>
      </c>
      <c r="G537" s="136">
        <v>164</v>
      </c>
      <c r="H537" s="135" t="s">
        <v>1398</v>
      </c>
      <c r="I537" s="81" t="s">
        <v>1407</v>
      </c>
      <c r="J537" s="81">
        <v>42643</v>
      </c>
      <c r="K537" s="81" t="s">
        <v>1408</v>
      </c>
    </row>
    <row r="538" spans="1:11" ht="27.75">
      <c r="A538" s="135" t="s">
        <v>1255</v>
      </c>
      <c r="B538" s="135" t="s">
        <v>1256</v>
      </c>
      <c r="C538" s="135" t="s">
        <v>734</v>
      </c>
      <c r="D538" s="135" t="s">
        <v>735</v>
      </c>
      <c r="E538" s="135" t="s">
        <v>1398</v>
      </c>
      <c r="F538" s="135" t="s">
        <v>1399</v>
      </c>
      <c r="G538" s="136">
        <v>164</v>
      </c>
      <c r="H538" s="135" t="s">
        <v>1398</v>
      </c>
      <c r="I538" s="81" t="s">
        <v>1407</v>
      </c>
      <c r="J538" s="81">
        <v>42643</v>
      </c>
      <c r="K538" s="81" t="s">
        <v>1408</v>
      </c>
    </row>
    <row r="539" spans="1:11" ht="27.75">
      <c r="A539" s="135" t="s">
        <v>1257</v>
      </c>
      <c r="B539" s="135" t="s">
        <v>1258</v>
      </c>
      <c r="C539" s="135" t="s">
        <v>734</v>
      </c>
      <c r="D539" s="135" t="s">
        <v>735</v>
      </c>
      <c r="E539" s="135" t="s">
        <v>1398</v>
      </c>
      <c r="F539" s="135" t="s">
        <v>1399</v>
      </c>
      <c r="G539" s="136">
        <v>164</v>
      </c>
      <c r="H539" s="135" t="s">
        <v>1398</v>
      </c>
      <c r="I539" s="81" t="s">
        <v>1407</v>
      </c>
      <c r="J539" s="81">
        <v>42643</v>
      </c>
      <c r="K539" s="81" t="s">
        <v>1408</v>
      </c>
    </row>
    <row r="540" spans="1:11" ht="27.75">
      <c r="A540" s="135" t="s">
        <v>1259</v>
      </c>
      <c r="B540" s="135" t="s">
        <v>1260</v>
      </c>
      <c r="C540" s="135" t="s">
        <v>734</v>
      </c>
      <c r="D540" s="135" t="s">
        <v>735</v>
      </c>
      <c r="E540" s="135" t="s">
        <v>1398</v>
      </c>
      <c r="F540" s="135" t="s">
        <v>1399</v>
      </c>
      <c r="G540" s="136">
        <v>164</v>
      </c>
      <c r="H540" s="135" t="s">
        <v>1398</v>
      </c>
      <c r="I540" s="81" t="s">
        <v>1407</v>
      </c>
      <c r="J540" s="81">
        <v>42643</v>
      </c>
      <c r="K540" s="81" t="s">
        <v>1408</v>
      </c>
    </row>
    <row r="541" spans="1:11" ht="27.75">
      <c r="A541" s="135" t="s">
        <v>1261</v>
      </c>
      <c r="B541" s="135" t="s">
        <v>1262</v>
      </c>
      <c r="C541" s="135" t="s">
        <v>734</v>
      </c>
      <c r="D541" s="135" t="s">
        <v>735</v>
      </c>
      <c r="E541" s="135" t="s">
        <v>1398</v>
      </c>
      <c r="F541" s="135" t="s">
        <v>1399</v>
      </c>
      <c r="G541" s="136">
        <v>164</v>
      </c>
      <c r="H541" s="135" t="s">
        <v>1398</v>
      </c>
      <c r="I541" s="81" t="s">
        <v>1407</v>
      </c>
      <c r="J541" s="81">
        <v>42643</v>
      </c>
      <c r="K541" s="81" t="s">
        <v>1408</v>
      </c>
    </row>
    <row r="542" spans="1:11" ht="27.75">
      <c r="A542" s="135" t="s">
        <v>1263</v>
      </c>
      <c r="B542" s="135" t="s">
        <v>1264</v>
      </c>
      <c r="C542" s="135" t="s">
        <v>734</v>
      </c>
      <c r="D542" s="135" t="s">
        <v>735</v>
      </c>
      <c r="E542" s="135" t="s">
        <v>1398</v>
      </c>
      <c r="F542" s="135" t="s">
        <v>1399</v>
      </c>
      <c r="G542" s="136">
        <v>164</v>
      </c>
      <c r="H542" s="135" t="s">
        <v>1398</v>
      </c>
      <c r="I542" s="81" t="s">
        <v>1407</v>
      </c>
      <c r="J542" s="81">
        <v>42643</v>
      </c>
      <c r="K542" s="81" t="s">
        <v>1408</v>
      </c>
    </row>
    <row r="543" spans="1:11" ht="27.75">
      <c r="A543" s="135" t="s">
        <v>1265</v>
      </c>
      <c r="B543" s="135" t="s">
        <v>1266</v>
      </c>
      <c r="C543" s="135" t="s">
        <v>734</v>
      </c>
      <c r="D543" s="135" t="s">
        <v>735</v>
      </c>
      <c r="E543" s="135" t="s">
        <v>1398</v>
      </c>
      <c r="F543" s="135" t="s">
        <v>1399</v>
      </c>
      <c r="G543" s="136">
        <v>164</v>
      </c>
      <c r="H543" s="135" t="s">
        <v>1398</v>
      </c>
      <c r="I543" s="81" t="s">
        <v>1407</v>
      </c>
      <c r="J543" s="81">
        <v>42643</v>
      </c>
      <c r="K543" s="81" t="s">
        <v>1408</v>
      </c>
    </row>
    <row r="544" spans="1:11" ht="27.75">
      <c r="A544" s="135" t="s">
        <v>1267</v>
      </c>
      <c r="B544" s="135" t="s">
        <v>1268</v>
      </c>
      <c r="C544" s="135" t="s">
        <v>734</v>
      </c>
      <c r="D544" s="135" t="s">
        <v>735</v>
      </c>
      <c r="E544" s="135" t="s">
        <v>1398</v>
      </c>
      <c r="F544" s="135" t="s">
        <v>1399</v>
      </c>
      <c r="G544" s="136">
        <v>164</v>
      </c>
      <c r="H544" s="135" t="s">
        <v>1398</v>
      </c>
      <c r="I544" s="81" t="s">
        <v>1407</v>
      </c>
      <c r="J544" s="81">
        <v>42643</v>
      </c>
      <c r="K544" s="81" t="s">
        <v>1408</v>
      </c>
    </row>
    <row r="545" spans="1:11" ht="27.75">
      <c r="A545" s="135" t="s">
        <v>1269</v>
      </c>
      <c r="B545" s="135" t="s">
        <v>1270</v>
      </c>
      <c r="C545" s="135" t="s">
        <v>734</v>
      </c>
      <c r="D545" s="135" t="s">
        <v>735</v>
      </c>
      <c r="E545" s="135" t="s">
        <v>1398</v>
      </c>
      <c r="F545" s="135" t="s">
        <v>1399</v>
      </c>
      <c r="G545" s="136">
        <v>164</v>
      </c>
      <c r="H545" s="135" t="s">
        <v>1398</v>
      </c>
      <c r="I545" s="81" t="s">
        <v>1407</v>
      </c>
      <c r="J545" s="81">
        <v>42643</v>
      </c>
      <c r="K545" s="81" t="s">
        <v>1408</v>
      </c>
    </row>
    <row r="546" spans="1:11" ht="27.75">
      <c r="A546" s="135" t="s">
        <v>554</v>
      </c>
      <c r="B546" s="135" t="s">
        <v>555</v>
      </c>
      <c r="C546" s="135" t="s">
        <v>41</v>
      </c>
      <c r="D546" s="135" t="s">
        <v>42</v>
      </c>
      <c r="E546" s="135" t="s">
        <v>1396</v>
      </c>
      <c r="F546" s="135" t="s">
        <v>1397</v>
      </c>
      <c r="G546" s="136">
        <v>25</v>
      </c>
      <c r="H546" s="135" t="s">
        <v>1396</v>
      </c>
      <c r="I546" s="81" t="s">
        <v>1409</v>
      </c>
      <c r="K546" s="81" t="s">
        <v>1408</v>
      </c>
    </row>
    <row r="547" spans="1:11" ht="27.75">
      <c r="A547" s="135" t="s">
        <v>556</v>
      </c>
      <c r="B547" s="135" t="s">
        <v>557</v>
      </c>
      <c r="C547" s="135" t="s">
        <v>41</v>
      </c>
      <c r="D547" s="135" t="s">
        <v>42</v>
      </c>
      <c r="E547" s="135" t="s">
        <v>1396</v>
      </c>
      <c r="F547" s="135" t="s">
        <v>1397</v>
      </c>
      <c r="G547" s="136">
        <v>25</v>
      </c>
      <c r="H547" s="135" t="s">
        <v>1396</v>
      </c>
      <c r="I547" s="81" t="s">
        <v>1409</v>
      </c>
      <c r="K547" s="81" t="s">
        <v>1408</v>
      </c>
    </row>
    <row r="548" spans="1:11" ht="27.75">
      <c r="A548" s="135" t="s">
        <v>558</v>
      </c>
      <c r="B548" s="135" t="s">
        <v>559</v>
      </c>
      <c r="C548" s="135" t="s">
        <v>41</v>
      </c>
      <c r="D548" s="135" t="s">
        <v>42</v>
      </c>
      <c r="E548" s="135" t="s">
        <v>1396</v>
      </c>
      <c r="F548" s="135" t="s">
        <v>1397</v>
      </c>
      <c r="G548" s="136">
        <v>25</v>
      </c>
      <c r="H548" s="135" t="s">
        <v>1396</v>
      </c>
      <c r="I548" s="81" t="s">
        <v>1409</v>
      </c>
      <c r="K548" s="81" t="s">
        <v>1408</v>
      </c>
    </row>
    <row r="549" spans="1:11" ht="27.75">
      <c r="A549" s="135" t="s">
        <v>560</v>
      </c>
      <c r="B549" s="135" t="s">
        <v>561</v>
      </c>
      <c r="C549" s="135" t="s">
        <v>41</v>
      </c>
      <c r="D549" s="135" t="s">
        <v>42</v>
      </c>
      <c r="E549" s="135" t="s">
        <v>1396</v>
      </c>
      <c r="F549" s="135" t="s">
        <v>1397</v>
      </c>
      <c r="G549" s="136">
        <v>25</v>
      </c>
      <c r="H549" s="135" t="s">
        <v>1396</v>
      </c>
      <c r="I549" s="81" t="s">
        <v>1409</v>
      </c>
      <c r="K549" s="81" t="s">
        <v>1408</v>
      </c>
    </row>
    <row r="550" spans="1:11" ht="27.75">
      <c r="A550" s="135" t="s">
        <v>562</v>
      </c>
      <c r="B550" s="135" t="s">
        <v>563</v>
      </c>
      <c r="C550" s="135" t="s">
        <v>41</v>
      </c>
      <c r="D550" s="135" t="s">
        <v>42</v>
      </c>
      <c r="E550" s="135" t="s">
        <v>1396</v>
      </c>
      <c r="F550" s="135" t="s">
        <v>1397</v>
      </c>
      <c r="G550" s="136">
        <v>25</v>
      </c>
      <c r="H550" s="135" t="s">
        <v>1396</v>
      </c>
      <c r="I550" s="81" t="s">
        <v>1409</v>
      </c>
      <c r="K550" s="81" t="s">
        <v>1408</v>
      </c>
    </row>
    <row r="551" spans="1:11" ht="27.75">
      <c r="A551" s="135" t="s">
        <v>564</v>
      </c>
      <c r="B551" s="135" t="s">
        <v>565</v>
      </c>
      <c r="C551" s="135" t="s">
        <v>41</v>
      </c>
      <c r="D551" s="135" t="s">
        <v>42</v>
      </c>
      <c r="E551" s="135" t="s">
        <v>1396</v>
      </c>
      <c r="F551" s="135" t="s">
        <v>1397</v>
      </c>
      <c r="G551" s="136">
        <v>25</v>
      </c>
      <c r="H551" s="135" t="s">
        <v>1396</v>
      </c>
      <c r="I551" s="81" t="s">
        <v>1409</v>
      </c>
      <c r="K551" s="81" t="s">
        <v>1408</v>
      </c>
    </row>
    <row r="552" spans="1:11" ht="27.75">
      <c r="A552" s="135" t="s">
        <v>566</v>
      </c>
      <c r="B552" s="135" t="s">
        <v>567</v>
      </c>
      <c r="C552" s="135" t="s">
        <v>41</v>
      </c>
      <c r="D552" s="135" t="s">
        <v>42</v>
      </c>
      <c r="E552" s="135" t="s">
        <v>1396</v>
      </c>
      <c r="F552" s="135" t="s">
        <v>1397</v>
      </c>
      <c r="G552" s="136">
        <v>25</v>
      </c>
      <c r="H552" s="135" t="s">
        <v>1396</v>
      </c>
      <c r="I552" s="81" t="s">
        <v>1409</v>
      </c>
      <c r="K552" s="81" t="s">
        <v>1408</v>
      </c>
    </row>
    <row r="553" spans="1:11" ht="27.75">
      <c r="A553" s="135" t="s">
        <v>568</v>
      </c>
      <c r="B553" s="135" t="s">
        <v>569</v>
      </c>
      <c r="C553" s="135" t="s">
        <v>41</v>
      </c>
      <c r="D553" s="135" t="s">
        <v>42</v>
      </c>
      <c r="E553" s="135" t="s">
        <v>1396</v>
      </c>
      <c r="F553" s="135" t="s">
        <v>1397</v>
      </c>
      <c r="G553" s="136">
        <v>25</v>
      </c>
      <c r="H553" s="135" t="s">
        <v>1396</v>
      </c>
      <c r="I553" s="81" t="s">
        <v>1409</v>
      </c>
      <c r="K553" s="81" t="s">
        <v>1408</v>
      </c>
    </row>
    <row r="554" spans="1:11" ht="27.75">
      <c r="A554" s="135" t="s">
        <v>570</v>
      </c>
      <c r="B554" s="135" t="s">
        <v>571</v>
      </c>
      <c r="C554" s="135" t="s">
        <v>41</v>
      </c>
      <c r="D554" s="135" t="s">
        <v>42</v>
      </c>
      <c r="E554" s="135" t="s">
        <v>1396</v>
      </c>
      <c r="F554" s="135" t="s">
        <v>1397</v>
      </c>
      <c r="G554" s="136">
        <v>25</v>
      </c>
      <c r="H554" s="135" t="s">
        <v>1396</v>
      </c>
      <c r="I554" s="81" t="s">
        <v>1409</v>
      </c>
      <c r="K554" s="81" t="s">
        <v>1408</v>
      </c>
    </row>
    <row r="555" spans="1:11" ht="27.75">
      <c r="A555" s="135" t="s">
        <v>572</v>
      </c>
      <c r="B555" s="135" t="s">
        <v>573</v>
      </c>
      <c r="C555" s="135" t="s">
        <v>41</v>
      </c>
      <c r="D555" s="135" t="s">
        <v>42</v>
      </c>
      <c r="E555" s="135" t="s">
        <v>1396</v>
      </c>
      <c r="F555" s="135" t="s">
        <v>1397</v>
      </c>
      <c r="G555" s="136">
        <v>25</v>
      </c>
      <c r="H555" s="135" t="s">
        <v>1396</v>
      </c>
      <c r="I555" s="81" t="s">
        <v>1409</v>
      </c>
      <c r="K555" s="81" t="s">
        <v>1408</v>
      </c>
    </row>
    <row r="556" spans="1:11" ht="27.75">
      <c r="A556" s="135" t="s">
        <v>574</v>
      </c>
      <c r="B556" s="135" t="s">
        <v>575</v>
      </c>
      <c r="C556" s="135" t="s">
        <v>41</v>
      </c>
      <c r="D556" s="135" t="s">
        <v>42</v>
      </c>
      <c r="E556" s="135" t="s">
        <v>1396</v>
      </c>
      <c r="F556" s="135" t="s">
        <v>1397</v>
      </c>
      <c r="G556" s="136">
        <v>25</v>
      </c>
      <c r="H556" s="135" t="s">
        <v>1396</v>
      </c>
      <c r="I556" s="81" t="s">
        <v>1409</v>
      </c>
      <c r="K556" s="81" t="s">
        <v>1408</v>
      </c>
    </row>
    <row r="557" spans="1:11" ht="27.75">
      <c r="A557" s="135" t="s">
        <v>576</v>
      </c>
      <c r="B557" s="135" t="s">
        <v>577</v>
      </c>
      <c r="C557" s="135" t="s">
        <v>41</v>
      </c>
      <c r="D557" s="135" t="s">
        <v>42</v>
      </c>
      <c r="E557" s="135" t="s">
        <v>1396</v>
      </c>
      <c r="F557" s="135" t="s">
        <v>1397</v>
      </c>
      <c r="G557" s="136">
        <v>25</v>
      </c>
      <c r="H557" s="135" t="s">
        <v>1396</v>
      </c>
      <c r="I557" s="81" t="s">
        <v>1409</v>
      </c>
      <c r="K557" s="81" t="s">
        <v>1408</v>
      </c>
    </row>
    <row r="558" spans="1:11" ht="27.75">
      <c r="A558" s="135" t="s">
        <v>578</v>
      </c>
      <c r="B558" s="135" t="s">
        <v>579</v>
      </c>
      <c r="C558" s="135" t="s">
        <v>41</v>
      </c>
      <c r="D558" s="135" t="s">
        <v>42</v>
      </c>
      <c r="E558" s="135" t="s">
        <v>1396</v>
      </c>
      <c r="F558" s="135" t="s">
        <v>1397</v>
      </c>
      <c r="G558" s="136">
        <v>25</v>
      </c>
      <c r="H558" s="135" t="s">
        <v>1396</v>
      </c>
      <c r="I558" s="81" t="s">
        <v>1409</v>
      </c>
      <c r="K558" s="81" t="s">
        <v>1408</v>
      </c>
    </row>
    <row r="559" spans="1:11" ht="27.75">
      <c r="A559" s="135" t="s">
        <v>580</v>
      </c>
      <c r="B559" s="135" t="s">
        <v>581</v>
      </c>
      <c r="C559" s="135" t="s">
        <v>41</v>
      </c>
      <c r="D559" s="135" t="s">
        <v>42</v>
      </c>
      <c r="E559" s="135" t="s">
        <v>1396</v>
      </c>
      <c r="F559" s="135" t="s">
        <v>1397</v>
      </c>
      <c r="G559" s="136">
        <v>25</v>
      </c>
      <c r="H559" s="135" t="s">
        <v>1396</v>
      </c>
      <c r="I559" s="81" t="s">
        <v>1409</v>
      </c>
      <c r="K559" s="81" t="s">
        <v>1408</v>
      </c>
    </row>
    <row r="560" spans="1:11" ht="27.75">
      <c r="A560" s="135" t="s">
        <v>582</v>
      </c>
      <c r="B560" s="135" t="s">
        <v>583</v>
      </c>
      <c r="C560" s="135" t="s">
        <v>41</v>
      </c>
      <c r="D560" s="135" t="s">
        <v>42</v>
      </c>
      <c r="E560" s="135" t="s">
        <v>1396</v>
      </c>
      <c r="F560" s="135" t="s">
        <v>1397</v>
      </c>
      <c r="G560" s="136">
        <v>25</v>
      </c>
      <c r="H560" s="135" t="s">
        <v>1396</v>
      </c>
      <c r="I560" s="81" t="s">
        <v>1409</v>
      </c>
      <c r="K560" s="81" t="s">
        <v>1408</v>
      </c>
    </row>
    <row r="561" spans="1:11" ht="27.75">
      <c r="A561" s="135" t="s">
        <v>1271</v>
      </c>
      <c r="B561" s="135" t="s">
        <v>1272</v>
      </c>
      <c r="C561" s="135" t="s">
        <v>41</v>
      </c>
      <c r="D561" s="135" t="s">
        <v>42</v>
      </c>
      <c r="E561" s="135" t="s">
        <v>1396</v>
      </c>
      <c r="F561" s="135" t="s">
        <v>1397</v>
      </c>
      <c r="G561" s="136">
        <v>25</v>
      </c>
      <c r="H561" s="135" t="s">
        <v>1396</v>
      </c>
      <c r="I561" s="81" t="s">
        <v>1407</v>
      </c>
      <c r="J561" s="81">
        <v>42643</v>
      </c>
      <c r="K561" s="81" t="s">
        <v>1408</v>
      </c>
    </row>
    <row r="562" spans="1:11" ht="27.75">
      <c r="A562" s="135" t="s">
        <v>1273</v>
      </c>
      <c r="B562" s="135" t="s">
        <v>1274</v>
      </c>
      <c r="C562" s="135" t="s">
        <v>41</v>
      </c>
      <c r="D562" s="135" t="s">
        <v>42</v>
      </c>
      <c r="E562" s="135" t="s">
        <v>1396</v>
      </c>
      <c r="F562" s="135" t="s">
        <v>1397</v>
      </c>
      <c r="G562" s="136">
        <v>25</v>
      </c>
      <c r="H562" s="135" t="s">
        <v>1396</v>
      </c>
      <c r="I562" s="81" t="s">
        <v>1407</v>
      </c>
      <c r="J562" s="81">
        <v>42643</v>
      </c>
      <c r="K562" s="81" t="s">
        <v>1408</v>
      </c>
    </row>
    <row r="563" spans="1:11" ht="27.75">
      <c r="A563" s="135" t="s">
        <v>1275</v>
      </c>
      <c r="B563" s="135" t="s">
        <v>1276</v>
      </c>
      <c r="C563" s="135" t="s">
        <v>41</v>
      </c>
      <c r="D563" s="135" t="s">
        <v>42</v>
      </c>
      <c r="E563" s="135" t="s">
        <v>1396</v>
      </c>
      <c r="F563" s="135" t="s">
        <v>1397</v>
      </c>
      <c r="G563" s="136">
        <v>25</v>
      </c>
      <c r="H563" s="135" t="s">
        <v>1396</v>
      </c>
      <c r="I563" s="81" t="s">
        <v>1407</v>
      </c>
      <c r="J563" s="81">
        <v>42643</v>
      </c>
      <c r="K563" s="81" t="s">
        <v>1408</v>
      </c>
    </row>
    <row r="564" spans="1:11" ht="27.75">
      <c r="A564" s="135" t="s">
        <v>584</v>
      </c>
      <c r="B564" s="135" t="s">
        <v>585</v>
      </c>
      <c r="C564" s="135" t="s">
        <v>41</v>
      </c>
      <c r="D564" s="135" t="s">
        <v>42</v>
      </c>
      <c r="E564" s="135" t="s">
        <v>1396</v>
      </c>
      <c r="F564" s="135" t="s">
        <v>1397</v>
      </c>
      <c r="G564" s="136">
        <v>25</v>
      </c>
      <c r="H564" s="135" t="s">
        <v>1396</v>
      </c>
      <c r="I564" s="81" t="s">
        <v>1409</v>
      </c>
      <c r="K564" s="81" t="s">
        <v>1408</v>
      </c>
    </row>
    <row r="565" spans="1:11" ht="27.75">
      <c r="A565" s="135" t="s">
        <v>586</v>
      </c>
      <c r="B565" s="135" t="s">
        <v>587</v>
      </c>
      <c r="C565" s="135" t="s">
        <v>41</v>
      </c>
      <c r="D565" s="135" t="s">
        <v>42</v>
      </c>
      <c r="E565" s="135" t="s">
        <v>1396</v>
      </c>
      <c r="F565" s="135" t="s">
        <v>1397</v>
      </c>
      <c r="G565" s="136">
        <v>25</v>
      </c>
      <c r="H565" s="135" t="s">
        <v>1396</v>
      </c>
      <c r="I565" s="81" t="s">
        <v>1409</v>
      </c>
      <c r="K565" s="81" t="s">
        <v>1408</v>
      </c>
    </row>
    <row r="566" spans="1:11" ht="27.75">
      <c r="A566" s="135" t="s">
        <v>1277</v>
      </c>
      <c r="B566" s="135" t="s">
        <v>1278</v>
      </c>
      <c r="C566" s="135" t="s">
        <v>41</v>
      </c>
      <c r="D566" s="135" t="s">
        <v>42</v>
      </c>
      <c r="E566" s="135" t="s">
        <v>1396</v>
      </c>
      <c r="F566" s="135" t="s">
        <v>1397</v>
      </c>
      <c r="G566" s="136">
        <v>25</v>
      </c>
      <c r="H566" s="135" t="s">
        <v>1396</v>
      </c>
      <c r="I566" s="81" t="s">
        <v>1407</v>
      </c>
      <c r="J566" s="81">
        <v>42643</v>
      </c>
      <c r="K566" s="81" t="s">
        <v>1408</v>
      </c>
    </row>
    <row r="567" spans="1:11" ht="27.75">
      <c r="A567" s="135" t="s">
        <v>588</v>
      </c>
      <c r="B567" s="135" t="s">
        <v>589</v>
      </c>
      <c r="C567" s="135" t="s">
        <v>41</v>
      </c>
      <c r="D567" s="135" t="s">
        <v>42</v>
      </c>
      <c r="E567" s="135" t="s">
        <v>1396</v>
      </c>
      <c r="F567" s="135" t="s">
        <v>1397</v>
      </c>
      <c r="G567" s="136">
        <v>25</v>
      </c>
      <c r="H567" s="135" t="s">
        <v>1396</v>
      </c>
      <c r="I567" s="81" t="s">
        <v>1409</v>
      </c>
      <c r="K567" s="81" t="s">
        <v>1408</v>
      </c>
    </row>
    <row r="568" spans="1:11" ht="27.75">
      <c r="A568" s="135" t="s">
        <v>590</v>
      </c>
      <c r="B568" s="135" t="s">
        <v>591</v>
      </c>
      <c r="C568" s="135" t="s">
        <v>41</v>
      </c>
      <c r="D568" s="135" t="s">
        <v>42</v>
      </c>
      <c r="E568" s="135" t="s">
        <v>1396</v>
      </c>
      <c r="F568" s="135" t="s">
        <v>1397</v>
      </c>
      <c r="G568" s="136">
        <v>25</v>
      </c>
      <c r="H568" s="135" t="s">
        <v>1396</v>
      </c>
      <c r="I568" s="81" t="s">
        <v>1409</v>
      </c>
      <c r="K568" s="81" t="s">
        <v>1408</v>
      </c>
    </row>
    <row r="569" spans="1:11" ht="27.75">
      <c r="A569" s="135" t="s">
        <v>592</v>
      </c>
      <c r="B569" s="135" t="s">
        <v>593</v>
      </c>
      <c r="C569" s="135" t="s">
        <v>41</v>
      </c>
      <c r="D569" s="135" t="s">
        <v>42</v>
      </c>
      <c r="E569" s="135" t="s">
        <v>1396</v>
      </c>
      <c r="F569" s="135" t="s">
        <v>1397</v>
      </c>
      <c r="G569" s="136">
        <v>25</v>
      </c>
      <c r="H569" s="135" t="s">
        <v>1396</v>
      </c>
      <c r="I569" s="81" t="s">
        <v>1409</v>
      </c>
      <c r="K569" s="81" t="s">
        <v>1408</v>
      </c>
    </row>
    <row r="570" spans="1:11" ht="27.75">
      <c r="A570" s="135" t="s">
        <v>984</v>
      </c>
      <c r="B570" s="135" t="s">
        <v>985</v>
      </c>
      <c r="C570" s="135" t="s">
        <v>41</v>
      </c>
      <c r="D570" s="135" t="s">
        <v>42</v>
      </c>
      <c r="E570" s="135" t="s">
        <v>1396</v>
      </c>
      <c r="F570" s="135" t="s">
        <v>1397</v>
      </c>
      <c r="G570" s="136">
        <v>25</v>
      </c>
      <c r="H570" s="135" t="s">
        <v>1396</v>
      </c>
      <c r="I570" s="81" t="s">
        <v>1409</v>
      </c>
      <c r="K570" s="81" t="s">
        <v>1411</v>
      </c>
    </row>
    <row r="571" spans="1:11" ht="27.75">
      <c r="A571" s="135" t="s">
        <v>986</v>
      </c>
      <c r="B571" s="135" t="s">
        <v>987</v>
      </c>
      <c r="C571" s="135" t="s">
        <v>41</v>
      </c>
      <c r="D571" s="135" t="s">
        <v>42</v>
      </c>
      <c r="E571" s="135" t="s">
        <v>1396</v>
      </c>
      <c r="F571" s="135" t="s">
        <v>1397</v>
      </c>
      <c r="G571" s="136">
        <v>25</v>
      </c>
      <c r="H571" s="135" t="s">
        <v>1396</v>
      </c>
      <c r="I571" s="81" t="s">
        <v>1409</v>
      </c>
      <c r="K571" s="81" t="s">
        <v>1411</v>
      </c>
    </row>
    <row r="572" spans="1:11" ht="27.75">
      <c r="A572" s="135" t="s">
        <v>988</v>
      </c>
      <c r="B572" s="135" t="s">
        <v>989</v>
      </c>
      <c r="C572" s="135" t="s">
        <v>41</v>
      </c>
      <c r="D572" s="135" t="s">
        <v>42</v>
      </c>
      <c r="E572" s="135" t="s">
        <v>1396</v>
      </c>
      <c r="F572" s="135" t="s">
        <v>1397</v>
      </c>
      <c r="G572" s="136">
        <v>25</v>
      </c>
      <c r="H572" s="135" t="s">
        <v>1396</v>
      </c>
      <c r="I572" s="81" t="s">
        <v>1409</v>
      </c>
      <c r="K572" s="81" t="s">
        <v>1411</v>
      </c>
    </row>
    <row r="573" spans="1:11" ht="27.75">
      <c r="A573" s="135" t="s">
        <v>594</v>
      </c>
      <c r="B573" s="135" t="s">
        <v>1534</v>
      </c>
      <c r="C573" s="135" t="s">
        <v>41</v>
      </c>
      <c r="D573" s="135" t="s">
        <v>42</v>
      </c>
      <c r="E573" s="135" t="s">
        <v>1396</v>
      </c>
      <c r="F573" s="135" t="s">
        <v>1397</v>
      </c>
      <c r="G573" s="136">
        <v>25</v>
      </c>
      <c r="H573" s="135" t="s">
        <v>1396</v>
      </c>
      <c r="I573" s="81" t="s">
        <v>1409</v>
      </c>
      <c r="K573" s="81" t="s">
        <v>1408</v>
      </c>
    </row>
    <row r="574" spans="1:11" ht="27.75">
      <c r="A574" s="135" t="s">
        <v>990</v>
      </c>
      <c r="B574" s="135" t="s">
        <v>991</v>
      </c>
      <c r="C574" s="135" t="s">
        <v>41</v>
      </c>
      <c r="D574" s="135" t="s">
        <v>42</v>
      </c>
      <c r="E574" s="135" t="s">
        <v>1396</v>
      </c>
      <c r="F574" s="135" t="s">
        <v>1397</v>
      </c>
      <c r="G574" s="136">
        <v>25</v>
      </c>
      <c r="H574" s="135" t="s">
        <v>1396</v>
      </c>
      <c r="I574" s="81" t="s">
        <v>1409</v>
      </c>
      <c r="K574" s="81" t="s">
        <v>1411</v>
      </c>
    </row>
    <row r="575" spans="1:11" ht="27.75">
      <c r="A575" s="135" t="s">
        <v>992</v>
      </c>
      <c r="B575" s="135" t="s">
        <v>993</v>
      </c>
      <c r="C575" s="135" t="s">
        <v>41</v>
      </c>
      <c r="D575" s="135" t="s">
        <v>42</v>
      </c>
      <c r="E575" s="135" t="s">
        <v>1396</v>
      </c>
      <c r="F575" s="135" t="s">
        <v>1397</v>
      </c>
      <c r="G575" s="136">
        <v>25</v>
      </c>
      <c r="H575" s="135" t="s">
        <v>1396</v>
      </c>
      <c r="I575" s="81" t="s">
        <v>1409</v>
      </c>
      <c r="K575" s="81" t="s">
        <v>1411</v>
      </c>
    </row>
    <row r="576" spans="1:11" ht="27.75">
      <c r="A576" s="135" t="s">
        <v>595</v>
      </c>
      <c r="B576" s="135" t="s">
        <v>1535</v>
      </c>
      <c r="C576" s="135" t="s">
        <v>41</v>
      </c>
      <c r="D576" s="135" t="s">
        <v>42</v>
      </c>
      <c r="E576" s="135" t="s">
        <v>1396</v>
      </c>
      <c r="F576" s="135" t="s">
        <v>1397</v>
      </c>
      <c r="G576" s="136">
        <v>25</v>
      </c>
      <c r="H576" s="135" t="s">
        <v>1396</v>
      </c>
      <c r="I576" s="81" t="s">
        <v>1409</v>
      </c>
      <c r="K576" s="81" t="s">
        <v>1408</v>
      </c>
    </row>
    <row r="577" spans="1:11" ht="27.75">
      <c r="A577" s="135" t="s">
        <v>1279</v>
      </c>
      <c r="B577" s="135" t="s">
        <v>1280</v>
      </c>
      <c r="C577" s="135" t="s">
        <v>41</v>
      </c>
      <c r="D577" s="135" t="s">
        <v>42</v>
      </c>
      <c r="E577" s="135" t="s">
        <v>1396</v>
      </c>
      <c r="F577" s="135" t="s">
        <v>1397</v>
      </c>
      <c r="G577" s="136">
        <v>25</v>
      </c>
      <c r="H577" s="135" t="s">
        <v>1396</v>
      </c>
      <c r="I577" s="81" t="s">
        <v>1407</v>
      </c>
      <c r="J577" s="81">
        <v>42643</v>
      </c>
      <c r="K577" s="81" t="s">
        <v>1408</v>
      </c>
    </row>
    <row r="578" spans="1:11" ht="27.75">
      <c r="A578" s="135" t="s">
        <v>1281</v>
      </c>
      <c r="B578" s="135" t="s">
        <v>1282</v>
      </c>
      <c r="C578" s="135" t="s">
        <v>41</v>
      </c>
      <c r="D578" s="135" t="s">
        <v>42</v>
      </c>
      <c r="E578" s="135" t="s">
        <v>1396</v>
      </c>
      <c r="F578" s="135" t="s">
        <v>1397</v>
      </c>
      <c r="G578" s="136">
        <v>25</v>
      </c>
      <c r="H578" s="135" t="s">
        <v>1396</v>
      </c>
      <c r="I578" s="81" t="s">
        <v>1407</v>
      </c>
      <c r="J578" s="81">
        <v>42643</v>
      </c>
      <c r="K578" s="81" t="s">
        <v>1408</v>
      </c>
    </row>
    <row r="579" spans="1:11" ht="27.75">
      <c r="A579" s="135" t="s">
        <v>1283</v>
      </c>
      <c r="B579" s="135" t="s">
        <v>1284</v>
      </c>
      <c r="C579" s="135" t="s">
        <v>41</v>
      </c>
      <c r="D579" s="135" t="s">
        <v>42</v>
      </c>
      <c r="E579" s="135" t="s">
        <v>1396</v>
      </c>
      <c r="F579" s="135" t="s">
        <v>1397</v>
      </c>
      <c r="G579" s="136">
        <v>25</v>
      </c>
      <c r="H579" s="135" t="s">
        <v>1396</v>
      </c>
      <c r="I579" s="81" t="s">
        <v>1407</v>
      </c>
      <c r="J579" s="81">
        <v>42643</v>
      </c>
      <c r="K579" s="81" t="s">
        <v>1408</v>
      </c>
    </row>
    <row r="580" spans="1:11" ht="27.75">
      <c r="A580" s="135" t="s">
        <v>1285</v>
      </c>
      <c r="B580" s="135" t="s">
        <v>1286</v>
      </c>
      <c r="C580" s="135" t="s">
        <v>41</v>
      </c>
      <c r="D580" s="135" t="s">
        <v>42</v>
      </c>
      <c r="E580" s="135" t="s">
        <v>1396</v>
      </c>
      <c r="F580" s="135" t="s">
        <v>1397</v>
      </c>
      <c r="G580" s="136">
        <v>25</v>
      </c>
      <c r="H580" s="135" t="s">
        <v>1396</v>
      </c>
      <c r="I580" s="81" t="s">
        <v>1407</v>
      </c>
      <c r="J580" s="81">
        <v>42643</v>
      </c>
      <c r="K580" s="81" t="s">
        <v>1408</v>
      </c>
    </row>
    <row r="581" spans="1:11" ht="27.75">
      <c r="A581" s="135" t="s">
        <v>1287</v>
      </c>
      <c r="B581" s="135" t="s">
        <v>1288</v>
      </c>
      <c r="C581" s="135" t="s">
        <v>41</v>
      </c>
      <c r="D581" s="135" t="s">
        <v>42</v>
      </c>
      <c r="E581" s="135" t="s">
        <v>1396</v>
      </c>
      <c r="F581" s="135" t="s">
        <v>1397</v>
      </c>
      <c r="G581" s="136">
        <v>25</v>
      </c>
      <c r="H581" s="135" t="s">
        <v>1396</v>
      </c>
      <c r="I581" s="81" t="s">
        <v>1407</v>
      </c>
      <c r="J581" s="81">
        <v>42643</v>
      </c>
      <c r="K581" s="81" t="s">
        <v>1408</v>
      </c>
    </row>
    <row r="582" spans="1:11" ht="27.75">
      <c r="A582" s="135" t="s">
        <v>1289</v>
      </c>
      <c r="B582" s="135" t="s">
        <v>596</v>
      </c>
      <c r="C582" s="135" t="s">
        <v>41</v>
      </c>
      <c r="D582" s="135" t="s">
        <v>42</v>
      </c>
      <c r="E582" s="135" t="s">
        <v>1396</v>
      </c>
      <c r="F582" s="135" t="s">
        <v>1397</v>
      </c>
      <c r="G582" s="136">
        <v>25</v>
      </c>
      <c r="H582" s="135" t="s">
        <v>1396</v>
      </c>
      <c r="I582" s="81" t="s">
        <v>1407</v>
      </c>
      <c r="J582" s="81">
        <v>42643</v>
      </c>
      <c r="K582" s="81" t="s">
        <v>1408</v>
      </c>
    </row>
    <row r="583" spans="1:11" ht="27.75">
      <c r="A583" s="135" t="s">
        <v>994</v>
      </c>
      <c r="B583" s="135" t="s">
        <v>596</v>
      </c>
      <c r="C583" s="135" t="s">
        <v>41</v>
      </c>
      <c r="D583" s="135" t="s">
        <v>42</v>
      </c>
      <c r="E583" s="135" t="s">
        <v>1396</v>
      </c>
      <c r="F583" s="135" t="s">
        <v>1397</v>
      </c>
      <c r="G583" s="136">
        <v>25</v>
      </c>
      <c r="H583" s="135" t="s">
        <v>1396</v>
      </c>
      <c r="I583" s="81" t="s">
        <v>1409</v>
      </c>
      <c r="K583" s="81" t="s">
        <v>1411</v>
      </c>
    </row>
    <row r="584" spans="1:11" ht="27.75">
      <c r="A584" s="135" t="s">
        <v>597</v>
      </c>
      <c r="B584" s="135" t="s">
        <v>598</v>
      </c>
      <c r="C584" s="135" t="s">
        <v>41</v>
      </c>
      <c r="D584" s="135" t="s">
        <v>42</v>
      </c>
      <c r="E584" s="135" t="s">
        <v>1396</v>
      </c>
      <c r="F584" s="135" t="s">
        <v>1397</v>
      </c>
      <c r="G584" s="136">
        <v>25</v>
      </c>
      <c r="H584" s="135" t="s">
        <v>1396</v>
      </c>
      <c r="I584" s="81" t="s">
        <v>1409</v>
      </c>
      <c r="K584" s="81" t="s">
        <v>1408</v>
      </c>
    </row>
    <row r="585" spans="1:11" ht="27.75">
      <c r="A585" s="135" t="s">
        <v>599</v>
      </c>
      <c r="B585" s="135" t="s">
        <v>600</v>
      </c>
      <c r="C585" s="135" t="s">
        <v>41</v>
      </c>
      <c r="D585" s="135" t="s">
        <v>42</v>
      </c>
      <c r="E585" s="135" t="s">
        <v>1396</v>
      </c>
      <c r="F585" s="135" t="s">
        <v>1397</v>
      </c>
      <c r="G585" s="136">
        <v>25</v>
      </c>
      <c r="H585" s="135" t="s">
        <v>1396</v>
      </c>
      <c r="I585" s="81" t="s">
        <v>1409</v>
      </c>
      <c r="K585" s="81" t="s">
        <v>1408</v>
      </c>
    </row>
    <row r="586" spans="1:11" ht="27.75">
      <c r="A586" s="135" t="s">
        <v>1290</v>
      </c>
      <c r="B586" s="135" t="s">
        <v>1291</v>
      </c>
      <c r="C586" s="135" t="s">
        <v>41</v>
      </c>
      <c r="D586" s="135" t="s">
        <v>42</v>
      </c>
      <c r="E586" s="135" t="s">
        <v>1396</v>
      </c>
      <c r="F586" s="135" t="s">
        <v>1397</v>
      </c>
      <c r="G586" s="136">
        <v>25</v>
      </c>
      <c r="H586" s="135" t="s">
        <v>1396</v>
      </c>
      <c r="I586" s="81" t="s">
        <v>1407</v>
      </c>
      <c r="J586" s="81">
        <v>42643</v>
      </c>
      <c r="K586" s="81" t="s">
        <v>1408</v>
      </c>
    </row>
    <row r="587" spans="1:11" ht="27.75">
      <c r="A587" s="135" t="s">
        <v>601</v>
      </c>
      <c r="B587" s="135" t="s">
        <v>602</v>
      </c>
      <c r="C587" s="135" t="s">
        <v>41</v>
      </c>
      <c r="D587" s="135" t="s">
        <v>42</v>
      </c>
      <c r="E587" s="135" t="s">
        <v>1396</v>
      </c>
      <c r="F587" s="135" t="s">
        <v>1397</v>
      </c>
      <c r="G587" s="136">
        <v>25</v>
      </c>
      <c r="H587" s="135" t="s">
        <v>1396</v>
      </c>
      <c r="I587" s="81" t="s">
        <v>1409</v>
      </c>
      <c r="K587" s="81" t="s">
        <v>1408</v>
      </c>
    </row>
    <row r="588" spans="1:11" ht="27.75">
      <c r="A588" s="135" t="s">
        <v>603</v>
      </c>
      <c r="B588" s="135" t="s">
        <v>604</v>
      </c>
      <c r="C588" s="135" t="s">
        <v>41</v>
      </c>
      <c r="D588" s="135" t="s">
        <v>42</v>
      </c>
      <c r="E588" s="135" t="s">
        <v>1396</v>
      </c>
      <c r="F588" s="135" t="s">
        <v>1397</v>
      </c>
      <c r="G588" s="136">
        <v>25</v>
      </c>
      <c r="H588" s="135" t="s">
        <v>1396</v>
      </c>
      <c r="I588" s="81" t="s">
        <v>1409</v>
      </c>
      <c r="K588" s="81" t="s">
        <v>1408</v>
      </c>
    </row>
    <row r="589" spans="1:11" ht="27.75">
      <c r="A589" s="135" t="s">
        <v>605</v>
      </c>
      <c r="B589" s="135" t="s">
        <v>1536</v>
      </c>
      <c r="C589" s="135" t="s">
        <v>41</v>
      </c>
      <c r="D589" s="135" t="s">
        <v>42</v>
      </c>
      <c r="E589" s="135" t="s">
        <v>1396</v>
      </c>
      <c r="F589" s="135" t="s">
        <v>1397</v>
      </c>
      <c r="G589" s="136">
        <v>25</v>
      </c>
      <c r="H589" s="135" t="s">
        <v>1396</v>
      </c>
      <c r="I589" s="81" t="s">
        <v>1409</v>
      </c>
      <c r="K589" s="81" t="s">
        <v>1408</v>
      </c>
    </row>
    <row r="590" spans="1:11" ht="27.75">
      <c r="A590" s="135" t="s">
        <v>606</v>
      </c>
      <c r="B590" s="135" t="s">
        <v>1537</v>
      </c>
      <c r="C590" s="135" t="s">
        <v>41</v>
      </c>
      <c r="D590" s="135" t="s">
        <v>42</v>
      </c>
      <c r="E590" s="135" t="s">
        <v>1396</v>
      </c>
      <c r="F590" s="135" t="s">
        <v>1397</v>
      </c>
      <c r="G590" s="136">
        <v>25</v>
      </c>
      <c r="H590" s="135" t="s">
        <v>1396</v>
      </c>
      <c r="I590" s="81" t="s">
        <v>1409</v>
      </c>
      <c r="K590" s="81" t="s">
        <v>1408</v>
      </c>
    </row>
    <row r="591" spans="1:11" ht="27.75">
      <c r="A591" s="135" t="s">
        <v>607</v>
      </c>
      <c r="B591" s="135" t="s">
        <v>608</v>
      </c>
      <c r="C591" s="135" t="s">
        <v>41</v>
      </c>
      <c r="D591" s="135" t="s">
        <v>42</v>
      </c>
      <c r="E591" s="135" t="s">
        <v>1396</v>
      </c>
      <c r="F591" s="135" t="s">
        <v>1397</v>
      </c>
      <c r="G591" s="136">
        <v>25</v>
      </c>
      <c r="H591" s="135" t="s">
        <v>1396</v>
      </c>
      <c r="I591" s="81" t="s">
        <v>1409</v>
      </c>
      <c r="K591" s="81" t="s">
        <v>1408</v>
      </c>
    </row>
    <row r="592" spans="1:11" ht="27.75">
      <c r="A592" s="135" t="s">
        <v>609</v>
      </c>
      <c r="B592" s="135" t="s">
        <v>610</v>
      </c>
      <c r="C592" s="135" t="s">
        <v>41</v>
      </c>
      <c r="D592" s="135" t="s">
        <v>42</v>
      </c>
      <c r="E592" s="135" t="s">
        <v>1396</v>
      </c>
      <c r="F592" s="135" t="s">
        <v>1397</v>
      </c>
      <c r="G592" s="136">
        <v>25</v>
      </c>
      <c r="H592" s="135" t="s">
        <v>1396</v>
      </c>
      <c r="I592" s="81" t="s">
        <v>1409</v>
      </c>
      <c r="K592" s="81" t="s">
        <v>1408</v>
      </c>
    </row>
    <row r="593" spans="1:11" ht="27.75">
      <c r="A593" s="135" t="s">
        <v>611</v>
      </c>
      <c r="B593" s="135" t="s">
        <v>612</v>
      </c>
      <c r="C593" s="135" t="s">
        <v>41</v>
      </c>
      <c r="D593" s="135" t="s">
        <v>42</v>
      </c>
      <c r="E593" s="135" t="s">
        <v>1396</v>
      </c>
      <c r="F593" s="135" t="s">
        <v>1397</v>
      </c>
      <c r="G593" s="136">
        <v>25</v>
      </c>
      <c r="H593" s="135" t="s">
        <v>1396</v>
      </c>
      <c r="I593" s="81" t="s">
        <v>1409</v>
      </c>
      <c r="K593" s="81" t="s">
        <v>1408</v>
      </c>
    </row>
    <row r="594" spans="1:11" ht="27.75">
      <c r="A594" s="135" t="s">
        <v>613</v>
      </c>
      <c r="B594" s="135" t="s">
        <v>614</v>
      </c>
      <c r="C594" s="135" t="s">
        <v>41</v>
      </c>
      <c r="D594" s="135" t="s">
        <v>42</v>
      </c>
      <c r="E594" s="135" t="s">
        <v>1396</v>
      </c>
      <c r="F594" s="135" t="s">
        <v>1397</v>
      </c>
      <c r="G594" s="136">
        <v>25</v>
      </c>
      <c r="H594" s="135" t="s">
        <v>1396</v>
      </c>
      <c r="I594" s="81" t="s">
        <v>1409</v>
      </c>
      <c r="K594" s="81" t="s">
        <v>1408</v>
      </c>
    </row>
    <row r="595" spans="1:11" ht="27.75">
      <c r="A595" s="135" t="s">
        <v>615</v>
      </c>
      <c r="B595" s="135" t="s">
        <v>616</v>
      </c>
      <c r="C595" s="135" t="s">
        <v>41</v>
      </c>
      <c r="D595" s="135" t="s">
        <v>42</v>
      </c>
      <c r="E595" s="135" t="s">
        <v>1396</v>
      </c>
      <c r="F595" s="135" t="s">
        <v>1397</v>
      </c>
      <c r="G595" s="136">
        <v>25</v>
      </c>
      <c r="H595" s="135" t="s">
        <v>1396</v>
      </c>
      <c r="I595" s="81" t="s">
        <v>1409</v>
      </c>
      <c r="K595" s="81" t="s">
        <v>1408</v>
      </c>
    </row>
    <row r="596" spans="1:11" ht="27.75">
      <c r="A596" s="135" t="s">
        <v>617</v>
      </c>
      <c r="B596" s="135" t="s">
        <v>618</v>
      </c>
      <c r="C596" s="135" t="s">
        <v>41</v>
      </c>
      <c r="D596" s="135" t="s">
        <v>42</v>
      </c>
      <c r="E596" s="135" t="s">
        <v>1396</v>
      </c>
      <c r="F596" s="135" t="s">
        <v>1397</v>
      </c>
      <c r="G596" s="136">
        <v>25</v>
      </c>
      <c r="H596" s="135" t="s">
        <v>1396</v>
      </c>
      <c r="I596" s="81" t="s">
        <v>1409</v>
      </c>
      <c r="K596" s="81" t="s">
        <v>1408</v>
      </c>
    </row>
    <row r="597" spans="1:11" ht="27.75">
      <c r="A597" s="135" t="s">
        <v>619</v>
      </c>
      <c r="B597" s="135" t="s">
        <v>620</v>
      </c>
      <c r="C597" s="135" t="s">
        <v>41</v>
      </c>
      <c r="D597" s="135" t="s">
        <v>42</v>
      </c>
      <c r="E597" s="135" t="s">
        <v>1396</v>
      </c>
      <c r="F597" s="135" t="s">
        <v>1397</v>
      </c>
      <c r="G597" s="136">
        <v>25</v>
      </c>
      <c r="H597" s="135" t="s">
        <v>1396</v>
      </c>
      <c r="I597" s="81" t="s">
        <v>1409</v>
      </c>
      <c r="K597" s="81" t="s">
        <v>1408</v>
      </c>
    </row>
    <row r="598" spans="1:11" ht="27.75">
      <c r="A598" s="135" t="s">
        <v>621</v>
      </c>
      <c r="B598" s="135" t="s">
        <v>622</v>
      </c>
      <c r="C598" s="135" t="s">
        <v>41</v>
      </c>
      <c r="D598" s="135" t="s">
        <v>42</v>
      </c>
      <c r="E598" s="135" t="s">
        <v>1396</v>
      </c>
      <c r="F598" s="135" t="s">
        <v>1397</v>
      </c>
      <c r="G598" s="136">
        <v>25</v>
      </c>
      <c r="H598" s="135" t="s">
        <v>1396</v>
      </c>
      <c r="I598" s="81" t="s">
        <v>1409</v>
      </c>
      <c r="K598" s="81" t="s">
        <v>1408</v>
      </c>
    </row>
  </sheetData>
  <sheetProtection/>
  <autoFilter ref="A1:K598"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9"/>
  <sheetViews>
    <sheetView zoomScalePageLayoutView="0" workbookViewId="0" topLeftCell="A1">
      <pane xSplit="2" ySplit="2" topLeftCell="C29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47" sqref="B347"/>
    </sheetView>
  </sheetViews>
  <sheetFormatPr defaultColWidth="9.140625" defaultRowHeight="15"/>
  <cols>
    <col min="1" max="1" width="17.421875" style="0" customWidth="1"/>
    <col min="2" max="2" width="84.00390625" style="0" customWidth="1"/>
    <col min="3" max="3" width="20.140625" style="89" customWidth="1"/>
    <col min="4" max="4" width="10.140625" style="0" customWidth="1"/>
    <col min="5" max="5" width="14.421875" style="84" customWidth="1"/>
    <col min="6" max="6" width="16.28125" style="84" customWidth="1"/>
    <col min="7" max="7" width="4.421875" style="0" bestFit="1" customWidth="1"/>
    <col min="8" max="8" width="4.421875" style="0" customWidth="1"/>
    <col min="9" max="9" width="3.421875" style="0" customWidth="1"/>
  </cols>
  <sheetData>
    <row r="1" spans="1:6" ht="18" customHeight="1">
      <c r="A1" s="86"/>
      <c r="B1" s="86" t="s">
        <v>995</v>
      </c>
      <c r="C1" s="87"/>
      <c r="D1" s="86"/>
      <c r="E1" s="86"/>
      <c r="F1" s="86"/>
    </row>
    <row r="2" spans="1:8" ht="27.75">
      <c r="A2" s="31" t="s">
        <v>736</v>
      </c>
      <c r="B2" s="31" t="s">
        <v>737</v>
      </c>
      <c r="C2" s="88" t="s">
        <v>707</v>
      </c>
      <c r="D2" s="25"/>
      <c r="E2" s="85" t="s">
        <v>798</v>
      </c>
      <c r="F2" s="85" t="s">
        <v>799</v>
      </c>
      <c r="G2" s="81" t="s">
        <v>1538</v>
      </c>
      <c r="H2" s="81"/>
    </row>
    <row r="3" spans="1:10" ht="27.75">
      <c r="A3" s="138" t="s">
        <v>999</v>
      </c>
      <c r="B3" s="138" t="s">
        <v>1000</v>
      </c>
      <c r="C3" s="134">
        <f>_xlfn.IFERROR(VLOOKUP(A3,'งบทดลอง รพ.'!$A$2:$C$602,3,0),0)</f>
        <v>0</v>
      </c>
      <c r="D3" s="25"/>
      <c r="E3" s="85" t="s">
        <v>1338</v>
      </c>
      <c r="F3" s="85" t="s">
        <v>16</v>
      </c>
      <c r="G3" s="81" t="s">
        <v>1407</v>
      </c>
      <c r="H3" s="81"/>
      <c r="I3" s="140"/>
      <c r="J3" t="s">
        <v>1539</v>
      </c>
    </row>
    <row r="4" spans="1:10" ht="27.75">
      <c r="A4" s="141" t="s">
        <v>144</v>
      </c>
      <c r="B4" s="141" t="s">
        <v>145</v>
      </c>
      <c r="C4" s="134">
        <f>_xlfn.IFERROR(VLOOKUP(A4,'งบทดลอง รพ.'!$A$2:$C$602,3,0),0)</f>
        <v>0</v>
      </c>
      <c r="D4" s="25"/>
      <c r="E4" s="85" t="s">
        <v>1338</v>
      </c>
      <c r="F4" s="85" t="s">
        <v>16</v>
      </c>
      <c r="G4" s="81" t="s">
        <v>1409</v>
      </c>
      <c r="H4" s="81"/>
      <c r="I4" s="143"/>
      <c r="J4" t="s">
        <v>1540</v>
      </c>
    </row>
    <row r="5" spans="1:8" ht="27.75">
      <c r="A5" s="141" t="s">
        <v>146</v>
      </c>
      <c r="B5" s="141" t="s">
        <v>147</v>
      </c>
      <c r="C5" s="134">
        <f>_xlfn.IFERROR(VLOOKUP(A5,'งบทดลอง รพ.'!$A$2:$C$602,3,0),0)</f>
        <v>0</v>
      </c>
      <c r="D5" s="25"/>
      <c r="E5" s="85" t="s">
        <v>1338</v>
      </c>
      <c r="F5" s="85" t="s">
        <v>16</v>
      </c>
      <c r="G5" s="81" t="s">
        <v>1409</v>
      </c>
      <c r="H5" s="81"/>
    </row>
    <row r="6" spans="1:8" ht="27.75">
      <c r="A6" s="141" t="s">
        <v>148</v>
      </c>
      <c r="B6" s="141" t="s">
        <v>149</v>
      </c>
      <c r="C6" s="134">
        <f>_xlfn.IFERROR(VLOOKUP(A6,'งบทดลอง รพ.'!$A$2:$C$602,3,0),0)</f>
        <v>1550</v>
      </c>
      <c r="D6" s="25"/>
      <c r="E6" s="85" t="s">
        <v>1338</v>
      </c>
      <c r="F6" s="85" t="s">
        <v>16</v>
      </c>
      <c r="G6" s="81" t="s">
        <v>1409</v>
      </c>
      <c r="H6" s="81"/>
    </row>
    <row r="7" spans="1:8" ht="27.75">
      <c r="A7" s="141" t="s">
        <v>150</v>
      </c>
      <c r="B7" s="141" t="s">
        <v>151</v>
      </c>
      <c r="C7" s="134">
        <f>_xlfn.IFERROR(VLOOKUP(A7,'งบทดลอง รพ.'!$A$2:$C$602,3,0),0)</f>
        <v>0</v>
      </c>
      <c r="D7" s="25"/>
      <c r="E7" s="85" t="s">
        <v>1338</v>
      </c>
      <c r="F7" s="85" t="s">
        <v>16</v>
      </c>
      <c r="G7" s="81" t="s">
        <v>1409</v>
      </c>
      <c r="H7" s="81"/>
    </row>
    <row r="8" spans="1:8" ht="27.75">
      <c r="A8" s="141" t="s">
        <v>152</v>
      </c>
      <c r="B8" s="141" t="s">
        <v>1410</v>
      </c>
      <c r="C8" s="134">
        <f>_xlfn.IFERROR(VLOOKUP(A8,'งบทดลอง รพ.'!$A$2:$C$602,3,0),0)</f>
        <v>0</v>
      </c>
      <c r="D8" s="25"/>
      <c r="E8" s="85" t="s">
        <v>1338</v>
      </c>
      <c r="F8" s="85" t="s">
        <v>16</v>
      </c>
      <c r="G8" s="81" t="s">
        <v>1409</v>
      </c>
      <c r="H8" s="81"/>
    </row>
    <row r="9" spans="1:8" ht="27.75">
      <c r="A9" s="138" t="s">
        <v>1001</v>
      </c>
      <c r="B9" s="138" t="s">
        <v>1002</v>
      </c>
      <c r="C9" s="134">
        <f>_xlfn.IFERROR(VLOOKUP(A9,'งบทดลอง รพ.'!$A$2:$C$602,3,0),0)</f>
        <v>0</v>
      </c>
      <c r="D9" s="25"/>
      <c r="E9" s="85" t="s">
        <v>1338</v>
      </c>
      <c r="F9" s="85" t="s">
        <v>16</v>
      </c>
      <c r="G9" s="81" t="s">
        <v>1407</v>
      </c>
      <c r="H9" s="81"/>
    </row>
    <row r="10" spans="1:8" ht="27.75">
      <c r="A10" s="141" t="s">
        <v>153</v>
      </c>
      <c r="B10" s="141" t="s">
        <v>154</v>
      </c>
      <c r="C10" s="134">
        <f>_xlfn.IFERROR(VLOOKUP(A10,'งบทดลอง รพ.'!$A$2:$C$602,3,0),0)</f>
        <v>0</v>
      </c>
      <c r="D10" s="25"/>
      <c r="E10" s="85" t="s">
        <v>1338</v>
      </c>
      <c r="F10" s="85" t="s">
        <v>16</v>
      </c>
      <c r="G10" s="81" t="s">
        <v>1409</v>
      </c>
      <c r="H10" s="81"/>
    </row>
    <row r="11" spans="1:8" ht="27.75">
      <c r="A11" s="138" t="s">
        <v>1003</v>
      </c>
      <c r="B11" s="138" t="s">
        <v>1004</v>
      </c>
      <c r="C11" s="134">
        <f>_xlfn.IFERROR(VLOOKUP(A11,'งบทดลอง รพ.'!$A$2:$C$602,3,0),0)</f>
        <v>0</v>
      </c>
      <c r="D11" s="25"/>
      <c r="E11" s="85" t="s">
        <v>1338</v>
      </c>
      <c r="F11" s="85" t="s">
        <v>16</v>
      </c>
      <c r="G11" s="81" t="s">
        <v>1407</v>
      </c>
      <c r="H11" s="81"/>
    </row>
    <row r="12" spans="1:8" ht="27.75">
      <c r="A12" s="138" t="s">
        <v>1005</v>
      </c>
      <c r="B12" s="138" t="s">
        <v>1006</v>
      </c>
      <c r="C12" s="134">
        <f>_xlfn.IFERROR(VLOOKUP(A12,'งบทดลอง รพ.'!$A$2:$C$602,3,0),0)</f>
        <v>0</v>
      </c>
      <c r="D12" s="25"/>
      <c r="E12" s="85" t="s">
        <v>1338</v>
      </c>
      <c r="F12" s="85" t="s">
        <v>16</v>
      </c>
      <c r="G12" s="81" t="s">
        <v>1407</v>
      </c>
      <c r="H12" s="81"/>
    </row>
    <row r="13" spans="1:8" ht="27.75">
      <c r="A13" s="141" t="s">
        <v>155</v>
      </c>
      <c r="B13" s="141" t="s">
        <v>177</v>
      </c>
      <c r="C13" s="134">
        <f>_xlfn.IFERROR(VLOOKUP(A13,'งบทดลอง รพ.'!$A$2:$C$602,3,0),0)</f>
        <v>0</v>
      </c>
      <c r="D13" s="25"/>
      <c r="E13" s="85" t="s">
        <v>1338</v>
      </c>
      <c r="F13" s="85" t="s">
        <v>16</v>
      </c>
      <c r="G13" s="81" t="s">
        <v>1409</v>
      </c>
      <c r="H13" s="81"/>
    </row>
    <row r="14" spans="1:8" ht="27.75">
      <c r="A14" s="141" t="s">
        <v>156</v>
      </c>
      <c r="B14" s="141" t="s">
        <v>179</v>
      </c>
      <c r="C14" s="134">
        <f>_xlfn.IFERROR(VLOOKUP(A14,'งบทดลอง รพ.'!$A$2:$C$602,3,0),0)</f>
        <v>0</v>
      </c>
      <c r="D14" s="25"/>
      <c r="E14" s="85" t="s">
        <v>1338</v>
      </c>
      <c r="F14" s="85" t="s">
        <v>16</v>
      </c>
      <c r="G14" s="81" t="s">
        <v>1409</v>
      </c>
      <c r="H14" s="81"/>
    </row>
    <row r="15" spans="1:8" ht="27.75">
      <c r="A15" s="141" t="s">
        <v>157</v>
      </c>
      <c r="B15" s="141" t="s">
        <v>158</v>
      </c>
      <c r="C15" s="134">
        <f>_xlfn.IFERROR(VLOOKUP(A15,'งบทดลอง รพ.'!$A$2:$C$602,3,0),0)</f>
        <v>0</v>
      </c>
      <c r="D15" s="25"/>
      <c r="E15" s="85" t="s">
        <v>1338</v>
      </c>
      <c r="F15" s="85" t="s">
        <v>16</v>
      </c>
      <c r="G15" s="81" t="s">
        <v>1409</v>
      </c>
      <c r="H15" s="81"/>
    </row>
    <row r="16" spans="1:8" ht="27.75">
      <c r="A16" s="138" t="s">
        <v>1007</v>
      </c>
      <c r="B16" s="138" t="s">
        <v>1008</v>
      </c>
      <c r="C16" s="134">
        <f>_xlfn.IFERROR(VLOOKUP(A16,'งบทดลอง รพ.'!$A$2:$C$602,3,0),0)</f>
        <v>0</v>
      </c>
      <c r="D16" s="25"/>
      <c r="E16" s="85" t="s">
        <v>1338</v>
      </c>
      <c r="F16" s="85" t="s">
        <v>16</v>
      </c>
      <c r="G16" s="81" t="s">
        <v>1407</v>
      </c>
      <c r="H16" s="81"/>
    </row>
    <row r="17" spans="1:8" ht="27.75">
      <c r="A17" s="138" t="s">
        <v>1009</v>
      </c>
      <c r="B17" s="138" t="s">
        <v>1010</v>
      </c>
      <c r="C17" s="134">
        <f>_xlfn.IFERROR(VLOOKUP(A17,'งบทดลอง รพ.'!$A$2:$C$602,3,0),0)</f>
        <v>0</v>
      </c>
      <c r="D17" s="25"/>
      <c r="E17" s="85" t="s">
        <v>1338</v>
      </c>
      <c r="F17" s="85" t="s">
        <v>16</v>
      </c>
      <c r="G17" s="81" t="s">
        <v>1407</v>
      </c>
      <c r="H17" s="81"/>
    </row>
    <row r="18" spans="1:8" ht="27.75">
      <c r="A18" s="141" t="s">
        <v>159</v>
      </c>
      <c r="B18" s="141" t="s">
        <v>160</v>
      </c>
      <c r="C18" s="134">
        <f>_xlfn.IFERROR(VLOOKUP(A18,'งบทดลอง รพ.'!$A$2:$C$602,3,0),0)</f>
        <v>0</v>
      </c>
      <c r="D18" s="25"/>
      <c r="E18" s="85" t="s">
        <v>1338</v>
      </c>
      <c r="F18" s="85" t="s">
        <v>16</v>
      </c>
      <c r="G18" s="81" t="s">
        <v>1409</v>
      </c>
      <c r="H18" s="81"/>
    </row>
    <row r="19" spans="1:8" ht="27.75">
      <c r="A19" s="141" t="s">
        <v>117</v>
      </c>
      <c r="B19" s="141" t="s">
        <v>118</v>
      </c>
      <c r="C19" s="134">
        <f>_xlfn.IFERROR(VLOOKUP(A19,'งบทดลอง รพ.'!$A$2:$C$602,3,0),0)</f>
        <v>0</v>
      </c>
      <c r="D19" s="25"/>
      <c r="E19" s="85" t="s">
        <v>1331</v>
      </c>
      <c r="F19" s="85" t="s">
        <v>12</v>
      </c>
      <c r="G19" s="81" t="s">
        <v>1409</v>
      </c>
      <c r="H19" s="81"/>
    </row>
    <row r="20" spans="1:8" ht="27.75">
      <c r="A20" s="141" t="s">
        <v>119</v>
      </c>
      <c r="B20" s="141" t="s">
        <v>120</v>
      </c>
      <c r="C20" s="134">
        <f>_xlfn.IFERROR(VLOOKUP(A20,'งบทดลอง รพ.'!$A$2:$C$602,3,0),0)</f>
        <v>0</v>
      </c>
      <c r="D20" s="25"/>
      <c r="E20" s="85" t="s">
        <v>1331</v>
      </c>
      <c r="F20" s="85" t="s">
        <v>12</v>
      </c>
      <c r="G20" s="81" t="s">
        <v>1409</v>
      </c>
      <c r="H20" s="81"/>
    </row>
    <row r="21" spans="1:8" ht="27.75">
      <c r="A21" s="141" t="s">
        <v>835</v>
      </c>
      <c r="B21" s="141" t="s">
        <v>122</v>
      </c>
      <c r="C21" s="134">
        <f>_xlfn.IFERROR(VLOOKUP(A21,'งบทดลอง รพ.'!$A$2:$C$602,3,0),0)</f>
        <v>0</v>
      </c>
      <c r="D21" s="25"/>
      <c r="E21" s="85" t="s">
        <v>1331</v>
      </c>
      <c r="F21" s="85" t="s">
        <v>12</v>
      </c>
      <c r="G21" s="81" t="s">
        <v>1409</v>
      </c>
      <c r="H21" s="81"/>
    </row>
    <row r="22" spans="1:8" ht="27.75">
      <c r="A22" s="141" t="s">
        <v>836</v>
      </c>
      <c r="B22" s="141" t="s">
        <v>123</v>
      </c>
      <c r="C22" s="134">
        <f>_xlfn.IFERROR(VLOOKUP(A22,'งบทดลอง รพ.'!$A$2:$C$602,3,0),0)</f>
        <v>0</v>
      </c>
      <c r="D22" s="25"/>
      <c r="E22" s="85" t="s">
        <v>1331</v>
      </c>
      <c r="F22" s="85" t="s">
        <v>12</v>
      </c>
      <c r="G22" s="81" t="s">
        <v>1409</v>
      </c>
      <c r="H22" s="81"/>
    </row>
    <row r="23" spans="1:8" ht="27.75">
      <c r="A23" s="141" t="s">
        <v>837</v>
      </c>
      <c r="B23" s="141" t="s">
        <v>838</v>
      </c>
      <c r="C23" s="134">
        <f>_xlfn.IFERROR(VLOOKUP(A23,'งบทดลอง รพ.'!$A$2:$C$602,3,0),0)</f>
        <v>0</v>
      </c>
      <c r="D23" s="25"/>
      <c r="E23" s="85" t="s">
        <v>1331</v>
      </c>
      <c r="F23" s="85" t="s">
        <v>12</v>
      </c>
      <c r="G23" s="81" t="s">
        <v>1409</v>
      </c>
      <c r="H23" s="81"/>
    </row>
    <row r="24" spans="1:8" ht="27.75">
      <c r="A24" s="138" t="s">
        <v>1011</v>
      </c>
      <c r="B24" s="138" t="s">
        <v>121</v>
      </c>
      <c r="C24" s="134">
        <f>_xlfn.IFERROR(VLOOKUP(A24,'งบทดลอง รพ.'!$A$2:$C$602,3,0),0)</f>
        <v>0</v>
      </c>
      <c r="D24" s="25"/>
      <c r="E24" s="85" t="s">
        <v>1331</v>
      </c>
      <c r="F24" s="85" t="s">
        <v>12</v>
      </c>
      <c r="G24" s="81" t="s">
        <v>1407</v>
      </c>
      <c r="H24" s="81"/>
    </row>
    <row r="25" spans="1:8" ht="27.75">
      <c r="A25" s="138" t="s">
        <v>1012</v>
      </c>
      <c r="B25" s="138" t="s">
        <v>84</v>
      </c>
      <c r="C25" s="134">
        <f>_xlfn.IFERROR(VLOOKUP(A25,'งบทดลอง รพ.'!$A$2:$C$602,3,0),0)</f>
        <v>0</v>
      </c>
      <c r="D25" s="25"/>
      <c r="E25" s="85" t="s">
        <v>1310</v>
      </c>
      <c r="F25" s="85" t="s">
        <v>6</v>
      </c>
      <c r="G25" s="81" t="s">
        <v>1407</v>
      </c>
      <c r="H25" s="81"/>
    </row>
    <row r="26" spans="1:8" ht="27.75">
      <c r="A26" s="138" t="s">
        <v>1013</v>
      </c>
      <c r="B26" s="138" t="s">
        <v>122</v>
      </c>
      <c r="C26" s="134">
        <f>_xlfn.IFERROR(VLOOKUP(A26,'งบทดลอง รพ.'!$A$2:$C$602,3,0),0)</f>
        <v>0</v>
      </c>
      <c r="D26" s="25"/>
      <c r="E26" s="85" t="s">
        <v>1331</v>
      </c>
      <c r="F26" s="85" t="s">
        <v>12</v>
      </c>
      <c r="G26" s="81" t="s">
        <v>1407</v>
      </c>
      <c r="H26" s="81"/>
    </row>
    <row r="27" spans="1:8" ht="27.75">
      <c r="A27" s="138" t="s">
        <v>1014</v>
      </c>
      <c r="B27" s="138" t="s">
        <v>123</v>
      </c>
      <c r="C27" s="134">
        <f>_xlfn.IFERROR(VLOOKUP(A27,'งบทดลอง รพ.'!$A$2:$C$602,3,0),0)</f>
        <v>0</v>
      </c>
      <c r="D27" s="25"/>
      <c r="E27" s="85" t="s">
        <v>1331</v>
      </c>
      <c r="F27" s="85" t="s">
        <v>12</v>
      </c>
      <c r="G27" s="81" t="s">
        <v>1407</v>
      </c>
      <c r="H27" s="81"/>
    </row>
    <row r="28" spans="1:8" ht="27.75">
      <c r="A28" s="141" t="s">
        <v>124</v>
      </c>
      <c r="B28" s="141" t="s">
        <v>125</v>
      </c>
      <c r="C28" s="134">
        <f>_xlfn.IFERROR(VLOOKUP(A28,'งบทดลอง รพ.'!$A$2:$C$602,3,0),0)</f>
        <v>0</v>
      </c>
      <c r="D28" s="25"/>
      <c r="E28" s="85" t="s">
        <v>1331</v>
      </c>
      <c r="F28" s="85" t="s">
        <v>12</v>
      </c>
      <c r="G28" s="81" t="s">
        <v>1409</v>
      </c>
      <c r="H28" s="81"/>
    </row>
    <row r="29" spans="1:8" ht="27.75">
      <c r="A29" s="141" t="s">
        <v>126</v>
      </c>
      <c r="B29" s="141" t="s">
        <v>127</v>
      </c>
      <c r="C29" s="134">
        <f>_xlfn.IFERROR(VLOOKUP(A29,'งบทดลอง รพ.'!$A$2:$C$602,3,0),0)</f>
        <v>0</v>
      </c>
      <c r="D29" s="25"/>
      <c r="E29" s="85" t="s">
        <v>1331</v>
      </c>
      <c r="F29" s="85" t="s">
        <v>12</v>
      </c>
      <c r="G29" s="81" t="s">
        <v>1409</v>
      </c>
      <c r="H29" s="81"/>
    </row>
    <row r="30" spans="1:8" ht="27.75">
      <c r="A30" s="141" t="s">
        <v>839</v>
      </c>
      <c r="B30" s="141" t="s">
        <v>121</v>
      </c>
      <c r="C30" s="134">
        <f>_xlfn.IFERROR(VLOOKUP(A30,'งบทดลอง รพ.'!$A$2:$C$602,3,0),0)</f>
        <v>104625</v>
      </c>
      <c r="D30" s="25"/>
      <c r="E30" s="85" t="s">
        <v>1331</v>
      </c>
      <c r="F30" s="85" t="s">
        <v>12</v>
      </c>
      <c r="G30" s="81" t="s">
        <v>1409</v>
      </c>
      <c r="H30" s="81"/>
    </row>
    <row r="31" spans="1:8" ht="27.75">
      <c r="A31" s="141" t="s">
        <v>840</v>
      </c>
      <c r="B31" s="141" t="s">
        <v>84</v>
      </c>
      <c r="C31" s="134">
        <f>_xlfn.IFERROR(VLOOKUP(A31,'งบทดลอง รพ.'!$A$2:$C$602,3,0),0)</f>
        <v>0</v>
      </c>
      <c r="D31" s="25"/>
      <c r="E31" s="85" t="s">
        <v>1310</v>
      </c>
      <c r="F31" s="85" t="s">
        <v>6</v>
      </c>
      <c r="G31" s="81" t="s">
        <v>1409</v>
      </c>
      <c r="H31" s="81"/>
    </row>
    <row r="32" spans="1:8" ht="27.75">
      <c r="A32" s="141" t="s">
        <v>841</v>
      </c>
      <c r="B32" s="141" t="s">
        <v>842</v>
      </c>
      <c r="C32" s="134">
        <f>_xlfn.IFERROR(VLOOKUP(A32,'งบทดลอง รพ.'!$A$2:$C$602,3,0),0)</f>
        <v>218000</v>
      </c>
      <c r="D32" s="25"/>
      <c r="E32" s="85" t="s">
        <v>1299</v>
      </c>
      <c r="F32" s="85" t="s">
        <v>2</v>
      </c>
      <c r="G32" s="81" t="s">
        <v>1409</v>
      </c>
      <c r="H32" s="81"/>
    </row>
    <row r="33" spans="1:8" ht="27.75">
      <c r="A33" s="141" t="s">
        <v>843</v>
      </c>
      <c r="B33" s="141" t="s">
        <v>844</v>
      </c>
      <c r="C33" s="134">
        <f>_xlfn.IFERROR(VLOOKUP(A33,'งบทดลอง รพ.'!$A$2:$C$602,3,0),0)</f>
        <v>0</v>
      </c>
      <c r="D33" s="25"/>
      <c r="E33" s="85" t="s">
        <v>1331</v>
      </c>
      <c r="F33" s="85" t="s">
        <v>12</v>
      </c>
      <c r="G33" s="81" t="s">
        <v>1409</v>
      </c>
      <c r="H33" s="81"/>
    </row>
    <row r="34" spans="1:8" ht="27.75">
      <c r="A34" s="138" t="s">
        <v>1015</v>
      </c>
      <c r="B34" s="138" t="s">
        <v>1016</v>
      </c>
      <c r="C34" s="134">
        <f>_xlfn.IFERROR(VLOOKUP(A34,'งบทดลอง รพ.'!$A$2:$C$602,3,0),0)</f>
        <v>0</v>
      </c>
      <c r="D34" s="25"/>
      <c r="E34" s="85" t="s">
        <v>1331</v>
      </c>
      <c r="F34" s="85" t="s">
        <v>12</v>
      </c>
      <c r="G34" s="81" t="s">
        <v>1407</v>
      </c>
      <c r="H34" s="81"/>
    </row>
    <row r="35" spans="1:8" ht="27.75">
      <c r="A35" s="141" t="s">
        <v>76</v>
      </c>
      <c r="B35" s="141" t="s">
        <v>1412</v>
      </c>
      <c r="C35" s="134">
        <f>_xlfn.IFERROR(VLOOKUP(A35,'งบทดลอง รพ.'!$A$2:$C$602,3,0),0)</f>
        <v>0</v>
      </c>
      <c r="D35" s="25"/>
      <c r="E35" s="85" t="s">
        <v>1300</v>
      </c>
      <c r="F35" s="85" t="s">
        <v>4</v>
      </c>
      <c r="G35" s="81" t="s">
        <v>1409</v>
      </c>
      <c r="H35" s="81"/>
    </row>
    <row r="36" spans="1:8" ht="27.75">
      <c r="A36" s="141" t="s">
        <v>77</v>
      </c>
      <c r="B36" s="141" t="s">
        <v>1413</v>
      </c>
      <c r="C36" s="134">
        <f>_xlfn.IFERROR(VLOOKUP(A36,'งบทดลอง รพ.'!$A$2:$C$602,3,0),0)</f>
        <v>713804</v>
      </c>
      <c r="D36" s="25"/>
      <c r="E36" s="85" t="s">
        <v>1302</v>
      </c>
      <c r="F36" s="85" t="s">
        <v>4</v>
      </c>
      <c r="G36" s="81" t="s">
        <v>1409</v>
      </c>
      <c r="H36" s="81"/>
    </row>
    <row r="37" spans="1:8" ht="27.75">
      <c r="A37" s="141" t="s">
        <v>128</v>
      </c>
      <c r="B37" s="141" t="s">
        <v>1414</v>
      </c>
      <c r="C37" s="134">
        <f>_xlfn.IFERROR(VLOOKUP(A37,'งบทดลอง รพ.'!$A$2:$C$602,3,0),0)</f>
        <v>14894257.2</v>
      </c>
      <c r="D37" s="25"/>
      <c r="E37" s="85" t="s">
        <v>1333</v>
      </c>
      <c r="F37" s="85" t="s">
        <v>12</v>
      </c>
      <c r="G37" s="81" t="s">
        <v>1409</v>
      </c>
      <c r="H37" s="81"/>
    </row>
    <row r="38" spans="1:8" ht="27.75">
      <c r="A38" s="141" t="s">
        <v>129</v>
      </c>
      <c r="B38" s="141" t="s">
        <v>1415</v>
      </c>
      <c r="C38" s="134">
        <f>_xlfn.IFERROR(VLOOKUP(A38,'งบทดลอง รพ.'!$A$2:$C$602,3,0),0)</f>
        <v>18515704</v>
      </c>
      <c r="D38" s="25"/>
      <c r="E38" s="85" t="s">
        <v>1335</v>
      </c>
      <c r="F38" s="85" t="s">
        <v>12</v>
      </c>
      <c r="G38" s="81" t="s">
        <v>1409</v>
      </c>
      <c r="H38" s="81"/>
    </row>
    <row r="39" spans="1:8" ht="27.75">
      <c r="A39" s="141" t="s">
        <v>85</v>
      </c>
      <c r="B39" s="141" t="s">
        <v>1416</v>
      </c>
      <c r="C39" s="134">
        <f>_xlfn.IFERROR(VLOOKUP(A39,'งบทดลอง รพ.'!$A$2:$C$602,3,0),0)</f>
        <v>19240130.28</v>
      </c>
      <c r="D39" s="25"/>
      <c r="E39" s="85" t="s">
        <v>1312</v>
      </c>
      <c r="F39" s="85" t="s">
        <v>6</v>
      </c>
      <c r="G39" s="81" t="s">
        <v>1409</v>
      </c>
      <c r="H39" s="81"/>
    </row>
    <row r="40" spans="1:8" ht="27.75">
      <c r="A40" s="141" t="s">
        <v>86</v>
      </c>
      <c r="B40" s="141" t="s">
        <v>1417</v>
      </c>
      <c r="C40" s="134">
        <f>_xlfn.IFERROR(VLOOKUP(A40,'งบทดลอง รพ.'!$A$2:$C$602,3,0),0)</f>
        <v>11554968.17</v>
      </c>
      <c r="D40" s="25"/>
      <c r="E40" s="85" t="s">
        <v>1314</v>
      </c>
      <c r="F40" s="85" t="s">
        <v>6</v>
      </c>
      <c r="G40" s="81" t="s">
        <v>1409</v>
      </c>
      <c r="H40" s="81"/>
    </row>
    <row r="41" spans="1:8" ht="27.75">
      <c r="A41" s="141" t="s">
        <v>87</v>
      </c>
      <c r="B41" s="141" t="s">
        <v>88</v>
      </c>
      <c r="C41" s="134">
        <f>_xlfn.IFERROR(VLOOKUP(A41,'งบทดลอง รพ.'!$A$2:$C$602,3,0),0)</f>
        <v>0</v>
      </c>
      <c r="D41" s="25"/>
      <c r="E41" s="85" t="s">
        <v>1316</v>
      </c>
      <c r="F41" s="85" t="s">
        <v>6</v>
      </c>
      <c r="G41" s="81" t="s">
        <v>1409</v>
      </c>
      <c r="H41" s="81"/>
    </row>
    <row r="42" spans="1:8" ht="27.75">
      <c r="A42" s="141" t="s">
        <v>89</v>
      </c>
      <c r="B42" s="141" t="s">
        <v>90</v>
      </c>
      <c r="C42" s="134">
        <f>_xlfn.IFERROR(VLOOKUP(A42,'งบทดลอง รพ.'!$A$2:$C$602,3,0),0)</f>
        <v>0</v>
      </c>
      <c r="D42" s="25"/>
      <c r="E42" s="85" t="s">
        <v>1316</v>
      </c>
      <c r="F42" s="85" t="s">
        <v>6</v>
      </c>
      <c r="G42" s="81" t="s">
        <v>1409</v>
      </c>
      <c r="H42" s="81"/>
    </row>
    <row r="43" spans="1:8" ht="27.75">
      <c r="A43" s="141" t="s">
        <v>130</v>
      </c>
      <c r="B43" s="141" t="s">
        <v>1418</v>
      </c>
      <c r="C43" s="134">
        <f>_xlfn.IFERROR(VLOOKUP(A43,'งบทดลอง รพ.'!$A$2:$C$602,3,0),0)</f>
        <v>116977.2</v>
      </c>
      <c r="D43" s="25"/>
      <c r="E43" s="85" t="s">
        <v>1333</v>
      </c>
      <c r="F43" s="85" t="s">
        <v>12</v>
      </c>
      <c r="G43" s="81" t="s">
        <v>1409</v>
      </c>
      <c r="H43" s="81"/>
    </row>
    <row r="44" spans="1:8" ht="27.75">
      <c r="A44" s="141" t="s">
        <v>131</v>
      </c>
      <c r="B44" s="141" t="s">
        <v>1419</v>
      </c>
      <c r="C44" s="134">
        <f>_xlfn.IFERROR(VLOOKUP(A44,'งบทดลอง รพ.'!$A$2:$C$602,3,0),0)</f>
        <v>2572920</v>
      </c>
      <c r="D44" s="25"/>
      <c r="E44" s="85" t="s">
        <v>1335</v>
      </c>
      <c r="F44" s="85" t="s">
        <v>12</v>
      </c>
      <c r="G44" s="81" t="s">
        <v>1409</v>
      </c>
      <c r="H44" s="81"/>
    </row>
    <row r="45" spans="1:8" ht="27.75">
      <c r="A45" s="142" t="s">
        <v>78</v>
      </c>
      <c r="B45" s="142" t="s">
        <v>1420</v>
      </c>
      <c r="C45" s="134">
        <f>_xlfn.IFERROR(VLOOKUP(A45,'งบทดลอง รพ.'!$A$2:$C$602,3,0),0)</f>
        <v>2286697.62</v>
      </c>
      <c r="D45" s="25"/>
      <c r="E45" s="85" t="s">
        <v>1305</v>
      </c>
      <c r="F45" s="85" t="s">
        <v>1304</v>
      </c>
      <c r="G45" s="81" t="s">
        <v>1409</v>
      </c>
      <c r="H45" s="81"/>
    </row>
    <row r="46" spans="1:8" ht="27.75">
      <c r="A46" s="142" t="s">
        <v>79</v>
      </c>
      <c r="B46" s="142" t="s">
        <v>1421</v>
      </c>
      <c r="C46" s="134">
        <f>_xlfn.IFERROR(VLOOKUP(A46,'งบทดลอง รพ.'!$A$2:$C$602,3,0),0)</f>
        <v>1581029.86</v>
      </c>
      <c r="D46" s="25"/>
      <c r="E46" s="85" t="s">
        <v>1307</v>
      </c>
      <c r="F46" s="85" t="s">
        <v>1304</v>
      </c>
      <c r="G46" s="81" t="s">
        <v>1409</v>
      </c>
      <c r="H46" s="81"/>
    </row>
    <row r="47" spans="1:8" ht="27.75">
      <c r="A47" s="142" t="s">
        <v>80</v>
      </c>
      <c r="B47" s="142" t="s">
        <v>81</v>
      </c>
      <c r="C47" s="134">
        <f>_xlfn.IFERROR(VLOOKUP(A47,'งบทดลอง รพ.'!$A$2:$C$602,3,0),0)</f>
        <v>0</v>
      </c>
      <c r="D47" s="25"/>
      <c r="E47" s="85" t="s">
        <v>1309</v>
      </c>
      <c r="F47" s="85" t="s">
        <v>1304</v>
      </c>
      <c r="G47" s="81" t="s">
        <v>1409</v>
      </c>
      <c r="H47" s="81"/>
    </row>
    <row r="48" spans="1:8" ht="27.75">
      <c r="A48" s="142" t="s">
        <v>82</v>
      </c>
      <c r="B48" s="142" t="s">
        <v>83</v>
      </c>
      <c r="C48" s="134">
        <f>_xlfn.IFERROR(VLOOKUP(A48,'งบทดลอง รพ.'!$A$2:$C$602,3,0),0)</f>
        <v>0</v>
      </c>
      <c r="D48" s="25"/>
      <c r="E48" s="85" t="s">
        <v>1309</v>
      </c>
      <c r="F48" s="85" t="s">
        <v>1304</v>
      </c>
      <c r="G48" s="81" t="s">
        <v>1409</v>
      </c>
      <c r="H48" s="81"/>
    </row>
    <row r="49" spans="1:8" ht="27.75">
      <c r="A49" s="142" t="s">
        <v>845</v>
      </c>
      <c r="B49" s="142" t="s">
        <v>846</v>
      </c>
      <c r="C49" s="134">
        <f>_xlfn.IFERROR(VLOOKUP(A49,'งบทดลอง รพ.'!$A$2:$C$602,3,0),0)</f>
        <v>39350</v>
      </c>
      <c r="D49" s="25"/>
      <c r="E49" s="85" t="s">
        <v>1309</v>
      </c>
      <c r="F49" s="85" t="s">
        <v>1304</v>
      </c>
      <c r="G49" s="81" t="s">
        <v>1409</v>
      </c>
      <c r="H49" s="81"/>
    </row>
    <row r="50" spans="1:8" ht="27.75">
      <c r="A50" s="142" t="s">
        <v>847</v>
      </c>
      <c r="B50" s="142" t="s">
        <v>848</v>
      </c>
      <c r="C50" s="134">
        <f>_xlfn.IFERROR(VLOOKUP(A50,'งบทดลอง รพ.'!$A$2:$C$602,3,0),0)</f>
        <v>22190.34</v>
      </c>
      <c r="D50" s="25"/>
      <c r="E50" s="85" t="s">
        <v>1307</v>
      </c>
      <c r="F50" s="85" t="s">
        <v>1304</v>
      </c>
      <c r="G50" s="81" t="s">
        <v>1409</v>
      </c>
      <c r="H50" s="81"/>
    </row>
    <row r="51" spans="1:8" ht="27.75">
      <c r="A51" s="142" t="s">
        <v>849</v>
      </c>
      <c r="B51" s="142" t="s">
        <v>850</v>
      </c>
      <c r="C51" s="134">
        <f>_xlfn.IFERROR(VLOOKUP(A51,'งบทดลอง รพ.'!$A$2:$C$602,3,0),0)</f>
        <v>0</v>
      </c>
      <c r="D51" s="25"/>
      <c r="E51" s="85" t="s">
        <v>1309</v>
      </c>
      <c r="F51" s="85" t="s">
        <v>1304</v>
      </c>
      <c r="G51" s="81" t="s">
        <v>1409</v>
      </c>
      <c r="H51" s="81"/>
    </row>
    <row r="52" spans="1:8" ht="27.75">
      <c r="A52" s="142" t="s">
        <v>851</v>
      </c>
      <c r="B52" s="142" t="s">
        <v>852</v>
      </c>
      <c r="C52" s="134">
        <f>_xlfn.IFERROR(VLOOKUP(A52,'งบทดลอง รพ.'!$A$2:$C$602,3,0),0)</f>
        <v>0</v>
      </c>
      <c r="D52" s="25"/>
      <c r="E52" s="85" t="s">
        <v>1309</v>
      </c>
      <c r="F52" s="85" t="s">
        <v>1304</v>
      </c>
      <c r="G52" s="81" t="s">
        <v>1409</v>
      </c>
      <c r="H52" s="81"/>
    </row>
    <row r="53" spans="1:8" ht="27.75">
      <c r="A53" s="142" t="s">
        <v>853</v>
      </c>
      <c r="B53" s="142" t="s">
        <v>854</v>
      </c>
      <c r="C53" s="134">
        <f>_xlfn.IFERROR(VLOOKUP(A53,'งบทดลอง รพ.'!$A$2:$C$602,3,0),0)</f>
        <v>0</v>
      </c>
      <c r="D53" s="25"/>
      <c r="E53" s="85" t="s">
        <v>1309</v>
      </c>
      <c r="F53" s="85" t="s">
        <v>1304</v>
      </c>
      <c r="G53" s="81" t="s">
        <v>1409</v>
      </c>
      <c r="H53" s="81"/>
    </row>
    <row r="54" spans="1:8" ht="27.75">
      <c r="A54" s="142" t="s">
        <v>855</v>
      </c>
      <c r="B54" s="142" t="s">
        <v>856</v>
      </c>
      <c r="C54" s="134">
        <f>_xlfn.IFERROR(VLOOKUP(A54,'งบทดลอง รพ.'!$A$2:$C$602,3,0),0)</f>
        <v>0</v>
      </c>
      <c r="D54" s="25"/>
      <c r="E54" s="85" t="s">
        <v>1307</v>
      </c>
      <c r="F54" s="85" t="s">
        <v>1304</v>
      </c>
      <c r="G54" s="81" t="s">
        <v>1409</v>
      </c>
      <c r="H54" s="81"/>
    </row>
    <row r="55" spans="1:8" ht="27.75">
      <c r="A55" s="142" t="s">
        <v>857</v>
      </c>
      <c r="B55" s="142" t="s">
        <v>858</v>
      </c>
      <c r="C55" s="134">
        <f>_xlfn.IFERROR(VLOOKUP(A55,'งบทดลอง รพ.'!$A$2:$C$602,3,0),0)</f>
        <v>0</v>
      </c>
      <c r="D55" s="25"/>
      <c r="E55" s="85" t="s">
        <v>1309</v>
      </c>
      <c r="F55" s="85" t="s">
        <v>1304</v>
      </c>
      <c r="G55" s="81" t="s">
        <v>1409</v>
      </c>
      <c r="H55" s="81"/>
    </row>
    <row r="56" spans="1:8" ht="27.75">
      <c r="A56" s="142" t="s">
        <v>859</v>
      </c>
      <c r="B56" s="142" t="s">
        <v>860</v>
      </c>
      <c r="C56" s="134">
        <f>_xlfn.IFERROR(VLOOKUP(A56,'งบทดลอง รพ.'!$A$2:$C$602,3,0),0)</f>
        <v>0</v>
      </c>
      <c r="D56" s="25"/>
      <c r="E56" s="85" t="s">
        <v>1309</v>
      </c>
      <c r="F56" s="85" t="s">
        <v>1304</v>
      </c>
      <c r="G56" s="81" t="s">
        <v>1409</v>
      </c>
      <c r="H56" s="81"/>
    </row>
    <row r="57" spans="1:8" ht="27.75">
      <c r="A57" s="141" t="s">
        <v>45</v>
      </c>
      <c r="B57" s="141" t="s">
        <v>1422</v>
      </c>
      <c r="C57" s="134">
        <f>_xlfn.IFERROR(VLOOKUP(A57,'งบทดลอง รพ.'!$A$2:$C$602,3,0),0)</f>
        <v>39455436.82000001</v>
      </c>
      <c r="D57" s="25"/>
      <c r="E57" s="85" t="s">
        <v>1292</v>
      </c>
      <c r="F57" s="85" t="s">
        <v>0</v>
      </c>
      <c r="G57" s="81" t="s">
        <v>1409</v>
      </c>
      <c r="H57" s="81"/>
    </row>
    <row r="58" spans="1:8" ht="27.75">
      <c r="A58" s="141" t="s">
        <v>46</v>
      </c>
      <c r="B58" s="141" t="s">
        <v>1423</v>
      </c>
      <c r="C58" s="134">
        <f>_xlfn.IFERROR(VLOOKUP(A58,'งบทดลอง รพ.'!$A$2:$C$602,3,0),0)</f>
        <v>73016847.88</v>
      </c>
      <c r="D58" s="25"/>
      <c r="E58" s="85" t="s">
        <v>1294</v>
      </c>
      <c r="F58" s="85" t="s">
        <v>0</v>
      </c>
      <c r="G58" s="81" t="s">
        <v>1409</v>
      </c>
      <c r="H58" s="81"/>
    </row>
    <row r="59" spans="1:8" ht="27.75">
      <c r="A59" s="141" t="s">
        <v>47</v>
      </c>
      <c r="B59" s="141" t="s">
        <v>1424</v>
      </c>
      <c r="C59" s="134">
        <f>_xlfn.IFERROR(VLOOKUP(A59,'งบทดลอง รพ.'!$A$2:$C$602,3,0),0)</f>
        <v>8697238.45581032</v>
      </c>
      <c r="D59" s="25"/>
      <c r="E59" s="85" t="s">
        <v>1292</v>
      </c>
      <c r="F59" s="85" t="s">
        <v>0</v>
      </c>
      <c r="G59" s="81" t="s">
        <v>1409</v>
      </c>
      <c r="H59" s="81"/>
    </row>
    <row r="60" spans="1:8" ht="27.75">
      <c r="A60" s="138" t="s">
        <v>1017</v>
      </c>
      <c r="B60" s="138" t="s">
        <v>1018</v>
      </c>
      <c r="C60" s="134">
        <f>_xlfn.IFERROR(VLOOKUP(A60,'งบทดลอง รพ.'!$A$2:$C$602,3,0),0)</f>
        <v>0</v>
      </c>
      <c r="D60" s="25"/>
      <c r="E60" s="85" t="s">
        <v>1294</v>
      </c>
      <c r="F60" s="85" t="s">
        <v>0</v>
      </c>
      <c r="G60" s="81" t="s">
        <v>1407</v>
      </c>
      <c r="H60" s="81"/>
    </row>
    <row r="61" spans="1:8" ht="27.75">
      <c r="A61" s="141" t="s">
        <v>48</v>
      </c>
      <c r="B61" s="141" t="s">
        <v>1425</v>
      </c>
      <c r="C61" s="134">
        <f>_xlfn.IFERROR(VLOOKUP(A61,'งบทดลอง รพ.'!$A$2:$C$602,3,0),0)</f>
        <v>1057320</v>
      </c>
      <c r="D61" s="25"/>
      <c r="E61" s="85" t="s">
        <v>1292</v>
      </c>
      <c r="F61" s="85" t="s">
        <v>0</v>
      </c>
      <c r="G61" s="81" t="s">
        <v>1409</v>
      </c>
      <c r="H61" s="81"/>
    </row>
    <row r="62" spans="1:8" ht="27.75">
      <c r="A62" s="138" t="s">
        <v>1019</v>
      </c>
      <c r="B62" s="138" t="s">
        <v>1020</v>
      </c>
      <c r="C62" s="134">
        <f>_xlfn.IFERROR(VLOOKUP(A62,'งบทดลอง รพ.'!$A$2:$C$602,3,0),0)</f>
        <v>0</v>
      </c>
      <c r="D62" s="25"/>
      <c r="E62" s="85" t="s">
        <v>1294</v>
      </c>
      <c r="F62" s="85" t="s">
        <v>0</v>
      </c>
      <c r="G62" s="81" t="s">
        <v>1407</v>
      </c>
      <c r="H62" s="81"/>
    </row>
    <row r="63" spans="1:8" ht="27.75">
      <c r="A63" s="141" t="s">
        <v>49</v>
      </c>
      <c r="B63" s="141" t="s">
        <v>1426</v>
      </c>
      <c r="C63" s="134">
        <f>_xlfn.IFERROR(VLOOKUP(A63,'งบทดลอง รพ.'!$A$2:$C$602,3,0),0)</f>
        <v>100000</v>
      </c>
      <c r="D63" s="25"/>
      <c r="E63" s="85" t="s">
        <v>1292</v>
      </c>
      <c r="F63" s="85" t="s">
        <v>0</v>
      </c>
      <c r="G63" s="81" t="s">
        <v>1409</v>
      </c>
      <c r="H63" s="81"/>
    </row>
    <row r="64" spans="1:8" ht="27.75">
      <c r="A64" s="138" t="s">
        <v>1021</v>
      </c>
      <c r="B64" s="138" t="s">
        <v>1022</v>
      </c>
      <c r="C64" s="134">
        <f>_xlfn.IFERROR(VLOOKUP(A64,'งบทดลอง รพ.'!$A$2:$C$602,3,0),0)</f>
        <v>0</v>
      </c>
      <c r="D64" s="25"/>
      <c r="E64" s="85" t="s">
        <v>1294</v>
      </c>
      <c r="F64" s="85" t="s">
        <v>0</v>
      </c>
      <c r="G64" s="81" t="s">
        <v>1407</v>
      </c>
      <c r="H64" s="81"/>
    </row>
    <row r="65" spans="1:8" ht="27.75">
      <c r="A65" s="142" t="s">
        <v>215</v>
      </c>
      <c r="B65" s="142" t="s">
        <v>216</v>
      </c>
      <c r="C65" s="134">
        <f>_xlfn.IFERROR(VLOOKUP(A65,'งบทดลอง รพ.'!$A$2:$C$602,3,0),0)</f>
        <v>110073400</v>
      </c>
      <c r="D65" s="25"/>
      <c r="E65" s="85" t="s">
        <v>1341</v>
      </c>
      <c r="F65" s="85" t="s">
        <v>18</v>
      </c>
      <c r="G65" s="81" t="s">
        <v>1409</v>
      </c>
      <c r="H65" s="81"/>
    </row>
    <row r="66" spans="1:8" ht="27.75">
      <c r="A66" s="141" t="s">
        <v>50</v>
      </c>
      <c r="B66" s="141" t="s">
        <v>1427</v>
      </c>
      <c r="C66" s="134">
        <f>_xlfn.IFERROR(VLOOKUP(A66,'งบทดลอง รพ.'!$A$2:$C$602,3,0),0)</f>
        <v>13518063.89</v>
      </c>
      <c r="D66" s="25"/>
      <c r="E66" s="85" t="s">
        <v>1296</v>
      </c>
      <c r="F66" s="85" t="s">
        <v>0</v>
      </c>
      <c r="G66" s="81" t="s">
        <v>1409</v>
      </c>
      <c r="H66" s="81"/>
    </row>
    <row r="67" spans="1:8" ht="27.75">
      <c r="A67" s="141" t="s">
        <v>51</v>
      </c>
      <c r="B67" s="141" t="s">
        <v>1428</v>
      </c>
      <c r="C67" s="134">
        <f>_xlfn.IFERROR(VLOOKUP(A67,'งบทดลอง รพ.'!$A$2:$C$602,3,0),0)</f>
        <v>225549.01</v>
      </c>
      <c r="D67" s="25"/>
      <c r="E67" s="85" t="s">
        <v>1297</v>
      </c>
      <c r="F67" s="85" t="s">
        <v>0</v>
      </c>
      <c r="G67" s="81" t="s">
        <v>1409</v>
      </c>
      <c r="H67" s="81"/>
    </row>
    <row r="68" spans="1:8" ht="27.75">
      <c r="A68" s="138" t="s">
        <v>1023</v>
      </c>
      <c r="B68" s="138" t="s">
        <v>1024</v>
      </c>
      <c r="C68" s="134">
        <f>_xlfn.IFERROR(VLOOKUP(A68,'งบทดลอง รพ.'!$A$2:$C$602,3,0),0)</f>
        <v>0</v>
      </c>
      <c r="D68" s="25"/>
      <c r="E68" s="85" t="s">
        <v>1296</v>
      </c>
      <c r="F68" s="85" t="s">
        <v>0</v>
      </c>
      <c r="G68" s="81" t="s">
        <v>1407</v>
      </c>
      <c r="H68" s="81"/>
    </row>
    <row r="69" spans="1:8" ht="27.75">
      <c r="A69" s="141" t="s">
        <v>52</v>
      </c>
      <c r="B69" s="141" t="s">
        <v>1429</v>
      </c>
      <c r="C69" s="134">
        <f>_xlfn.IFERROR(VLOOKUP(A69,'งบทดลอง รพ.'!$A$2:$C$602,3,0),0)</f>
        <v>4990838.52</v>
      </c>
      <c r="D69" s="25"/>
      <c r="E69" s="85" t="s">
        <v>1292</v>
      </c>
      <c r="F69" s="85" t="s">
        <v>0</v>
      </c>
      <c r="G69" s="81" t="s">
        <v>1409</v>
      </c>
      <c r="H69" s="81"/>
    </row>
    <row r="70" spans="1:8" ht="27.75">
      <c r="A70" s="138" t="s">
        <v>1025</v>
      </c>
      <c r="B70" s="138" t="s">
        <v>1026</v>
      </c>
      <c r="C70" s="134">
        <f>_xlfn.IFERROR(VLOOKUP(A70,'งบทดลอง รพ.'!$A$2:$C$602,3,0),0)</f>
        <v>0</v>
      </c>
      <c r="D70" s="25"/>
      <c r="E70" s="85" t="s">
        <v>1297</v>
      </c>
      <c r="F70" s="85" t="s">
        <v>0</v>
      </c>
      <c r="G70" s="81" t="s">
        <v>1407</v>
      </c>
      <c r="H70" s="81"/>
    </row>
    <row r="71" spans="1:8" ht="27.75">
      <c r="A71" s="138" t="s">
        <v>1027</v>
      </c>
      <c r="B71" s="138" t="s">
        <v>1028</v>
      </c>
      <c r="C71" s="134">
        <f>_xlfn.IFERROR(VLOOKUP(A71,'งบทดลอง รพ.'!$A$2:$C$602,3,0),0)</f>
        <v>0</v>
      </c>
      <c r="D71" s="25"/>
      <c r="E71" s="85" t="s">
        <v>1299</v>
      </c>
      <c r="F71" s="85" t="s">
        <v>2</v>
      </c>
      <c r="G71" s="81" t="s">
        <v>1407</v>
      </c>
      <c r="H71" s="81"/>
    </row>
    <row r="72" spans="1:8" ht="27.75">
      <c r="A72" s="141" t="s">
        <v>53</v>
      </c>
      <c r="B72" s="141" t="s">
        <v>54</v>
      </c>
      <c r="C72" s="134">
        <f>_xlfn.IFERROR(VLOOKUP(A72,'งบทดลอง รพ.'!$A$2:$C$602,3,0),0)</f>
        <v>1516043.7</v>
      </c>
      <c r="D72" s="25"/>
      <c r="E72" s="85" t="s">
        <v>1297</v>
      </c>
      <c r="F72" s="85" t="s">
        <v>0</v>
      </c>
      <c r="G72" s="81" t="s">
        <v>1409</v>
      </c>
      <c r="H72" s="81"/>
    </row>
    <row r="73" spans="1:8" ht="27.75">
      <c r="A73" s="141" t="s">
        <v>55</v>
      </c>
      <c r="B73" s="141" t="s">
        <v>1430</v>
      </c>
      <c r="C73" s="134">
        <f>_xlfn.IFERROR(VLOOKUP(A73,'งบทดลอง รพ.'!$A$2:$C$602,3,0),0)</f>
        <v>0</v>
      </c>
      <c r="D73" s="25"/>
      <c r="E73" s="85" t="s">
        <v>1297</v>
      </c>
      <c r="F73" s="85" t="s">
        <v>0</v>
      </c>
      <c r="G73" s="81" t="s">
        <v>1409</v>
      </c>
      <c r="H73" s="81"/>
    </row>
    <row r="74" spans="1:8" ht="27.75">
      <c r="A74" s="141" t="s">
        <v>56</v>
      </c>
      <c r="B74" s="141" t="s">
        <v>57</v>
      </c>
      <c r="C74" s="134">
        <f>_xlfn.IFERROR(VLOOKUP(A74,'งบทดลอง รพ.'!$A$2:$C$602,3,0),0)</f>
        <v>1229020.36</v>
      </c>
      <c r="D74" s="25"/>
      <c r="E74" s="85" t="s">
        <v>1297</v>
      </c>
      <c r="F74" s="85" t="s">
        <v>0</v>
      </c>
      <c r="G74" s="81" t="s">
        <v>1409</v>
      </c>
      <c r="H74" s="81"/>
    </row>
    <row r="75" spans="1:8" ht="27.75">
      <c r="A75" s="141" t="s">
        <v>58</v>
      </c>
      <c r="B75" s="141" t="s">
        <v>1431</v>
      </c>
      <c r="C75" s="134">
        <f>_xlfn.IFERROR(VLOOKUP(A75,'งบทดลอง รพ.'!$A$2:$C$602,3,0),0)</f>
        <v>0</v>
      </c>
      <c r="D75" s="25"/>
      <c r="E75" s="85" t="s">
        <v>1296</v>
      </c>
      <c r="F75" s="85" t="s">
        <v>0</v>
      </c>
      <c r="G75" s="81" t="s">
        <v>1409</v>
      </c>
      <c r="H75" s="81"/>
    </row>
    <row r="76" spans="1:8" ht="27.75">
      <c r="A76" s="141" t="s">
        <v>59</v>
      </c>
      <c r="B76" s="141" t="s">
        <v>1432</v>
      </c>
      <c r="C76" s="134">
        <f>_xlfn.IFERROR(VLOOKUP(A76,'งบทดลอง รพ.'!$A$2:$C$602,3,0),0)</f>
        <v>-13935811.47</v>
      </c>
      <c r="D76" s="25"/>
      <c r="E76" s="85" t="s">
        <v>1296</v>
      </c>
      <c r="F76" s="85" t="s">
        <v>0</v>
      </c>
      <c r="G76" s="81" t="s">
        <v>1409</v>
      </c>
      <c r="H76" s="81"/>
    </row>
    <row r="77" spans="1:8" ht="27.75">
      <c r="A77" s="141" t="s">
        <v>60</v>
      </c>
      <c r="B77" s="141" t="s">
        <v>1433</v>
      </c>
      <c r="C77" s="134">
        <f>_xlfn.IFERROR(VLOOKUP(A77,'งบทดลอง รพ.'!$A$2:$C$602,3,0),0)</f>
        <v>0</v>
      </c>
      <c r="D77" s="25"/>
      <c r="E77" s="85" t="s">
        <v>1296</v>
      </c>
      <c r="F77" s="85" t="s">
        <v>0</v>
      </c>
      <c r="G77" s="81" t="s">
        <v>1409</v>
      </c>
      <c r="H77" s="81"/>
    </row>
    <row r="78" spans="1:8" ht="27.75">
      <c r="A78" s="138" t="s">
        <v>1029</v>
      </c>
      <c r="B78" s="138" t="s">
        <v>1030</v>
      </c>
      <c r="C78" s="134">
        <f>_xlfn.IFERROR(VLOOKUP(A78,'งบทดลอง รพ.'!$A$2:$C$602,3,0),0)</f>
        <v>0</v>
      </c>
      <c r="D78" s="25"/>
      <c r="E78" s="85" t="s">
        <v>1296</v>
      </c>
      <c r="F78" s="85" t="s">
        <v>0</v>
      </c>
      <c r="G78" s="81" t="s">
        <v>1407</v>
      </c>
      <c r="H78" s="81"/>
    </row>
    <row r="79" spans="1:8" ht="27.75">
      <c r="A79" s="138" t="s">
        <v>1031</v>
      </c>
      <c r="B79" s="138" t="s">
        <v>1032</v>
      </c>
      <c r="C79" s="134">
        <f>_xlfn.IFERROR(VLOOKUP(A79,'งบทดลอง รพ.'!$A$2:$C$602,3,0),0)</f>
        <v>0</v>
      </c>
      <c r="D79" s="25"/>
      <c r="E79" s="85" t="s">
        <v>1296</v>
      </c>
      <c r="F79" s="85" t="s">
        <v>0</v>
      </c>
      <c r="G79" s="81" t="s">
        <v>1407</v>
      </c>
      <c r="H79" s="81"/>
    </row>
    <row r="80" spans="1:8" ht="27.75">
      <c r="A80" s="138" t="s">
        <v>1033</v>
      </c>
      <c r="B80" s="138" t="s">
        <v>1034</v>
      </c>
      <c r="C80" s="134">
        <f>_xlfn.IFERROR(VLOOKUP(A80,'งบทดลอง รพ.'!$A$2:$C$602,3,0),0)</f>
        <v>0</v>
      </c>
      <c r="D80" s="25"/>
      <c r="E80" s="85" t="s">
        <v>1296</v>
      </c>
      <c r="F80" s="85" t="s">
        <v>0</v>
      </c>
      <c r="G80" s="81" t="s">
        <v>1407</v>
      </c>
      <c r="H80" s="81"/>
    </row>
    <row r="81" spans="1:8" ht="27.75">
      <c r="A81" s="138" t="s">
        <v>1035</v>
      </c>
      <c r="B81" s="138" t="s">
        <v>1036</v>
      </c>
      <c r="C81" s="134">
        <f>_xlfn.IFERROR(VLOOKUP(A81,'งบทดลอง รพ.'!$A$2:$C$602,3,0),0)</f>
        <v>0</v>
      </c>
      <c r="D81" s="25"/>
      <c r="E81" s="85" t="s">
        <v>1296</v>
      </c>
      <c r="F81" s="85" t="s">
        <v>0</v>
      </c>
      <c r="G81" s="81" t="s">
        <v>1407</v>
      </c>
      <c r="H81" s="81"/>
    </row>
    <row r="82" spans="1:8" ht="27.75">
      <c r="A82" s="138" t="s">
        <v>1037</v>
      </c>
      <c r="B82" s="138" t="s">
        <v>1038</v>
      </c>
      <c r="C82" s="134">
        <f>_xlfn.IFERROR(VLOOKUP(A82,'งบทดลอง รพ.'!$A$2:$C$602,3,0),0)</f>
        <v>0</v>
      </c>
      <c r="D82" s="25"/>
      <c r="E82" s="85" t="s">
        <v>1296</v>
      </c>
      <c r="F82" s="85" t="s">
        <v>0</v>
      </c>
      <c r="G82" s="81" t="s">
        <v>1407</v>
      </c>
      <c r="H82" s="81"/>
    </row>
    <row r="83" spans="1:8" ht="27.75">
      <c r="A83" s="138" t="s">
        <v>1039</v>
      </c>
      <c r="B83" s="138" t="s">
        <v>1040</v>
      </c>
      <c r="C83" s="134">
        <f>_xlfn.IFERROR(VLOOKUP(A83,'งบทดลอง รพ.'!$A$2:$C$602,3,0),0)</f>
        <v>0</v>
      </c>
      <c r="D83" s="25"/>
      <c r="E83" s="85" t="s">
        <v>1296</v>
      </c>
      <c r="F83" s="85" t="s">
        <v>0</v>
      </c>
      <c r="G83" s="81" t="s">
        <v>1407</v>
      </c>
      <c r="H83" s="81"/>
    </row>
    <row r="84" spans="1:8" ht="27.75">
      <c r="A84" s="141" t="s">
        <v>61</v>
      </c>
      <c r="B84" s="141" t="s">
        <v>1434</v>
      </c>
      <c r="C84" s="134">
        <f>_xlfn.IFERROR(VLOOKUP(A84,'งบทดลอง รพ.'!$A$2:$C$602,3,0),0)</f>
        <v>-1845344.7</v>
      </c>
      <c r="D84" s="25"/>
      <c r="E84" s="85" t="s">
        <v>1296</v>
      </c>
      <c r="F84" s="85" t="s">
        <v>0</v>
      </c>
      <c r="G84" s="81" t="s">
        <v>1409</v>
      </c>
      <c r="H84" s="81"/>
    </row>
    <row r="85" spans="1:8" ht="27.75">
      <c r="A85" s="141" t="s">
        <v>62</v>
      </c>
      <c r="B85" s="141" t="s">
        <v>1435</v>
      </c>
      <c r="C85" s="134">
        <f>_xlfn.IFERROR(VLOOKUP(A85,'งบทดลอง รพ.'!$A$2:$C$602,3,0),0)</f>
        <v>0</v>
      </c>
      <c r="D85" s="25"/>
      <c r="E85" s="85" t="s">
        <v>1296</v>
      </c>
      <c r="F85" s="85" t="s">
        <v>0</v>
      </c>
      <c r="G85" s="81" t="s">
        <v>1409</v>
      </c>
      <c r="H85" s="81"/>
    </row>
    <row r="86" spans="1:8" ht="27.75">
      <c r="A86" s="141" t="s">
        <v>63</v>
      </c>
      <c r="B86" s="141" t="s">
        <v>1436</v>
      </c>
      <c r="C86" s="134">
        <f>_xlfn.IFERROR(VLOOKUP(A86,'งบทดลอง รพ.'!$A$2:$C$602,3,0),0)</f>
        <v>0</v>
      </c>
      <c r="D86" s="25"/>
      <c r="E86" s="85" t="s">
        <v>1292</v>
      </c>
      <c r="F86" s="85" t="s">
        <v>0</v>
      </c>
      <c r="G86" s="81" t="s">
        <v>1409</v>
      </c>
      <c r="H86" s="81"/>
    </row>
    <row r="87" spans="1:8" ht="27.75">
      <c r="A87" s="141" t="s">
        <v>64</v>
      </c>
      <c r="B87" s="141" t="s">
        <v>65</v>
      </c>
      <c r="C87" s="134">
        <f>_xlfn.IFERROR(VLOOKUP(A87,'งบทดลอง รพ.'!$A$2:$C$602,3,0),0)</f>
        <v>6402396.77</v>
      </c>
      <c r="D87" s="25"/>
      <c r="E87" s="85" t="s">
        <v>1297</v>
      </c>
      <c r="F87" s="85" t="s">
        <v>0</v>
      </c>
      <c r="G87" s="81" t="s">
        <v>1409</v>
      </c>
      <c r="H87" s="81"/>
    </row>
    <row r="88" spans="1:8" ht="27.75">
      <c r="A88" s="141" t="s">
        <v>66</v>
      </c>
      <c r="B88" s="141" t="s">
        <v>67</v>
      </c>
      <c r="C88" s="134">
        <f>_xlfn.IFERROR(VLOOKUP(A88,'งบทดลอง รพ.'!$A$2:$C$602,3,0),0)</f>
        <v>8000000</v>
      </c>
      <c r="D88" s="25"/>
      <c r="E88" s="85" t="s">
        <v>1297</v>
      </c>
      <c r="F88" s="85" t="s">
        <v>0</v>
      </c>
      <c r="G88" s="81" t="s">
        <v>1409</v>
      </c>
      <c r="H88" s="81"/>
    </row>
    <row r="89" spans="1:8" ht="27.75">
      <c r="A89" s="141" t="s">
        <v>68</v>
      </c>
      <c r="B89" s="141" t="s">
        <v>1437</v>
      </c>
      <c r="C89" s="134">
        <f>_xlfn.IFERROR(VLOOKUP(A89,'งบทดลอง รพ.'!$A$2:$C$602,3,0),0)</f>
        <v>603867.66</v>
      </c>
      <c r="D89" s="25"/>
      <c r="E89" s="85" t="s">
        <v>1292</v>
      </c>
      <c r="F89" s="85" t="s">
        <v>0</v>
      </c>
      <c r="G89" s="81" t="s">
        <v>1409</v>
      </c>
      <c r="H89" s="81"/>
    </row>
    <row r="90" spans="1:8" ht="27.75">
      <c r="A90" s="141" t="s">
        <v>69</v>
      </c>
      <c r="B90" s="141" t="s">
        <v>1438</v>
      </c>
      <c r="C90" s="134">
        <f>_xlfn.IFERROR(VLOOKUP(A90,'งบทดลอง รพ.'!$A$2:$C$602,3,0),0)</f>
        <v>1043035.61</v>
      </c>
      <c r="D90" s="25"/>
      <c r="E90" s="85" t="s">
        <v>1294</v>
      </c>
      <c r="F90" s="85" t="s">
        <v>0</v>
      </c>
      <c r="G90" s="81" t="s">
        <v>1409</v>
      </c>
      <c r="H90" s="81"/>
    </row>
    <row r="91" spans="1:8" ht="27.75">
      <c r="A91" s="141" t="s">
        <v>70</v>
      </c>
      <c r="B91" s="141" t="s">
        <v>1439</v>
      </c>
      <c r="C91" s="134">
        <f>_xlfn.IFERROR(VLOOKUP(A91,'งบทดลอง รพ.'!$A$2:$C$602,3,0),0)</f>
        <v>8728092.8</v>
      </c>
      <c r="D91" s="25"/>
      <c r="E91" s="85" t="s">
        <v>1292</v>
      </c>
      <c r="F91" s="85" t="s">
        <v>0</v>
      </c>
      <c r="G91" s="81" t="s">
        <v>1409</v>
      </c>
      <c r="H91" s="81"/>
    </row>
    <row r="92" spans="1:8" ht="27.75">
      <c r="A92" s="141" t="s">
        <v>71</v>
      </c>
      <c r="B92" s="141" t="s">
        <v>1440</v>
      </c>
      <c r="C92" s="134">
        <f>_xlfn.IFERROR(VLOOKUP(A92,'งบทดลอง รพ.'!$A$2:$C$602,3,0),0)</f>
        <v>3361608.4</v>
      </c>
      <c r="D92" s="25"/>
      <c r="E92" s="85" t="s">
        <v>1294</v>
      </c>
      <c r="F92" s="85" t="s">
        <v>0</v>
      </c>
      <c r="G92" s="81" t="s">
        <v>1409</v>
      </c>
      <c r="H92" s="81"/>
    </row>
    <row r="93" spans="1:8" ht="27.75">
      <c r="A93" s="141" t="s">
        <v>72</v>
      </c>
      <c r="B93" s="141" t="s">
        <v>1441</v>
      </c>
      <c r="C93" s="134">
        <f>_xlfn.IFERROR(VLOOKUP(A93,'งบทดลอง รพ.'!$A$2:$C$602,3,0),0)</f>
        <v>5441220</v>
      </c>
      <c r="D93" s="25"/>
      <c r="E93" s="85" t="s">
        <v>1292</v>
      </c>
      <c r="F93" s="85" t="s">
        <v>0</v>
      </c>
      <c r="G93" s="81" t="s">
        <v>1409</v>
      </c>
      <c r="H93" s="81"/>
    </row>
    <row r="94" spans="1:8" ht="27.75">
      <c r="A94" s="141" t="s">
        <v>73</v>
      </c>
      <c r="B94" s="141" t="s">
        <v>1442</v>
      </c>
      <c r="C94" s="134">
        <f>_xlfn.IFERROR(VLOOKUP(A94,'งบทดลอง รพ.'!$A$2:$C$602,3,0),0)</f>
        <v>3025197.43</v>
      </c>
      <c r="D94" s="25"/>
      <c r="E94" s="85" t="s">
        <v>1294</v>
      </c>
      <c r="F94" s="85" t="s">
        <v>0</v>
      </c>
      <c r="G94" s="81" t="s">
        <v>1409</v>
      </c>
      <c r="H94" s="81"/>
    </row>
    <row r="95" spans="1:8" ht="27.75">
      <c r="A95" s="138" t="s">
        <v>1041</v>
      </c>
      <c r="B95" s="138" t="s">
        <v>1042</v>
      </c>
      <c r="C95" s="134">
        <f>_xlfn.IFERROR(VLOOKUP(A95,'งบทดลอง รพ.'!$A$2:$C$602,3,0),0)</f>
        <v>0</v>
      </c>
      <c r="D95" s="25"/>
      <c r="E95" s="85" t="s">
        <v>1297</v>
      </c>
      <c r="F95" s="85" t="s">
        <v>0</v>
      </c>
      <c r="G95" s="81" t="s">
        <v>1407</v>
      </c>
      <c r="H95" s="81"/>
    </row>
    <row r="96" spans="1:8" ht="27.75">
      <c r="A96" s="141" t="s">
        <v>74</v>
      </c>
      <c r="B96" s="141" t="s">
        <v>1443</v>
      </c>
      <c r="C96" s="134">
        <f>_xlfn.IFERROR(VLOOKUP(A96,'งบทดลอง รพ.'!$A$2:$C$602,3,0),0)</f>
        <v>0</v>
      </c>
      <c r="D96" s="25"/>
      <c r="E96" s="85" t="s">
        <v>1297</v>
      </c>
      <c r="F96" s="85" t="s">
        <v>0</v>
      </c>
      <c r="G96" s="81" t="s">
        <v>1409</v>
      </c>
      <c r="H96" s="81"/>
    </row>
    <row r="97" spans="1:8" ht="27.75">
      <c r="A97" s="141" t="s">
        <v>75</v>
      </c>
      <c r="B97" s="141" t="s">
        <v>1444</v>
      </c>
      <c r="C97" s="134">
        <f>_xlfn.IFERROR(VLOOKUP(A97,'งบทดลอง รพ.'!$A$2:$C$602,3,0),0)</f>
        <v>0</v>
      </c>
      <c r="D97" s="25"/>
      <c r="E97" s="85" t="s">
        <v>1297</v>
      </c>
      <c r="F97" s="85" t="s">
        <v>0</v>
      </c>
      <c r="G97" s="81" t="s">
        <v>1409</v>
      </c>
      <c r="H97" s="81"/>
    </row>
    <row r="98" spans="1:8" ht="27.75">
      <c r="A98" s="141" t="s">
        <v>861</v>
      </c>
      <c r="B98" s="141" t="s">
        <v>862</v>
      </c>
      <c r="C98" s="134">
        <f>_xlfn.IFERROR(VLOOKUP(A98,'งบทดลอง รพ.'!$A$2:$C$602,3,0),0)</f>
        <v>0</v>
      </c>
      <c r="D98" s="25"/>
      <c r="E98" s="85" t="s">
        <v>1296</v>
      </c>
      <c r="F98" s="85" t="s">
        <v>0</v>
      </c>
      <c r="G98" s="81" t="s">
        <v>1409</v>
      </c>
      <c r="H98" s="81"/>
    </row>
    <row r="99" spans="1:8" ht="27.75">
      <c r="A99" s="141" t="s">
        <v>863</v>
      </c>
      <c r="B99" s="141" t="s">
        <v>864</v>
      </c>
      <c r="C99" s="134">
        <f>_xlfn.IFERROR(VLOOKUP(A99,'งบทดลอง รพ.'!$A$2:$C$602,3,0),0)</f>
        <v>0</v>
      </c>
      <c r="D99" s="25"/>
      <c r="E99" s="85" t="s">
        <v>1296</v>
      </c>
      <c r="F99" s="85" t="s">
        <v>0</v>
      </c>
      <c r="G99" s="81" t="s">
        <v>1409</v>
      </c>
      <c r="H99" s="81"/>
    </row>
    <row r="100" spans="1:8" ht="27.75">
      <c r="A100" s="141" t="s">
        <v>865</v>
      </c>
      <c r="B100" s="141" t="s">
        <v>866</v>
      </c>
      <c r="C100" s="134">
        <f>_xlfn.IFERROR(VLOOKUP(A100,'งบทดลอง รพ.'!$A$2:$C$602,3,0),0)</f>
        <v>0</v>
      </c>
      <c r="D100" s="25"/>
      <c r="E100" s="85" t="s">
        <v>1297</v>
      </c>
      <c r="F100" s="85" t="s">
        <v>0</v>
      </c>
      <c r="G100" s="81" t="s">
        <v>1409</v>
      </c>
      <c r="H100" s="81"/>
    </row>
    <row r="101" spans="1:8" ht="27.75">
      <c r="A101" s="141" t="s">
        <v>867</v>
      </c>
      <c r="B101" s="141" t="s">
        <v>868</v>
      </c>
      <c r="C101" s="134">
        <f>_xlfn.IFERROR(VLOOKUP(A101,'งบทดลอง รพ.'!$A$2:$C$602,3,0),0)</f>
        <v>0</v>
      </c>
      <c r="D101" s="25"/>
      <c r="E101" s="85" t="s">
        <v>1297</v>
      </c>
      <c r="F101" s="85" t="s">
        <v>0</v>
      </c>
      <c r="G101" s="81" t="s">
        <v>1409</v>
      </c>
      <c r="H101" s="81"/>
    </row>
    <row r="102" spans="1:8" ht="27.75">
      <c r="A102" s="141" t="s">
        <v>869</v>
      </c>
      <c r="B102" s="141" t="s">
        <v>870</v>
      </c>
      <c r="C102" s="134">
        <f>_xlfn.IFERROR(VLOOKUP(A102,'งบทดลอง รพ.'!$A$2:$C$602,3,0),0)</f>
        <v>0</v>
      </c>
      <c r="D102" s="25"/>
      <c r="E102" s="85" t="s">
        <v>1296</v>
      </c>
      <c r="F102" s="85" t="s">
        <v>0</v>
      </c>
      <c r="G102" s="81" t="s">
        <v>1409</v>
      </c>
      <c r="H102" s="81"/>
    </row>
    <row r="103" spans="1:8" ht="27.75">
      <c r="A103" s="141" t="s">
        <v>871</v>
      </c>
      <c r="B103" s="141" t="s">
        <v>872</v>
      </c>
      <c r="C103" s="134">
        <f>_xlfn.IFERROR(VLOOKUP(A103,'งบทดลอง รพ.'!$A$2:$C$602,3,0),0)</f>
        <v>0</v>
      </c>
      <c r="D103" s="25"/>
      <c r="E103" s="85" t="s">
        <v>1296</v>
      </c>
      <c r="F103" s="85" t="s">
        <v>0</v>
      </c>
      <c r="G103" s="81" t="s">
        <v>1409</v>
      </c>
      <c r="H103" s="81"/>
    </row>
    <row r="104" spans="1:8" ht="27.75">
      <c r="A104" s="141" t="s">
        <v>873</v>
      </c>
      <c r="B104" s="141" t="s">
        <v>874</v>
      </c>
      <c r="C104" s="134">
        <f>_xlfn.IFERROR(VLOOKUP(A104,'งบทดลอง รพ.'!$A$2:$C$602,3,0),0)</f>
        <v>0</v>
      </c>
      <c r="D104" s="25"/>
      <c r="E104" s="85" t="s">
        <v>1296</v>
      </c>
      <c r="F104" s="85" t="s">
        <v>0</v>
      </c>
      <c r="G104" s="81" t="s">
        <v>1409</v>
      </c>
      <c r="H104" s="81"/>
    </row>
    <row r="105" spans="1:8" ht="27.75">
      <c r="A105" s="141" t="s">
        <v>822</v>
      </c>
      <c r="B105" s="141" t="s">
        <v>1445</v>
      </c>
      <c r="C105" s="134">
        <f>_xlfn.IFERROR(VLOOKUP(A105,'งบทดลอง รพ.'!$A$2:$C$602,3,0),0)</f>
        <v>0</v>
      </c>
      <c r="D105" s="25"/>
      <c r="E105" s="85" t="s">
        <v>1296</v>
      </c>
      <c r="F105" s="85" t="s">
        <v>0</v>
      </c>
      <c r="G105" s="81" t="s">
        <v>1409</v>
      </c>
      <c r="H105" s="81"/>
    </row>
    <row r="106" spans="1:8" ht="27.75">
      <c r="A106" s="141" t="s">
        <v>823</v>
      </c>
      <c r="B106" s="141" t="s">
        <v>824</v>
      </c>
      <c r="C106" s="134">
        <f>_xlfn.IFERROR(VLOOKUP(A106,'งบทดลอง รพ.'!$A$2:$C$602,3,0),0)</f>
        <v>0</v>
      </c>
      <c r="D106" s="25"/>
      <c r="E106" s="85" t="s">
        <v>1296</v>
      </c>
      <c r="F106" s="85" t="s">
        <v>0</v>
      </c>
      <c r="G106" s="81" t="s">
        <v>1409</v>
      </c>
      <c r="H106" s="81"/>
    </row>
    <row r="107" spans="1:8" ht="27.75">
      <c r="A107" s="141" t="s">
        <v>825</v>
      </c>
      <c r="B107" s="141" t="s">
        <v>826</v>
      </c>
      <c r="C107" s="134">
        <f>_xlfn.IFERROR(VLOOKUP(A107,'งบทดลอง รพ.'!$A$2:$C$602,3,0),0)</f>
        <v>0</v>
      </c>
      <c r="D107" s="25"/>
      <c r="E107" s="85" t="s">
        <v>1296</v>
      </c>
      <c r="F107" s="85" t="s">
        <v>0</v>
      </c>
      <c r="G107" s="81" t="s">
        <v>1409</v>
      </c>
      <c r="H107" s="81"/>
    </row>
    <row r="108" spans="1:8" ht="27.75">
      <c r="A108" s="141" t="s">
        <v>827</v>
      </c>
      <c r="B108" s="141" t="s">
        <v>828</v>
      </c>
      <c r="C108" s="134">
        <f>_xlfn.IFERROR(VLOOKUP(A108,'งบทดลอง รพ.'!$A$2:$C$602,3,0),0)</f>
        <v>0</v>
      </c>
      <c r="D108" s="25"/>
      <c r="E108" s="85" t="s">
        <v>1296</v>
      </c>
      <c r="F108" s="85" t="s">
        <v>0</v>
      </c>
      <c r="G108" s="81" t="s">
        <v>1409</v>
      </c>
      <c r="H108" s="81"/>
    </row>
    <row r="109" spans="1:8" ht="27.75">
      <c r="A109" s="141" t="s">
        <v>829</v>
      </c>
      <c r="B109" s="141" t="s">
        <v>830</v>
      </c>
      <c r="C109" s="134">
        <f>_xlfn.IFERROR(VLOOKUP(A109,'งบทดลอง รพ.'!$A$2:$C$602,3,0),0)</f>
        <v>-29420629.27</v>
      </c>
      <c r="D109" s="25"/>
      <c r="E109" s="85" t="s">
        <v>1296</v>
      </c>
      <c r="F109" s="85" t="s">
        <v>0</v>
      </c>
      <c r="G109" s="81" t="s">
        <v>1409</v>
      </c>
      <c r="H109" s="81"/>
    </row>
    <row r="110" spans="1:8" ht="27.75">
      <c r="A110" s="141" t="s">
        <v>831</v>
      </c>
      <c r="B110" s="141" t="s">
        <v>832</v>
      </c>
      <c r="C110" s="134">
        <f>_xlfn.IFERROR(VLOOKUP(A110,'งบทดลอง รพ.'!$A$2:$C$602,3,0),0)</f>
        <v>-19974651.72</v>
      </c>
      <c r="D110" s="25"/>
      <c r="E110" s="85" t="s">
        <v>1296</v>
      </c>
      <c r="F110" s="85" t="s">
        <v>0</v>
      </c>
      <c r="G110" s="81" t="s">
        <v>1409</v>
      </c>
      <c r="H110" s="81"/>
    </row>
    <row r="111" spans="1:8" ht="27.75">
      <c r="A111" s="141" t="s">
        <v>833</v>
      </c>
      <c r="B111" s="141" t="s">
        <v>834</v>
      </c>
      <c r="C111" s="134">
        <f>_xlfn.IFERROR(VLOOKUP(A111,'งบทดลอง รพ.'!$A$2:$C$602,3,0),0)</f>
        <v>-5844343.32</v>
      </c>
      <c r="D111" s="25"/>
      <c r="E111" s="85" t="s">
        <v>1296</v>
      </c>
      <c r="F111" s="85" t="s">
        <v>0</v>
      </c>
      <c r="G111" s="81" t="s">
        <v>1409</v>
      </c>
      <c r="H111" s="81"/>
    </row>
    <row r="112" spans="1:8" ht="27.75">
      <c r="A112" s="141" t="s">
        <v>91</v>
      </c>
      <c r="B112" s="141" t="s">
        <v>92</v>
      </c>
      <c r="C112" s="134">
        <f>_xlfn.IFERROR(VLOOKUP(A112,'งบทดลอง รพ.'!$A$2:$C$602,3,0),0)</f>
        <v>0</v>
      </c>
      <c r="D112" s="25"/>
      <c r="E112" s="85" t="s">
        <v>1317</v>
      </c>
      <c r="F112" s="85" t="s">
        <v>8</v>
      </c>
      <c r="G112" s="81" t="s">
        <v>1409</v>
      </c>
      <c r="H112" s="81"/>
    </row>
    <row r="113" spans="1:8" ht="27.75">
      <c r="A113" s="141" t="s">
        <v>93</v>
      </c>
      <c r="B113" s="141" t="s">
        <v>1446</v>
      </c>
      <c r="C113" s="134">
        <f>_xlfn.IFERROR(VLOOKUP(A113,'งบทดลอง รพ.'!$A$2:$C$602,3,0),0)</f>
        <v>3679977.68</v>
      </c>
      <c r="D113" s="25"/>
      <c r="E113" s="85" t="s">
        <v>1318</v>
      </c>
      <c r="F113" s="85" t="s">
        <v>8</v>
      </c>
      <c r="G113" s="81" t="s">
        <v>1409</v>
      </c>
      <c r="H113" s="81"/>
    </row>
    <row r="114" spans="1:8" ht="27.75">
      <c r="A114" s="141" t="s">
        <v>94</v>
      </c>
      <c r="B114" s="141" t="s">
        <v>1447</v>
      </c>
      <c r="C114" s="134">
        <f>_xlfn.IFERROR(VLOOKUP(A114,'งบทดลอง รพ.'!$A$2:$C$602,3,0),0)</f>
        <v>2522061.6</v>
      </c>
      <c r="D114" s="25"/>
      <c r="E114" s="85" t="s">
        <v>1320</v>
      </c>
      <c r="F114" s="85" t="s">
        <v>8</v>
      </c>
      <c r="G114" s="81" t="s">
        <v>1409</v>
      </c>
      <c r="H114" s="81"/>
    </row>
    <row r="115" spans="1:8" ht="27.75">
      <c r="A115" s="141" t="s">
        <v>95</v>
      </c>
      <c r="B115" s="141" t="s">
        <v>1448</v>
      </c>
      <c r="C115" s="134">
        <f>_xlfn.IFERROR(VLOOKUP(A115,'งบทดลอง รพ.'!$A$2:$C$602,3,0),0)</f>
        <v>0</v>
      </c>
      <c r="D115" s="25"/>
      <c r="E115" s="85" t="s">
        <v>1318</v>
      </c>
      <c r="F115" s="85" t="s">
        <v>8</v>
      </c>
      <c r="G115" s="81" t="s">
        <v>1409</v>
      </c>
      <c r="H115" s="81"/>
    </row>
    <row r="116" spans="1:8" ht="27.75">
      <c r="A116" s="141" t="s">
        <v>96</v>
      </c>
      <c r="B116" s="141" t="s">
        <v>1449</v>
      </c>
      <c r="C116" s="134">
        <f>_xlfn.IFERROR(VLOOKUP(A116,'งบทดลอง รพ.'!$A$2:$C$602,3,0),0)</f>
        <v>49606</v>
      </c>
      <c r="D116" s="25"/>
      <c r="E116" s="85" t="s">
        <v>1320</v>
      </c>
      <c r="F116" s="85" t="s">
        <v>8</v>
      </c>
      <c r="G116" s="81" t="s">
        <v>1409</v>
      </c>
      <c r="H116" s="81"/>
    </row>
    <row r="117" spans="1:8" ht="27.75">
      <c r="A117" s="138" t="s">
        <v>1043</v>
      </c>
      <c r="B117" s="138" t="s">
        <v>1044</v>
      </c>
      <c r="C117" s="134">
        <f>_xlfn.IFERROR(VLOOKUP(A117,'งบทดลอง รพ.'!$A$2:$C$602,3,0),0)</f>
        <v>0</v>
      </c>
      <c r="D117" s="25"/>
      <c r="E117" s="85" t="s">
        <v>1318</v>
      </c>
      <c r="F117" s="85" t="s">
        <v>8</v>
      </c>
      <c r="G117" s="81" t="s">
        <v>1407</v>
      </c>
      <c r="H117" s="81"/>
    </row>
    <row r="118" spans="1:8" ht="27.75">
      <c r="A118" s="138" t="s">
        <v>1045</v>
      </c>
      <c r="B118" s="138" t="s">
        <v>1046</v>
      </c>
      <c r="C118" s="134">
        <f>_xlfn.IFERROR(VLOOKUP(A118,'งบทดลอง รพ.'!$A$2:$C$602,3,0),0)</f>
        <v>0</v>
      </c>
      <c r="D118" s="25"/>
      <c r="E118" s="85" t="s">
        <v>1320</v>
      </c>
      <c r="F118" s="85" t="s">
        <v>8</v>
      </c>
      <c r="G118" s="81" t="s">
        <v>1407</v>
      </c>
      <c r="H118" s="81"/>
    </row>
    <row r="119" spans="1:8" ht="27.75">
      <c r="A119" s="141" t="s">
        <v>97</v>
      </c>
      <c r="B119" s="141" t="s">
        <v>98</v>
      </c>
      <c r="C119" s="134">
        <f>_xlfn.IFERROR(VLOOKUP(A119,'งบทดลอง รพ.'!$A$2:$C$602,3,0),0)</f>
        <v>69213</v>
      </c>
      <c r="D119" s="25"/>
      <c r="E119" s="85" t="s">
        <v>1322</v>
      </c>
      <c r="F119" s="85" t="s">
        <v>8</v>
      </c>
      <c r="G119" s="81" t="s">
        <v>1409</v>
      </c>
      <c r="H119" s="81"/>
    </row>
    <row r="120" spans="1:8" ht="27.75">
      <c r="A120" s="141" t="s">
        <v>99</v>
      </c>
      <c r="B120" s="141" t="s">
        <v>100</v>
      </c>
      <c r="C120" s="134">
        <f>_xlfn.IFERROR(VLOOKUP(A120,'งบทดลอง รพ.'!$A$2:$C$602,3,0),0)</f>
        <v>454834.8</v>
      </c>
      <c r="D120" s="25"/>
      <c r="E120" s="85" t="s">
        <v>1320</v>
      </c>
      <c r="F120" s="85" t="s">
        <v>8</v>
      </c>
      <c r="G120" s="81" t="s">
        <v>1409</v>
      </c>
      <c r="H120" s="81"/>
    </row>
    <row r="121" spans="1:8" ht="27.75">
      <c r="A121" s="141" t="s">
        <v>101</v>
      </c>
      <c r="B121" s="141" t="s">
        <v>1450</v>
      </c>
      <c r="C121" s="134">
        <f>_xlfn.IFERROR(VLOOKUP(A121,'งบทดลอง รพ.'!$A$2:$C$602,3,0),0)</f>
        <v>1621104</v>
      </c>
      <c r="D121" s="25"/>
      <c r="E121" s="85" t="s">
        <v>1318</v>
      </c>
      <c r="F121" s="85" t="s">
        <v>8</v>
      </c>
      <c r="G121" s="81" t="s">
        <v>1409</v>
      </c>
      <c r="H121" s="81"/>
    </row>
    <row r="122" spans="1:8" ht="27.75">
      <c r="A122" s="141" t="s">
        <v>102</v>
      </c>
      <c r="B122" s="141" t="s">
        <v>1451</v>
      </c>
      <c r="C122" s="134">
        <f>_xlfn.IFERROR(VLOOKUP(A122,'งบทดลอง รพ.'!$A$2:$C$602,3,0),0)</f>
        <v>114029.4</v>
      </c>
      <c r="D122" s="25"/>
      <c r="E122" s="85" t="s">
        <v>1320</v>
      </c>
      <c r="F122" s="85" t="s">
        <v>8</v>
      </c>
      <c r="G122" s="81" t="s">
        <v>1409</v>
      </c>
      <c r="H122" s="81"/>
    </row>
    <row r="123" spans="1:8" ht="27.75">
      <c r="A123" s="141" t="s">
        <v>103</v>
      </c>
      <c r="B123" s="141" t="s">
        <v>1452</v>
      </c>
      <c r="C123" s="134">
        <f>_xlfn.IFERROR(VLOOKUP(A123,'งบทดลอง รพ.'!$A$2:$C$602,3,0),0)</f>
        <v>-732998.66</v>
      </c>
      <c r="D123" s="25"/>
      <c r="E123" s="85" t="s">
        <v>1317</v>
      </c>
      <c r="F123" s="85" t="s">
        <v>8</v>
      </c>
      <c r="G123" s="81" t="s">
        <v>1409</v>
      </c>
      <c r="H123" s="81"/>
    </row>
    <row r="124" spans="1:8" ht="27.75">
      <c r="A124" s="141" t="s">
        <v>104</v>
      </c>
      <c r="B124" s="141" t="s">
        <v>1453</v>
      </c>
      <c r="C124" s="134">
        <f>_xlfn.IFERROR(VLOOKUP(A124,'งบทดลอง รพ.'!$A$2:$C$602,3,0),0)</f>
        <v>-1099946.1</v>
      </c>
      <c r="D124" s="25"/>
      <c r="E124" s="85" t="s">
        <v>1317</v>
      </c>
      <c r="F124" s="85" t="s">
        <v>8</v>
      </c>
      <c r="G124" s="81" t="s">
        <v>1409</v>
      </c>
      <c r="H124" s="81"/>
    </row>
    <row r="125" spans="1:8" ht="27.75">
      <c r="A125" s="141" t="s">
        <v>105</v>
      </c>
      <c r="B125" s="141" t="s">
        <v>1454</v>
      </c>
      <c r="C125" s="134">
        <f>_xlfn.IFERROR(VLOOKUP(A125,'งบทดลอง รพ.'!$A$2:$C$602,3,0),0)</f>
        <v>0</v>
      </c>
      <c r="D125" s="25"/>
      <c r="E125" s="85" t="s">
        <v>1317</v>
      </c>
      <c r="F125" s="85" t="s">
        <v>8</v>
      </c>
      <c r="G125" s="81" t="s">
        <v>1409</v>
      </c>
      <c r="H125" s="81"/>
    </row>
    <row r="126" spans="1:8" ht="27.75">
      <c r="A126" s="141" t="s">
        <v>106</v>
      </c>
      <c r="B126" s="141" t="s">
        <v>1455</v>
      </c>
      <c r="C126" s="134">
        <f>_xlfn.IFERROR(VLOOKUP(A126,'งบทดลอง รพ.'!$A$2:$C$602,3,0),0)</f>
        <v>0</v>
      </c>
      <c r="D126" s="25"/>
      <c r="E126" s="85" t="s">
        <v>1317</v>
      </c>
      <c r="F126" s="85" t="s">
        <v>8</v>
      </c>
      <c r="G126" s="81" t="s">
        <v>1409</v>
      </c>
      <c r="H126" s="81"/>
    </row>
    <row r="127" spans="1:8" ht="27.75">
      <c r="A127" s="141" t="s">
        <v>875</v>
      </c>
      <c r="B127" s="141" t="s">
        <v>107</v>
      </c>
      <c r="C127" s="134">
        <f>_xlfn.IFERROR(VLOOKUP(A127,'งบทดลอง รพ.'!$A$2:$C$602,3,0),0)</f>
        <v>0</v>
      </c>
      <c r="D127" s="25"/>
      <c r="E127" s="85" t="s">
        <v>1322</v>
      </c>
      <c r="F127" s="85" t="s">
        <v>8</v>
      </c>
      <c r="G127" s="81" t="s">
        <v>1409</v>
      </c>
      <c r="H127" s="81"/>
    </row>
    <row r="128" spans="1:8" ht="27.75">
      <c r="A128" s="141" t="s">
        <v>876</v>
      </c>
      <c r="B128" s="141" t="s">
        <v>108</v>
      </c>
      <c r="C128" s="134">
        <f>_xlfn.IFERROR(VLOOKUP(A128,'งบทดลอง รพ.'!$A$2:$C$602,3,0),0)</f>
        <v>0</v>
      </c>
      <c r="D128" s="25"/>
      <c r="E128" s="85" t="s">
        <v>1322</v>
      </c>
      <c r="F128" s="85" t="s">
        <v>8</v>
      </c>
      <c r="G128" s="81" t="s">
        <v>1409</v>
      </c>
      <c r="H128" s="81"/>
    </row>
    <row r="129" spans="1:8" ht="27.75">
      <c r="A129" s="138" t="s">
        <v>1047</v>
      </c>
      <c r="B129" s="138" t="s">
        <v>1048</v>
      </c>
      <c r="C129" s="134">
        <f>_xlfn.IFERROR(VLOOKUP(A129,'งบทดลอง รพ.'!$A$2:$C$602,3,0),0)</f>
        <v>0</v>
      </c>
      <c r="D129" s="25"/>
      <c r="E129" s="85" t="s">
        <v>1324</v>
      </c>
      <c r="F129" s="85" t="s">
        <v>10</v>
      </c>
      <c r="G129" s="81" t="s">
        <v>1407</v>
      </c>
      <c r="H129" s="81"/>
    </row>
    <row r="130" spans="1:8" ht="27.75">
      <c r="A130" s="141" t="s">
        <v>109</v>
      </c>
      <c r="B130" s="141" t="s">
        <v>1456</v>
      </c>
      <c r="C130" s="134">
        <f>_xlfn.IFERROR(VLOOKUP(A130,'งบทดลอง รพ.'!$A$2:$C$602,3,0),0)</f>
        <v>1569412.86</v>
      </c>
      <c r="D130" s="25"/>
      <c r="E130" s="85" t="s">
        <v>1325</v>
      </c>
      <c r="F130" s="85" t="s">
        <v>10</v>
      </c>
      <c r="G130" s="81" t="s">
        <v>1409</v>
      </c>
      <c r="H130" s="81"/>
    </row>
    <row r="131" spans="1:8" ht="27.75">
      <c r="A131" s="141" t="s">
        <v>110</v>
      </c>
      <c r="B131" s="141" t="s">
        <v>1457</v>
      </c>
      <c r="C131" s="134">
        <f>_xlfn.IFERROR(VLOOKUP(A131,'งบทดลอง รพ.'!$A$2:$C$602,3,0),0)</f>
        <v>726265.43</v>
      </c>
      <c r="D131" s="25"/>
      <c r="E131" s="85" t="s">
        <v>1327</v>
      </c>
      <c r="F131" s="85" t="s">
        <v>10</v>
      </c>
      <c r="G131" s="81" t="s">
        <v>1409</v>
      </c>
      <c r="H131" s="81"/>
    </row>
    <row r="132" spans="1:8" ht="27.75">
      <c r="A132" s="141" t="s">
        <v>111</v>
      </c>
      <c r="B132" s="141" t="s">
        <v>1458</v>
      </c>
      <c r="C132" s="134">
        <f>_xlfn.IFERROR(VLOOKUP(A132,'งบทดลอง รพ.'!$A$2:$C$602,3,0),0)</f>
        <v>0</v>
      </c>
      <c r="D132" s="25"/>
      <c r="E132" s="85" t="s">
        <v>1324</v>
      </c>
      <c r="F132" s="85" t="s">
        <v>10</v>
      </c>
      <c r="G132" s="81" t="s">
        <v>1409</v>
      </c>
      <c r="H132" s="81"/>
    </row>
    <row r="133" spans="1:8" ht="27.75">
      <c r="A133" s="141" t="s">
        <v>112</v>
      </c>
      <c r="B133" s="141" t="s">
        <v>1459</v>
      </c>
      <c r="C133" s="134">
        <f>_xlfn.IFERROR(VLOOKUP(A133,'งบทดลอง รพ.'!$A$2:$C$602,3,0),0)</f>
        <v>0</v>
      </c>
      <c r="D133" s="25"/>
      <c r="E133" s="85" t="s">
        <v>1324</v>
      </c>
      <c r="F133" s="85" t="s">
        <v>10</v>
      </c>
      <c r="G133" s="81" t="s">
        <v>1409</v>
      </c>
      <c r="H133" s="81"/>
    </row>
    <row r="134" spans="1:8" ht="27.75">
      <c r="A134" s="141" t="s">
        <v>113</v>
      </c>
      <c r="B134" s="141" t="s">
        <v>1460</v>
      </c>
      <c r="C134" s="134">
        <f>_xlfn.IFERROR(VLOOKUP(A134,'งบทดลอง รพ.'!$A$2:$C$602,3,0),0)</f>
        <v>0</v>
      </c>
      <c r="D134" s="25"/>
      <c r="E134" s="85" t="s">
        <v>1329</v>
      </c>
      <c r="F134" s="85" t="s">
        <v>10</v>
      </c>
      <c r="G134" s="81" t="s">
        <v>1409</v>
      </c>
      <c r="H134" s="81"/>
    </row>
    <row r="135" spans="1:8" ht="27.75">
      <c r="A135" s="141" t="s">
        <v>114</v>
      </c>
      <c r="B135" s="141" t="s">
        <v>1461</v>
      </c>
      <c r="C135" s="134">
        <f>_xlfn.IFERROR(VLOOKUP(A135,'งบทดลอง รพ.'!$A$2:$C$602,3,0),0)</f>
        <v>0</v>
      </c>
      <c r="D135" s="25"/>
      <c r="E135" s="85" t="s">
        <v>1324</v>
      </c>
      <c r="F135" s="85" t="s">
        <v>10</v>
      </c>
      <c r="G135" s="81" t="s">
        <v>1409</v>
      </c>
      <c r="H135" s="81"/>
    </row>
    <row r="136" spans="1:8" ht="27.75">
      <c r="A136" s="141" t="s">
        <v>115</v>
      </c>
      <c r="B136" s="141" t="s">
        <v>1462</v>
      </c>
      <c r="C136" s="134">
        <f>_xlfn.IFERROR(VLOOKUP(A136,'งบทดลอง รพ.'!$A$2:$C$602,3,0),0)</f>
        <v>0</v>
      </c>
      <c r="D136" s="25"/>
      <c r="E136" s="85" t="s">
        <v>1324</v>
      </c>
      <c r="F136" s="85" t="s">
        <v>10</v>
      </c>
      <c r="G136" s="81" t="s">
        <v>1409</v>
      </c>
      <c r="H136" s="81"/>
    </row>
    <row r="137" spans="1:8" ht="27.75">
      <c r="A137" s="141" t="s">
        <v>877</v>
      </c>
      <c r="B137" s="141" t="s">
        <v>878</v>
      </c>
      <c r="C137" s="134">
        <f>_xlfn.IFERROR(VLOOKUP(A137,'งบทดลอง รพ.'!$A$2:$C$602,3,0),0)</f>
        <v>0</v>
      </c>
      <c r="D137" s="25"/>
      <c r="E137" s="85" t="s">
        <v>1325</v>
      </c>
      <c r="F137" s="85" t="s">
        <v>10</v>
      </c>
      <c r="G137" s="81" t="s">
        <v>1409</v>
      </c>
      <c r="H137" s="81"/>
    </row>
    <row r="138" spans="1:8" ht="27.75">
      <c r="A138" s="141" t="s">
        <v>879</v>
      </c>
      <c r="B138" s="141" t="s">
        <v>880</v>
      </c>
      <c r="C138" s="134">
        <f>_xlfn.IFERROR(VLOOKUP(A138,'งบทดลอง รพ.'!$A$2:$C$602,3,0),0)</f>
        <v>0</v>
      </c>
      <c r="D138" s="25"/>
      <c r="E138" s="85" t="s">
        <v>1327</v>
      </c>
      <c r="F138" s="85" t="s">
        <v>10</v>
      </c>
      <c r="G138" s="81" t="s">
        <v>1409</v>
      </c>
      <c r="H138" s="81"/>
    </row>
    <row r="139" spans="1:8" ht="27.75">
      <c r="A139" s="141" t="s">
        <v>881</v>
      </c>
      <c r="B139" s="141" t="s">
        <v>882</v>
      </c>
      <c r="C139" s="134">
        <f>_xlfn.IFERROR(VLOOKUP(A139,'งบทดลอง รพ.'!$A$2:$C$602,3,0),0)</f>
        <v>0</v>
      </c>
      <c r="D139" s="25"/>
      <c r="E139" s="85" t="s">
        <v>1327</v>
      </c>
      <c r="F139" s="85" t="s">
        <v>10</v>
      </c>
      <c r="G139" s="81" t="s">
        <v>1409</v>
      </c>
      <c r="H139" s="81"/>
    </row>
    <row r="140" spans="1:8" ht="27.75">
      <c r="A140" s="141" t="s">
        <v>883</v>
      </c>
      <c r="B140" s="141" t="s">
        <v>884</v>
      </c>
      <c r="C140" s="134">
        <f>_xlfn.IFERROR(VLOOKUP(A140,'งบทดลอง รพ.'!$A$2:$C$602,3,0),0)</f>
        <v>0</v>
      </c>
      <c r="D140" s="25"/>
      <c r="E140" s="85" t="s">
        <v>1324</v>
      </c>
      <c r="F140" s="85" t="s">
        <v>10</v>
      </c>
      <c r="G140" s="81" t="s">
        <v>1409</v>
      </c>
      <c r="H140" s="81"/>
    </row>
    <row r="141" spans="1:8" ht="27.75">
      <c r="A141" s="141" t="s">
        <v>885</v>
      </c>
      <c r="B141" s="141" t="s">
        <v>886</v>
      </c>
      <c r="C141" s="134">
        <f>_xlfn.IFERROR(VLOOKUP(A141,'งบทดลอง รพ.'!$A$2:$C$602,3,0),0)</f>
        <v>3200000</v>
      </c>
      <c r="D141" s="25"/>
      <c r="E141" s="85" t="s">
        <v>1329</v>
      </c>
      <c r="F141" s="85" t="s">
        <v>10</v>
      </c>
      <c r="G141" s="81" t="s">
        <v>1409</v>
      </c>
      <c r="H141" s="81"/>
    </row>
    <row r="142" spans="1:8" ht="27.75">
      <c r="A142" s="141" t="s">
        <v>887</v>
      </c>
      <c r="B142" s="141" t="s">
        <v>116</v>
      </c>
      <c r="C142" s="134">
        <f>_xlfn.IFERROR(VLOOKUP(A142,'งบทดลอง รพ.'!$A$2:$C$602,3,0),0)</f>
        <v>0</v>
      </c>
      <c r="D142" s="25"/>
      <c r="E142" s="85" t="s">
        <v>1329</v>
      </c>
      <c r="F142" s="85" t="s">
        <v>10</v>
      </c>
      <c r="G142" s="81" t="s">
        <v>1409</v>
      </c>
      <c r="H142" s="81"/>
    </row>
    <row r="143" spans="1:8" ht="27.75">
      <c r="A143" s="141" t="s">
        <v>888</v>
      </c>
      <c r="B143" s="141" t="s">
        <v>889</v>
      </c>
      <c r="C143" s="134">
        <f>_xlfn.IFERROR(VLOOKUP(A143,'งบทดลอง รพ.'!$A$2:$C$602,3,0),0)</f>
        <v>0</v>
      </c>
      <c r="D143" s="25"/>
      <c r="E143" s="85" t="s">
        <v>1329</v>
      </c>
      <c r="F143" s="85" t="s">
        <v>10</v>
      </c>
      <c r="G143" s="81" t="s">
        <v>1409</v>
      </c>
      <c r="H143" s="81"/>
    </row>
    <row r="144" spans="1:8" ht="27.75">
      <c r="A144" s="141" t="s">
        <v>132</v>
      </c>
      <c r="B144" s="141" t="s">
        <v>1463</v>
      </c>
      <c r="C144" s="134">
        <f>_xlfn.IFERROR(VLOOKUP(A144,'งบทดลอง รพ.'!$A$2:$C$602,3,0),0)</f>
        <v>0</v>
      </c>
      <c r="D144" s="25"/>
      <c r="E144" s="85" t="s">
        <v>1333</v>
      </c>
      <c r="F144" s="85" t="s">
        <v>12</v>
      </c>
      <c r="G144" s="81" t="s">
        <v>1409</v>
      </c>
      <c r="H144" s="81"/>
    </row>
    <row r="145" spans="1:8" ht="27.75">
      <c r="A145" s="138" t="s">
        <v>1049</v>
      </c>
      <c r="B145" s="138" t="s">
        <v>1050</v>
      </c>
      <c r="C145" s="134">
        <f>_xlfn.IFERROR(VLOOKUP(A145,'งบทดลอง รพ.'!$A$2:$C$602,3,0),0)</f>
        <v>0</v>
      </c>
      <c r="D145" s="25"/>
      <c r="E145" s="85" t="s">
        <v>1333</v>
      </c>
      <c r="F145" s="85" t="s">
        <v>12</v>
      </c>
      <c r="G145" s="81" t="s">
        <v>1407</v>
      </c>
      <c r="H145" s="81"/>
    </row>
    <row r="146" spans="1:8" ht="27.75">
      <c r="A146" s="141" t="s">
        <v>133</v>
      </c>
      <c r="B146" s="141" t="s">
        <v>1464</v>
      </c>
      <c r="C146" s="134">
        <f>_xlfn.IFERROR(VLOOKUP(A146,'งบทดลอง รพ.'!$A$2:$C$602,3,0),0)</f>
        <v>116879</v>
      </c>
      <c r="D146" s="25"/>
      <c r="E146" s="85" t="s">
        <v>1331</v>
      </c>
      <c r="F146" s="85" t="s">
        <v>12</v>
      </c>
      <c r="G146" s="81" t="s">
        <v>1409</v>
      </c>
      <c r="H146" s="81"/>
    </row>
    <row r="147" spans="1:8" ht="27.75">
      <c r="A147" s="141" t="s">
        <v>134</v>
      </c>
      <c r="B147" s="141" t="s">
        <v>1465</v>
      </c>
      <c r="C147" s="134">
        <f>_xlfn.IFERROR(VLOOKUP(A147,'งบทดลอง รพ.'!$A$2:$C$602,3,0),0)</f>
        <v>-122460.29</v>
      </c>
      <c r="D147" s="25"/>
      <c r="E147" s="85" t="s">
        <v>1331</v>
      </c>
      <c r="F147" s="85" t="s">
        <v>12</v>
      </c>
      <c r="G147" s="81" t="s">
        <v>1409</v>
      </c>
      <c r="H147" s="81"/>
    </row>
    <row r="148" spans="1:8" ht="27.75">
      <c r="A148" s="141" t="s">
        <v>135</v>
      </c>
      <c r="B148" s="141" t="s">
        <v>136</v>
      </c>
      <c r="C148" s="134">
        <f>_xlfn.IFERROR(VLOOKUP(A148,'งบทดลอง รพ.'!$A$2:$C$602,3,0),0)</f>
        <v>0</v>
      </c>
      <c r="D148" s="25"/>
      <c r="E148" s="85" t="s">
        <v>1331</v>
      </c>
      <c r="F148" s="85" t="s">
        <v>12</v>
      </c>
      <c r="G148" s="81" t="s">
        <v>1409</v>
      </c>
      <c r="H148" s="81"/>
    </row>
    <row r="149" spans="1:8" ht="27.75">
      <c r="A149" s="141" t="s">
        <v>137</v>
      </c>
      <c r="B149" s="141" t="s">
        <v>138</v>
      </c>
      <c r="C149" s="134">
        <f>_xlfn.IFERROR(VLOOKUP(A149,'งบทดลอง รพ.'!$A$2:$C$602,3,0),0)</f>
        <v>0</v>
      </c>
      <c r="D149" s="25"/>
      <c r="E149" s="85" t="s">
        <v>1331</v>
      </c>
      <c r="F149" s="85" t="s">
        <v>12</v>
      </c>
      <c r="G149" s="81" t="s">
        <v>1409</v>
      </c>
      <c r="H149" s="81"/>
    </row>
    <row r="150" spans="1:8" ht="27.75">
      <c r="A150" s="138" t="s">
        <v>1051</v>
      </c>
      <c r="B150" s="138" t="s">
        <v>1052</v>
      </c>
      <c r="C150" s="134">
        <f>_xlfn.IFERROR(VLOOKUP(A150,'งบทดลอง รพ.'!$A$2:$C$602,3,0),0)</f>
        <v>0</v>
      </c>
      <c r="D150" s="25"/>
      <c r="E150" s="85" t="s">
        <v>1331</v>
      </c>
      <c r="F150" s="85" t="s">
        <v>12</v>
      </c>
      <c r="G150" s="81" t="s">
        <v>1466</v>
      </c>
      <c r="H150" s="81"/>
    </row>
    <row r="151" spans="1:8" ht="27.75">
      <c r="A151" s="138" t="s">
        <v>1053</v>
      </c>
      <c r="B151" s="138" t="s">
        <v>1054</v>
      </c>
      <c r="C151" s="134">
        <f>_xlfn.IFERROR(VLOOKUP(A151,'งบทดลอง รพ.'!$A$2:$C$602,3,0),0)</f>
        <v>0</v>
      </c>
      <c r="D151" s="25"/>
      <c r="E151" s="85" t="s">
        <v>1331</v>
      </c>
      <c r="F151" s="85" t="s">
        <v>12</v>
      </c>
      <c r="G151" s="81" t="s">
        <v>1466</v>
      </c>
      <c r="H151" s="81"/>
    </row>
    <row r="152" spans="1:8" ht="27.75">
      <c r="A152" s="141" t="s">
        <v>890</v>
      </c>
      <c r="B152" s="141" t="s">
        <v>891</v>
      </c>
      <c r="C152" s="134">
        <f>_xlfn.IFERROR(VLOOKUP(A152,'งบทดลอง รพ.'!$A$2:$C$602,3,0),0)</f>
        <v>0</v>
      </c>
      <c r="D152" s="25"/>
      <c r="E152" s="85" t="s">
        <v>1333</v>
      </c>
      <c r="F152" s="85" t="s">
        <v>12</v>
      </c>
      <c r="G152" s="81" t="s">
        <v>1409</v>
      </c>
      <c r="H152" s="81"/>
    </row>
    <row r="153" spans="1:8" ht="27.75">
      <c r="A153" s="141" t="s">
        <v>892</v>
      </c>
      <c r="B153" s="141" t="s">
        <v>893</v>
      </c>
      <c r="C153" s="134">
        <f>_xlfn.IFERROR(VLOOKUP(A153,'งบทดลอง รพ.'!$A$2:$C$602,3,0),0)</f>
        <v>0</v>
      </c>
      <c r="D153" s="25"/>
      <c r="E153" s="85" t="s">
        <v>1335</v>
      </c>
      <c r="F153" s="85" t="s">
        <v>12</v>
      </c>
      <c r="G153" s="81" t="s">
        <v>1409</v>
      </c>
      <c r="H153" s="81"/>
    </row>
    <row r="154" spans="1:8" ht="27.75">
      <c r="A154" s="141" t="s">
        <v>894</v>
      </c>
      <c r="B154" s="141" t="s">
        <v>895</v>
      </c>
      <c r="C154" s="134">
        <f>_xlfn.IFERROR(VLOOKUP(A154,'งบทดลอง รพ.'!$A$2:$C$602,3,0),0)</f>
        <v>0</v>
      </c>
      <c r="D154" s="25"/>
      <c r="E154" s="85" t="s">
        <v>1335</v>
      </c>
      <c r="F154" s="85" t="s">
        <v>12</v>
      </c>
      <c r="G154" s="81" t="s">
        <v>1409</v>
      </c>
      <c r="H154" s="81"/>
    </row>
    <row r="155" spans="1:8" ht="27.75">
      <c r="A155" s="141" t="s">
        <v>896</v>
      </c>
      <c r="B155" s="141" t="s">
        <v>897</v>
      </c>
      <c r="C155" s="134">
        <f>_xlfn.IFERROR(VLOOKUP(A155,'งบทดลอง รพ.'!$A$2:$C$602,3,0),0)</f>
        <v>2000000</v>
      </c>
      <c r="D155" s="25"/>
      <c r="E155" s="85" t="s">
        <v>1331</v>
      </c>
      <c r="F155" s="85" t="s">
        <v>12</v>
      </c>
      <c r="G155" s="81" t="s">
        <v>1409</v>
      </c>
      <c r="H155" s="81"/>
    </row>
    <row r="156" spans="1:8" ht="27.75">
      <c r="A156" s="141" t="s">
        <v>161</v>
      </c>
      <c r="B156" s="141" t="s">
        <v>162</v>
      </c>
      <c r="C156" s="134">
        <f>_xlfn.IFERROR(VLOOKUP(A156,'งบทดลอง รพ.'!$A$2:$C$602,3,0),0)</f>
        <v>0</v>
      </c>
      <c r="D156" s="25"/>
      <c r="E156" s="85" t="s">
        <v>1338</v>
      </c>
      <c r="F156" s="85" t="s">
        <v>16</v>
      </c>
      <c r="G156" s="81" t="s">
        <v>1409</v>
      </c>
      <c r="H156" s="81"/>
    </row>
    <row r="157" spans="1:8" ht="27.75">
      <c r="A157" s="138" t="s">
        <v>1055</v>
      </c>
      <c r="B157" s="138" t="s">
        <v>1056</v>
      </c>
      <c r="C157" s="134">
        <f>_xlfn.IFERROR(VLOOKUP(A157,'งบทดลอง รพ.'!$A$2:$C$602,3,0),0)</f>
        <v>0</v>
      </c>
      <c r="D157" s="25"/>
      <c r="E157" s="85" t="s">
        <v>1338</v>
      </c>
      <c r="F157" s="85" t="s">
        <v>16</v>
      </c>
      <c r="G157" s="81" t="s">
        <v>1407</v>
      </c>
      <c r="H157" s="81"/>
    </row>
    <row r="158" spans="1:8" ht="27.75">
      <c r="A158" s="141" t="s">
        <v>163</v>
      </c>
      <c r="B158" s="141" t="s">
        <v>1467</v>
      </c>
      <c r="C158" s="134">
        <f>_xlfn.IFERROR(VLOOKUP(A158,'งบทดลอง รพ.'!$A$2:$C$602,3,0),0)</f>
        <v>0</v>
      </c>
      <c r="D158" s="25"/>
      <c r="E158" s="85" t="s">
        <v>1338</v>
      </c>
      <c r="F158" s="85" t="s">
        <v>16</v>
      </c>
      <c r="G158" s="81" t="s">
        <v>1409</v>
      </c>
      <c r="H158" s="81"/>
    </row>
    <row r="159" spans="1:8" ht="27.75">
      <c r="A159" s="138" t="s">
        <v>1057</v>
      </c>
      <c r="B159" s="138" t="s">
        <v>1058</v>
      </c>
      <c r="C159" s="134">
        <f>_xlfn.IFERROR(VLOOKUP(A159,'งบทดลอง รพ.'!$A$2:$C$602,3,0),0)</f>
        <v>0</v>
      </c>
      <c r="D159" s="25"/>
      <c r="E159" s="85" t="s">
        <v>1338</v>
      </c>
      <c r="F159" s="85" t="s">
        <v>16</v>
      </c>
      <c r="G159" s="81" t="s">
        <v>1407</v>
      </c>
      <c r="H159" s="81"/>
    </row>
    <row r="160" spans="1:8" ht="27.75">
      <c r="A160" s="141" t="s">
        <v>164</v>
      </c>
      <c r="B160" s="141" t="s">
        <v>1468</v>
      </c>
      <c r="C160" s="134">
        <f>_xlfn.IFERROR(VLOOKUP(A160,'งบทดลอง รพ.'!$A$2:$C$602,3,0),0)</f>
        <v>0</v>
      </c>
      <c r="D160" s="25"/>
      <c r="E160" s="85" t="s">
        <v>1338</v>
      </c>
      <c r="F160" s="85" t="s">
        <v>16</v>
      </c>
      <c r="G160" s="81" t="s">
        <v>1409</v>
      </c>
      <c r="H160" s="81"/>
    </row>
    <row r="161" spans="1:8" ht="27.75">
      <c r="A161" s="138" t="s">
        <v>1059</v>
      </c>
      <c r="B161" s="138" t="s">
        <v>165</v>
      </c>
      <c r="C161" s="134">
        <f>_xlfn.IFERROR(VLOOKUP(A161,'งบทดลอง รพ.'!$A$2:$C$602,3,0),0)</f>
        <v>0</v>
      </c>
      <c r="D161" s="25"/>
      <c r="E161" s="85" t="s">
        <v>1338</v>
      </c>
      <c r="F161" s="85" t="s">
        <v>16</v>
      </c>
      <c r="G161" s="81" t="s">
        <v>1407</v>
      </c>
      <c r="H161" s="81"/>
    </row>
    <row r="162" spans="1:8" ht="27.75">
      <c r="A162" s="139" t="s">
        <v>1060</v>
      </c>
      <c r="B162" s="139" t="s">
        <v>1061</v>
      </c>
      <c r="C162" s="134">
        <f>_xlfn.IFERROR(VLOOKUP(A162,'งบทดลอง รพ.'!$A$2:$C$602,3,0),0)</f>
        <v>0</v>
      </c>
      <c r="D162" s="25"/>
      <c r="E162" s="85" t="s">
        <v>1339</v>
      </c>
      <c r="F162" s="85" t="s">
        <v>18</v>
      </c>
      <c r="G162" s="81" t="s">
        <v>1407</v>
      </c>
      <c r="H162" s="81"/>
    </row>
    <row r="163" spans="1:8" ht="27.75">
      <c r="A163" s="138" t="s">
        <v>1062</v>
      </c>
      <c r="B163" s="138" t="s">
        <v>1063</v>
      </c>
      <c r="C163" s="134">
        <f>_xlfn.IFERROR(VLOOKUP(A163,'งบทดลอง รพ.'!$A$2:$C$602,3,0),0)</f>
        <v>0</v>
      </c>
      <c r="D163" s="25"/>
      <c r="E163" s="85" t="s">
        <v>1338</v>
      </c>
      <c r="F163" s="85" t="s">
        <v>16</v>
      </c>
      <c r="G163" s="81" t="s">
        <v>1407</v>
      </c>
      <c r="H163" s="81"/>
    </row>
    <row r="164" spans="1:8" ht="27.75">
      <c r="A164" s="141" t="s">
        <v>166</v>
      </c>
      <c r="B164" s="141" t="s">
        <v>167</v>
      </c>
      <c r="C164" s="134">
        <f>_xlfn.IFERROR(VLOOKUP(A164,'งบทดลอง รพ.'!$A$2:$C$602,3,0),0)</f>
        <v>0</v>
      </c>
      <c r="D164" s="25"/>
      <c r="E164" s="85" t="s">
        <v>1338</v>
      </c>
      <c r="F164" s="85" t="s">
        <v>16</v>
      </c>
      <c r="G164" s="81" t="s">
        <v>1409</v>
      </c>
      <c r="H164" s="81"/>
    </row>
    <row r="165" spans="1:8" ht="27.75">
      <c r="A165" s="141" t="s">
        <v>168</v>
      </c>
      <c r="B165" s="141" t="s">
        <v>169</v>
      </c>
      <c r="C165" s="134">
        <f>_xlfn.IFERROR(VLOOKUP(A165,'งบทดลอง รพ.'!$A$2:$C$602,3,0),0)</f>
        <v>0</v>
      </c>
      <c r="D165" s="25"/>
      <c r="E165" s="85" t="s">
        <v>1338</v>
      </c>
      <c r="F165" s="85" t="s">
        <v>16</v>
      </c>
      <c r="G165" s="81" t="s">
        <v>1409</v>
      </c>
      <c r="H165" s="81"/>
    </row>
    <row r="166" spans="1:8" ht="27.75">
      <c r="A166" s="139" t="s">
        <v>1064</v>
      </c>
      <c r="B166" s="139" t="s">
        <v>1065</v>
      </c>
      <c r="C166" s="134">
        <f>_xlfn.IFERROR(VLOOKUP(A166,'งบทดลอง รพ.'!$A$2:$C$602,3,0),0)</f>
        <v>0</v>
      </c>
      <c r="D166" s="25"/>
      <c r="E166" s="85" t="s">
        <v>1339</v>
      </c>
      <c r="F166" s="85" t="s">
        <v>18</v>
      </c>
      <c r="G166" s="81" t="s">
        <v>1407</v>
      </c>
      <c r="H166" s="81"/>
    </row>
    <row r="167" spans="1:8" ht="27.75">
      <c r="A167" s="139" t="s">
        <v>1066</v>
      </c>
      <c r="B167" s="139" t="s">
        <v>1067</v>
      </c>
      <c r="C167" s="134">
        <f>_xlfn.IFERROR(VLOOKUP(A167,'งบทดลอง รพ.'!$A$2:$C$602,3,0),0)</f>
        <v>0</v>
      </c>
      <c r="D167" s="25"/>
      <c r="E167" s="85" t="s">
        <v>1339</v>
      </c>
      <c r="F167" s="85" t="s">
        <v>18</v>
      </c>
      <c r="G167" s="81" t="s">
        <v>1407</v>
      </c>
      <c r="H167" s="81"/>
    </row>
    <row r="168" spans="1:8" ht="27.75">
      <c r="A168" s="142" t="s">
        <v>170</v>
      </c>
      <c r="B168" s="142" t="s">
        <v>171</v>
      </c>
      <c r="C168" s="134">
        <f>_xlfn.IFERROR(VLOOKUP(A168,'งบทดลอง รพ.'!$A$2:$C$602,3,0),0)</f>
        <v>0</v>
      </c>
      <c r="D168" s="25"/>
      <c r="E168" s="85" t="s">
        <v>1339</v>
      </c>
      <c r="F168" s="85" t="s">
        <v>18</v>
      </c>
      <c r="G168" s="81" t="s">
        <v>1409</v>
      </c>
      <c r="H168" s="81"/>
    </row>
    <row r="169" spans="1:8" ht="27.75">
      <c r="A169" s="142" t="s">
        <v>172</v>
      </c>
      <c r="B169" s="142" t="s">
        <v>173</v>
      </c>
      <c r="C169" s="134">
        <f>_xlfn.IFERROR(VLOOKUP(A169,'งบทดลอง รพ.'!$A$2:$C$602,3,0),0)</f>
        <v>0</v>
      </c>
      <c r="D169" s="25"/>
      <c r="E169" s="85" t="s">
        <v>1339</v>
      </c>
      <c r="F169" s="85" t="s">
        <v>18</v>
      </c>
      <c r="G169" s="81" t="s">
        <v>1409</v>
      </c>
      <c r="H169" s="81"/>
    </row>
    <row r="170" spans="1:8" ht="27.75">
      <c r="A170" s="141" t="s">
        <v>898</v>
      </c>
      <c r="B170" s="141" t="s">
        <v>165</v>
      </c>
      <c r="C170" s="134">
        <f>_xlfn.IFERROR(VLOOKUP(A170,'งบทดลอง รพ.'!$A$2:$C$602,3,0),0)</f>
        <v>0</v>
      </c>
      <c r="D170" s="25"/>
      <c r="E170" s="85" t="s">
        <v>1338</v>
      </c>
      <c r="F170" s="85" t="s">
        <v>16</v>
      </c>
      <c r="G170" s="81" t="s">
        <v>1409</v>
      </c>
      <c r="H170" s="81"/>
    </row>
    <row r="171" spans="1:8" ht="27.75">
      <c r="A171" s="141" t="s">
        <v>174</v>
      </c>
      <c r="B171" s="141" t="s">
        <v>1469</v>
      </c>
      <c r="C171" s="134">
        <f>_xlfn.IFERROR(VLOOKUP(A171,'งบทดลอง รพ.'!$A$2:$C$602,3,0),0)</f>
        <v>0</v>
      </c>
      <c r="D171" s="25"/>
      <c r="E171" s="85" t="s">
        <v>1338</v>
      </c>
      <c r="F171" s="85" t="s">
        <v>16</v>
      </c>
      <c r="G171" s="81" t="s">
        <v>1409</v>
      </c>
      <c r="H171" s="81"/>
    </row>
    <row r="172" spans="1:8" ht="27.75">
      <c r="A172" s="141" t="s">
        <v>899</v>
      </c>
      <c r="B172" s="141" t="s">
        <v>900</v>
      </c>
      <c r="C172" s="134">
        <f>_xlfn.IFERROR(VLOOKUP(A172,'งบทดลอง รพ.'!$A$2:$C$602,3,0),0)</f>
        <v>0</v>
      </c>
      <c r="D172" s="25"/>
      <c r="E172" s="85" t="s">
        <v>1338</v>
      </c>
      <c r="F172" s="85" t="s">
        <v>16</v>
      </c>
      <c r="G172" s="81" t="s">
        <v>1409</v>
      </c>
      <c r="H172" s="81"/>
    </row>
    <row r="173" spans="1:8" ht="27.75">
      <c r="A173" s="141" t="s">
        <v>901</v>
      </c>
      <c r="B173" s="141" t="s">
        <v>902</v>
      </c>
      <c r="C173" s="134">
        <f>_xlfn.IFERROR(VLOOKUP(A173,'งบทดลอง รพ.'!$A$2:$C$602,3,0),0)</f>
        <v>0</v>
      </c>
      <c r="D173" s="25"/>
      <c r="E173" s="85" t="s">
        <v>1338</v>
      </c>
      <c r="F173" s="85" t="s">
        <v>16</v>
      </c>
      <c r="G173" s="81" t="s">
        <v>1409</v>
      </c>
      <c r="H173" s="81"/>
    </row>
    <row r="174" spans="1:8" ht="27.75">
      <c r="A174" s="141" t="s">
        <v>175</v>
      </c>
      <c r="B174" s="141" t="s">
        <v>1470</v>
      </c>
      <c r="C174" s="134">
        <f>_xlfn.IFERROR(VLOOKUP(A174,'งบทดลอง รพ.'!$A$2:$C$602,3,0),0)</f>
        <v>152940.22</v>
      </c>
      <c r="D174" s="25"/>
      <c r="E174" s="85" t="s">
        <v>1338</v>
      </c>
      <c r="F174" s="85" t="s">
        <v>16</v>
      </c>
      <c r="G174" s="81" t="s">
        <v>1409</v>
      </c>
      <c r="H174" s="81"/>
    </row>
    <row r="175" spans="1:8" ht="27.75">
      <c r="A175" s="138" t="s">
        <v>1068</v>
      </c>
      <c r="B175" s="138" t="s">
        <v>1069</v>
      </c>
      <c r="C175" s="134">
        <f>_xlfn.IFERROR(VLOOKUP(A175,'งบทดลอง รพ.'!$A$2:$C$602,3,0),0)</f>
        <v>0</v>
      </c>
      <c r="D175" s="25"/>
      <c r="E175" s="85" t="s">
        <v>1338</v>
      </c>
      <c r="F175" s="85" t="s">
        <v>16</v>
      </c>
      <c r="G175" s="81" t="s">
        <v>1407</v>
      </c>
      <c r="H175" s="81"/>
    </row>
    <row r="176" spans="1:8" ht="27.75">
      <c r="A176" s="141" t="s">
        <v>176</v>
      </c>
      <c r="B176" s="141" t="s">
        <v>177</v>
      </c>
      <c r="C176" s="134">
        <f>_xlfn.IFERROR(VLOOKUP(A176,'งบทดลอง รพ.'!$A$2:$C$602,3,0),0)</f>
        <v>0</v>
      </c>
      <c r="D176" s="25"/>
      <c r="E176" s="85" t="s">
        <v>1338</v>
      </c>
      <c r="F176" s="85" t="s">
        <v>16</v>
      </c>
      <c r="G176" s="81" t="s">
        <v>1409</v>
      </c>
      <c r="H176" s="81"/>
    </row>
    <row r="177" spans="1:8" ht="27.75">
      <c r="A177" s="141" t="s">
        <v>178</v>
      </c>
      <c r="B177" s="141" t="s">
        <v>179</v>
      </c>
      <c r="C177" s="134">
        <f>_xlfn.IFERROR(VLOOKUP(A177,'งบทดลอง รพ.'!$A$2:$C$602,3,0),0)</f>
        <v>0</v>
      </c>
      <c r="D177" s="25"/>
      <c r="E177" s="85" t="s">
        <v>1338</v>
      </c>
      <c r="F177" s="85" t="s">
        <v>16</v>
      </c>
      <c r="G177" s="81" t="s">
        <v>1409</v>
      </c>
      <c r="H177" s="81"/>
    </row>
    <row r="178" spans="1:8" ht="27.75">
      <c r="A178" s="141" t="s">
        <v>903</v>
      </c>
      <c r="B178" s="141" t="s">
        <v>904</v>
      </c>
      <c r="C178" s="134">
        <f>_xlfn.IFERROR(VLOOKUP(A178,'งบทดลอง รพ.'!$A$2:$C$602,3,0),0)</f>
        <v>0</v>
      </c>
      <c r="D178" s="25"/>
      <c r="E178" s="85" t="s">
        <v>1338</v>
      </c>
      <c r="F178" s="85" t="s">
        <v>16</v>
      </c>
      <c r="G178" s="81" t="s">
        <v>1409</v>
      </c>
      <c r="H178" s="81"/>
    </row>
    <row r="179" spans="1:8" ht="27.75">
      <c r="A179" s="138" t="s">
        <v>1070</v>
      </c>
      <c r="B179" s="138" t="s">
        <v>1071</v>
      </c>
      <c r="C179" s="134">
        <f>_xlfn.IFERROR(VLOOKUP(A179,'งบทดลอง รพ.'!$A$2:$C$602,3,0),0)</f>
        <v>0</v>
      </c>
      <c r="D179" s="25"/>
      <c r="E179" s="85" t="s">
        <v>1337</v>
      </c>
      <c r="F179" s="85" t="s">
        <v>14</v>
      </c>
      <c r="G179" s="81" t="s">
        <v>1407</v>
      </c>
      <c r="H179" s="81"/>
    </row>
    <row r="180" spans="1:8" ht="27.75">
      <c r="A180" s="141" t="s">
        <v>143</v>
      </c>
      <c r="B180" s="141" t="s">
        <v>1471</v>
      </c>
      <c r="C180" s="134">
        <f>_xlfn.IFERROR(VLOOKUP(A180,'งบทดลอง รพ.'!$A$2:$C$602,3,0),0)</f>
        <v>75183740</v>
      </c>
      <c r="D180" s="25"/>
      <c r="E180" s="85" t="s">
        <v>1337</v>
      </c>
      <c r="F180" s="85" t="s">
        <v>14</v>
      </c>
      <c r="G180" s="81" t="s">
        <v>1409</v>
      </c>
      <c r="H180" s="81"/>
    </row>
    <row r="181" spans="1:8" ht="27.75">
      <c r="A181" s="142" t="s">
        <v>217</v>
      </c>
      <c r="B181" s="142" t="s">
        <v>1472</v>
      </c>
      <c r="C181" s="134">
        <f>_xlfn.IFERROR(VLOOKUP(A181,'งบทดลอง รพ.'!$A$2:$C$602,3,0),0)</f>
        <v>0</v>
      </c>
      <c r="D181" s="25"/>
      <c r="E181" s="85" t="s">
        <v>1340</v>
      </c>
      <c r="F181" s="85" t="s">
        <v>18</v>
      </c>
      <c r="G181" s="81" t="s">
        <v>1409</v>
      </c>
      <c r="H181" s="81"/>
    </row>
    <row r="182" spans="1:8" ht="27.75">
      <c r="A182" s="141" t="s">
        <v>180</v>
      </c>
      <c r="B182" s="141" t="s">
        <v>1473</v>
      </c>
      <c r="C182" s="134">
        <f>_xlfn.IFERROR(VLOOKUP(A182,'งบทดลอง รพ.'!$A$2:$C$602,3,0),0)</f>
        <v>0</v>
      </c>
      <c r="D182" s="25"/>
      <c r="E182" s="85" t="s">
        <v>1338</v>
      </c>
      <c r="F182" s="85" t="s">
        <v>16</v>
      </c>
      <c r="G182" s="81" t="s">
        <v>1409</v>
      </c>
      <c r="H182" s="81"/>
    </row>
    <row r="183" spans="1:8" ht="27.75">
      <c r="A183" s="141" t="s">
        <v>181</v>
      </c>
      <c r="B183" s="141" t="s">
        <v>1474</v>
      </c>
      <c r="C183" s="134">
        <f>_xlfn.IFERROR(VLOOKUP(A183,'งบทดลอง รพ.'!$A$2:$C$602,3,0),0)</f>
        <v>0</v>
      </c>
      <c r="D183" s="25"/>
      <c r="E183" s="85" t="s">
        <v>1338</v>
      </c>
      <c r="F183" s="85" t="s">
        <v>16</v>
      </c>
      <c r="G183" s="81" t="s">
        <v>1409</v>
      </c>
      <c r="H183" s="81"/>
    </row>
    <row r="184" spans="1:8" ht="27.75">
      <c r="A184" s="141" t="s">
        <v>182</v>
      </c>
      <c r="B184" s="141" t="s">
        <v>1475</v>
      </c>
      <c r="C184" s="134">
        <f>_xlfn.IFERROR(VLOOKUP(A184,'งบทดลอง รพ.'!$A$2:$C$602,3,0),0)</f>
        <v>0</v>
      </c>
      <c r="D184" s="25"/>
      <c r="E184" s="85" t="s">
        <v>1338</v>
      </c>
      <c r="F184" s="85" t="s">
        <v>16</v>
      </c>
      <c r="G184" s="81" t="s">
        <v>1409</v>
      </c>
      <c r="H184" s="81"/>
    </row>
    <row r="185" spans="1:8" ht="27.75">
      <c r="A185" s="141" t="s">
        <v>183</v>
      </c>
      <c r="B185" s="141" t="s">
        <v>1476</v>
      </c>
      <c r="C185" s="134">
        <f>_xlfn.IFERROR(VLOOKUP(A185,'งบทดลอง รพ.'!$A$2:$C$602,3,0),0)</f>
        <v>2454906.4</v>
      </c>
      <c r="D185" s="25"/>
      <c r="E185" s="85" t="s">
        <v>1338</v>
      </c>
      <c r="F185" s="85" t="s">
        <v>16</v>
      </c>
      <c r="G185" s="81" t="s">
        <v>1409</v>
      </c>
      <c r="H185" s="81"/>
    </row>
    <row r="186" spans="1:8" ht="27.75">
      <c r="A186" s="141" t="s">
        <v>184</v>
      </c>
      <c r="B186" s="141" t="s">
        <v>1477</v>
      </c>
      <c r="C186" s="134">
        <f>_xlfn.IFERROR(VLOOKUP(A186,'งบทดลอง รพ.'!$A$2:$C$602,3,0),0)</f>
        <v>0</v>
      </c>
      <c r="D186" s="25"/>
      <c r="E186" s="85" t="s">
        <v>1338</v>
      </c>
      <c r="F186" s="85" t="s">
        <v>16</v>
      </c>
      <c r="G186" s="81" t="s">
        <v>1409</v>
      </c>
      <c r="H186" s="81"/>
    </row>
    <row r="187" spans="1:8" ht="27.75">
      <c r="A187" s="141" t="s">
        <v>905</v>
      </c>
      <c r="B187" s="141" t="s">
        <v>906</v>
      </c>
      <c r="C187" s="134">
        <f>_xlfn.IFERROR(VLOOKUP(A187,'งบทดลอง รพ.'!$A$2:$C$602,3,0),0)</f>
        <v>0</v>
      </c>
      <c r="D187" s="25"/>
      <c r="E187" s="85" t="s">
        <v>1338</v>
      </c>
      <c r="F187" s="85" t="s">
        <v>16</v>
      </c>
      <c r="G187" s="81" t="s">
        <v>1409</v>
      </c>
      <c r="H187" s="81"/>
    </row>
    <row r="188" spans="1:8" ht="27.75">
      <c r="A188" s="141" t="s">
        <v>907</v>
      </c>
      <c r="B188" s="141" t="s">
        <v>908</v>
      </c>
      <c r="C188" s="134">
        <f>_xlfn.IFERROR(VLOOKUP(A188,'งบทดลอง รพ.'!$A$2:$C$602,3,0),0)</f>
        <v>0</v>
      </c>
      <c r="D188" s="25"/>
      <c r="E188" s="85" t="s">
        <v>1338</v>
      </c>
      <c r="F188" s="85" t="s">
        <v>16</v>
      </c>
      <c r="G188" s="81" t="s">
        <v>1409</v>
      </c>
      <c r="H188" s="81"/>
    </row>
    <row r="189" spans="1:8" ht="27.75">
      <c r="A189" s="141" t="s">
        <v>909</v>
      </c>
      <c r="B189" s="141" t="s">
        <v>910</v>
      </c>
      <c r="C189" s="134">
        <f>_xlfn.IFERROR(VLOOKUP(A189,'งบทดลอง รพ.'!$A$2:$C$602,3,0),0)</f>
        <v>0</v>
      </c>
      <c r="D189" s="25"/>
      <c r="E189" s="85" t="s">
        <v>1338</v>
      </c>
      <c r="F189" s="85" t="s">
        <v>16</v>
      </c>
      <c r="G189" s="81" t="s">
        <v>1409</v>
      </c>
      <c r="H189" s="81"/>
    </row>
    <row r="190" spans="1:8" ht="27.75">
      <c r="A190" s="141" t="s">
        <v>185</v>
      </c>
      <c r="B190" s="141" t="s">
        <v>1478</v>
      </c>
      <c r="C190" s="134">
        <f>_xlfn.IFERROR(VLOOKUP(A190,'งบทดลอง รพ.'!$A$2:$C$602,3,0),0)</f>
        <v>0</v>
      </c>
      <c r="D190" s="25"/>
      <c r="E190" s="85" t="s">
        <v>1338</v>
      </c>
      <c r="F190" s="85" t="s">
        <v>16</v>
      </c>
      <c r="G190" s="81" t="s">
        <v>1409</v>
      </c>
      <c r="H190" s="81"/>
    </row>
    <row r="191" spans="1:8" ht="27.75">
      <c r="A191" s="141" t="s">
        <v>911</v>
      </c>
      <c r="B191" s="141" t="s">
        <v>912</v>
      </c>
      <c r="C191" s="134">
        <f>_xlfn.IFERROR(VLOOKUP(A191,'งบทดลอง รพ.'!$A$2:$C$602,3,0),0)</f>
        <v>0</v>
      </c>
      <c r="D191" s="25"/>
      <c r="E191" s="85" t="s">
        <v>1338</v>
      </c>
      <c r="F191" s="85" t="s">
        <v>16</v>
      </c>
      <c r="G191" s="81" t="s">
        <v>1409</v>
      </c>
      <c r="H191" s="81"/>
    </row>
    <row r="192" spans="1:8" ht="27.75">
      <c r="A192" s="141" t="s">
        <v>186</v>
      </c>
      <c r="B192" s="141" t="s">
        <v>1479</v>
      </c>
      <c r="C192" s="134">
        <f>_xlfn.IFERROR(VLOOKUP(A192,'งบทดลอง รพ.'!$A$2:$C$602,3,0),0)</f>
        <v>0</v>
      </c>
      <c r="D192" s="25"/>
      <c r="E192" s="85" t="s">
        <v>1338</v>
      </c>
      <c r="F192" s="85" t="s">
        <v>16</v>
      </c>
      <c r="G192" s="81" t="s">
        <v>1409</v>
      </c>
      <c r="H192" s="81"/>
    </row>
    <row r="193" spans="1:8" ht="27.75">
      <c r="A193" s="138" t="s">
        <v>1072</v>
      </c>
      <c r="B193" s="138" t="s">
        <v>1073</v>
      </c>
      <c r="C193" s="134">
        <f>_xlfn.IFERROR(VLOOKUP(A193,'งบทดลอง รพ.'!$A$2:$C$602,3,0),0)</f>
        <v>0</v>
      </c>
      <c r="D193" s="25"/>
      <c r="E193" s="85" t="s">
        <v>1338</v>
      </c>
      <c r="F193" s="85" t="s">
        <v>16</v>
      </c>
      <c r="G193" s="81" t="s">
        <v>1407</v>
      </c>
      <c r="H193" s="81"/>
    </row>
    <row r="194" spans="1:8" ht="27.75">
      <c r="A194" s="138" t="s">
        <v>1074</v>
      </c>
      <c r="B194" s="138" t="s">
        <v>1075</v>
      </c>
      <c r="C194" s="134">
        <f>_xlfn.IFERROR(VLOOKUP(A194,'งบทดลอง รพ.'!$A$2:$C$602,3,0),0)</f>
        <v>0</v>
      </c>
      <c r="D194" s="25"/>
      <c r="E194" s="85" t="s">
        <v>1338</v>
      </c>
      <c r="F194" s="85" t="s">
        <v>16</v>
      </c>
      <c r="G194" s="81" t="s">
        <v>1407</v>
      </c>
      <c r="H194" s="81"/>
    </row>
    <row r="195" spans="1:8" ht="27.75">
      <c r="A195" s="138" t="s">
        <v>1076</v>
      </c>
      <c r="B195" s="138" t="s">
        <v>1077</v>
      </c>
      <c r="C195" s="134">
        <f>_xlfn.IFERROR(VLOOKUP(A195,'งบทดลอง รพ.'!$A$2:$C$602,3,0),0)</f>
        <v>0</v>
      </c>
      <c r="D195" s="25"/>
      <c r="E195" s="85" t="s">
        <v>1338</v>
      </c>
      <c r="F195" s="85" t="s">
        <v>16</v>
      </c>
      <c r="G195" s="81" t="s">
        <v>1407</v>
      </c>
      <c r="H195" s="81"/>
    </row>
    <row r="196" spans="1:8" ht="27.75">
      <c r="A196" s="138" t="s">
        <v>1078</v>
      </c>
      <c r="B196" s="138" t="s">
        <v>1079</v>
      </c>
      <c r="C196" s="134">
        <f>_xlfn.IFERROR(VLOOKUP(A196,'งบทดลอง รพ.'!$A$2:$C$602,3,0),0)</f>
        <v>0</v>
      </c>
      <c r="D196" s="25"/>
      <c r="E196" s="85" t="s">
        <v>1338</v>
      </c>
      <c r="F196" s="85" t="s">
        <v>16</v>
      </c>
      <c r="G196" s="81" t="s">
        <v>1407</v>
      </c>
      <c r="H196" s="81"/>
    </row>
    <row r="197" spans="1:8" ht="27.75">
      <c r="A197" s="138" t="s">
        <v>1080</v>
      </c>
      <c r="B197" s="138" t="s">
        <v>1081</v>
      </c>
      <c r="C197" s="134">
        <f>_xlfn.IFERROR(VLOOKUP(A197,'งบทดลอง รพ.'!$A$2:$C$602,3,0),0)</f>
        <v>0</v>
      </c>
      <c r="D197" s="25"/>
      <c r="E197" s="85" t="s">
        <v>1338</v>
      </c>
      <c r="F197" s="85" t="s">
        <v>16</v>
      </c>
      <c r="G197" s="81" t="s">
        <v>1407</v>
      </c>
      <c r="H197" s="81"/>
    </row>
    <row r="198" spans="1:8" ht="27.75">
      <c r="A198" s="141" t="s">
        <v>187</v>
      </c>
      <c r="B198" s="141" t="s">
        <v>188</v>
      </c>
      <c r="C198" s="134">
        <f>_xlfn.IFERROR(VLOOKUP(A198,'งบทดลอง รพ.'!$A$2:$C$602,3,0),0)</f>
        <v>0</v>
      </c>
      <c r="D198" s="25"/>
      <c r="E198" s="85" t="s">
        <v>1338</v>
      </c>
      <c r="F198" s="85" t="s">
        <v>16</v>
      </c>
      <c r="G198" s="81" t="s">
        <v>1409</v>
      </c>
      <c r="H198" s="81"/>
    </row>
    <row r="199" spans="1:8" ht="27.75">
      <c r="A199" s="141" t="s">
        <v>189</v>
      </c>
      <c r="B199" s="141" t="s">
        <v>190</v>
      </c>
      <c r="C199" s="134">
        <f>_xlfn.IFERROR(VLOOKUP(A199,'งบทดลอง รพ.'!$A$2:$C$602,3,0),0)</f>
        <v>0</v>
      </c>
      <c r="D199" s="25"/>
      <c r="E199" s="85" t="s">
        <v>1338</v>
      </c>
      <c r="F199" s="85" t="s">
        <v>16</v>
      </c>
      <c r="G199" s="81" t="s">
        <v>1409</v>
      </c>
      <c r="H199" s="81"/>
    </row>
    <row r="200" spans="1:8" ht="27.75">
      <c r="A200" s="141" t="s">
        <v>139</v>
      </c>
      <c r="B200" s="141" t="s">
        <v>140</v>
      </c>
      <c r="C200" s="134">
        <f>_xlfn.IFERROR(VLOOKUP(A200,'งบทดลอง รพ.'!$A$2:$C$602,3,0),0)</f>
        <v>0</v>
      </c>
      <c r="D200" s="25"/>
      <c r="E200" s="85" t="s">
        <v>1331</v>
      </c>
      <c r="F200" s="85" t="s">
        <v>12</v>
      </c>
      <c r="G200" s="81" t="s">
        <v>1409</v>
      </c>
      <c r="H200" s="81"/>
    </row>
    <row r="201" spans="1:8" ht="27.75">
      <c r="A201" s="141" t="s">
        <v>141</v>
      </c>
      <c r="B201" s="141" t="s">
        <v>142</v>
      </c>
      <c r="C201" s="134">
        <f>_xlfn.IFERROR(VLOOKUP(A201,'งบทดลอง รพ.'!$A$2:$C$602,3,0),0)</f>
        <v>0</v>
      </c>
      <c r="D201" s="25"/>
      <c r="E201" s="85" t="s">
        <v>1331</v>
      </c>
      <c r="F201" s="85" t="s">
        <v>12</v>
      </c>
      <c r="G201" s="81" t="s">
        <v>1409</v>
      </c>
      <c r="H201" s="81"/>
    </row>
    <row r="202" spans="1:8" ht="27.75">
      <c r="A202" s="138" t="s">
        <v>1082</v>
      </c>
      <c r="B202" s="138" t="s">
        <v>1083</v>
      </c>
      <c r="C202" s="134">
        <f>_xlfn.IFERROR(VLOOKUP(A202,'งบทดลอง รพ.'!$A$2:$C$602,3,0),0)</f>
        <v>0</v>
      </c>
      <c r="D202" s="25"/>
      <c r="E202" s="85" t="s">
        <v>1338</v>
      </c>
      <c r="F202" s="85" t="s">
        <v>16</v>
      </c>
      <c r="G202" s="81" t="s">
        <v>1407</v>
      </c>
      <c r="H202" s="81"/>
    </row>
    <row r="203" spans="1:8" ht="27.75">
      <c r="A203" s="141" t="s">
        <v>191</v>
      </c>
      <c r="B203" s="141" t="s">
        <v>192</v>
      </c>
      <c r="C203" s="134">
        <f>_xlfn.IFERROR(VLOOKUP(A203,'งบทดลอง รพ.'!$A$2:$C$602,3,0),0)</f>
        <v>0</v>
      </c>
      <c r="D203" s="25"/>
      <c r="E203" s="85" t="s">
        <v>1338</v>
      </c>
      <c r="F203" s="85" t="s">
        <v>16</v>
      </c>
      <c r="G203" s="81" t="s">
        <v>1409</v>
      </c>
      <c r="H203" s="81"/>
    </row>
    <row r="204" spans="1:8" ht="27.75">
      <c r="A204" s="138" t="s">
        <v>1084</v>
      </c>
      <c r="B204" s="138" t="s">
        <v>1085</v>
      </c>
      <c r="C204" s="134">
        <f>_xlfn.IFERROR(VLOOKUP(A204,'งบทดลอง รพ.'!$A$2:$C$602,3,0),0)</f>
        <v>0</v>
      </c>
      <c r="D204" s="25"/>
      <c r="E204" s="85" t="s">
        <v>1338</v>
      </c>
      <c r="F204" s="85" t="s">
        <v>16</v>
      </c>
      <c r="G204" s="81" t="s">
        <v>1407</v>
      </c>
      <c r="H204" s="81"/>
    </row>
    <row r="205" spans="1:8" ht="27.75">
      <c r="A205" s="141" t="s">
        <v>193</v>
      </c>
      <c r="B205" s="141" t="s">
        <v>194</v>
      </c>
      <c r="C205" s="134">
        <f>_xlfn.IFERROR(VLOOKUP(A205,'งบทดลอง รพ.'!$A$2:$C$602,3,0),0)</f>
        <v>0</v>
      </c>
      <c r="D205" s="25"/>
      <c r="E205" s="85" t="s">
        <v>1338</v>
      </c>
      <c r="F205" s="85" t="s">
        <v>16</v>
      </c>
      <c r="G205" s="81" t="s">
        <v>1409</v>
      </c>
      <c r="H205" s="81"/>
    </row>
    <row r="206" spans="1:8" ht="27.75">
      <c r="A206" s="141" t="s">
        <v>195</v>
      </c>
      <c r="B206" s="141" t="s">
        <v>196</v>
      </c>
      <c r="C206" s="134">
        <f>_xlfn.IFERROR(VLOOKUP(A206,'งบทดลอง รพ.'!$A$2:$C$602,3,0),0)</f>
        <v>0</v>
      </c>
      <c r="D206" s="25"/>
      <c r="E206" s="85" t="s">
        <v>1338</v>
      </c>
      <c r="F206" s="85" t="s">
        <v>16</v>
      </c>
      <c r="G206" s="81" t="s">
        <v>1409</v>
      </c>
      <c r="H206" s="81"/>
    </row>
    <row r="207" spans="1:8" ht="27.75">
      <c r="A207" s="141" t="s">
        <v>197</v>
      </c>
      <c r="B207" s="141" t="s">
        <v>198</v>
      </c>
      <c r="C207" s="134">
        <f>_xlfn.IFERROR(VLOOKUP(A207,'งบทดลอง รพ.'!$A$2:$C$602,3,0),0)</f>
        <v>76694</v>
      </c>
      <c r="D207" s="25"/>
      <c r="E207" s="85" t="s">
        <v>1338</v>
      </c>
      <c r="F207" s="85" t="s">
        <v>16</v>
      </c>
      <c r="G207" s="81" t="s">
        <v>1409</v>
      </c>
      <c r="H207" s="81"/>
    </row>
    <row r="208" spans="1:8" ht="27.75">
      <c r="A208" s="138" t="s">
        <v>1086</v>
      </c>
      <c r="B208" s="138" t="s">
        <v>1087</v>
      </c>
      <c r="C208" s="134">
        <f>_xlfn.IFERROR(VLOOKUP(A208,'งบทดลอง รพ.'!$A$2:$C$602,3,0),0)</f>
        <v>0</v>
      </c>
      <c r="D208" s="25"/>
      <c r="E208" s="85" t="s">
        <v>1338</v>
      </c>
      <c r="F208" s="85" t="s">
        <v>16</v>
      </c>
      <c r="G208" s="81" t="s">
        <v>1407</v>
      </c>
      <c r="H208" s="81"/>
    </row>
    <row r="209" spans="1:8" ht="27.75">
      <c r="A209" s="138" t="s">
        <v>1088</v>
      </c>
      <c r="B209" s="138" t="s">
        <v>1089</v>
      </c>
      <c r="C209" s="134">
        <f>_xlfn.IFERROR(VLOOKUP(A209,'งบทดลอง รพ.'!$A$2:$C$602,3,0),0)</f>
        <v>0</v>
      </c>
      <c r="D209" s="25"/>
      <c r="E209" s="85" t="s">
        <v>1338</v>
      </c>
      <c r="F209" s="85" t="s">
        <v>16</v>
      </c>
      <c r="G209" s="81" t="s">
        <v>1407</v>
      </c>
      <c r="H209" s="81"/>
    </row>
    <row r="210" spans="1:8" ht="27.75">
      <c r="A210" s="141" t="s">
        <v>199</v>
      </c>
      <c r="B210" s="141" t="s">
        <v>200</v>
      </c>
      <c r="C210" s="134">
        <f>_xlfn.IFERROR(VLOOKUP(A210,'งบทดลอง รพ.'!$A$2:$C$602,3,0),0)</f>
        <v>39271</v>
      </c>
      <c r="D210" s="25"/>
      <c r="E210" s="85" t="s">
        <v>1338</v>
      </c>
      <c r="F210" s="85" t="s">
        <v>16</v>
      </c>
      <c r="G210" s="81" t="s">
        <v>1409</v>
      </c>
      <c r="H210" s="81"/>
    </row>
    <row r="211" spans="1:8" ht="27.75">
      <c r="A211" s="141" t="s">
        <v>201</v>
      </c>
      <c r="B211" s="141" t="s">
        <v>1480</v>
      </c>
      <c r="C211" s="134">
        <f>_xlfn.IFERROR(VLOOKUP(A211,'งบทดลอง รพ.'!$A$2:$C$602,3,0),0)</f>
        <v>0</v>
      </c>
      <c r="D211" s="25"/>
      <c r="E211" s="85" t="s">
        <v>1338</v>
      </c>
      <c r="F211" s="85" t="s">
        <v>16</v>
      </c>
      <c r="G211" s="81" t="s">
        <v>1409</v>
      </c>
      <c r="H211" s="81"/>
    </row>
    <row r="212" spans="1:8" ht="27.75">
      <c r="A212" s="141" t="s">
        <v>202</v>
      </c>
      <c r="B212" s="141" t="s">
        <v>1481</v>
      </c>
      <c r="C212" s="134">
        <f>_xlfn.IFERROR(VLOOKUP(A212,'งบทดลอง รพ.'!$A$2:$C$602,3,0),0)</f>
        <v>0</v>
      </c>
      <c r="D212" s="25"/>
      <c r="E212" s="85" t="s">
        <v>1338</v>
      </c>
      <c r="F212" s="85" t="s">
        <v>16</v>
      </c>
      <c r="G212" s="81" t="s">
        <v>1409</v>
      </c>
      <c r="H212" s="81"/>
    </row>
    <row r="213" spans="1:8" ht="27.75">
      <c r="A213" s="141" t="s">
        <v>203</v>
      </c>
      <c r="B213" s="141" t="s">
        <v>204</v>
      </c>
      <c r="C213" s="134">
        <f>_xlfn.IFERROR(VLOOKUP(A213,'งบทดลอง รพ.'!$A$2:$C$602,3,0),0)</f>
        <v>0</v>
      </c>
      <c r="D213" s="25"/>
      <c r="E213" s="85" t="s">
        <v>1338</v>
      </c>
      <c r="F213" s="85" t="s">
        <v>16</v>
      </c>
      <c r="G213" s="81" t="s">
        <v>1409</v>
      </c>
      <c r="H213" s="81"/>
    </row>
    <row r="214" spans="1:8" ht="27.75">
      <c r="A214" s="141" t="s">
        <v>205</v>
      </c>
      <c r="B214" s="141" t="s">
        <v>206</v>
      </c>
      <c r="C214" s="134">
        <f>_xlfn.IFERROR(VLOOKUP(A214,'งบทดลอง รพ.'!$A$2:$C$602,3,0),0)</f>
        <v>0</v>
      </c>
      <c r="D214" s="25"/>
      <c r="E214" s="85" t="s">
        <v>1338</v>
      </c>
      <c r="F214" s="85" t="s">
        <v>16</v>
      </c>
      <c r="G214" s="81" t="s">
        <v>1409</v>
      </c>
      <c r="H214" s="81"/>
    </row>
    <row r="215" spans="1:8" ht="27.75">
      <c r="A215" s="142" t="s">
        <v>218</v>
      </c>
      <c r="B215" s="142" t="s">
        <v>219</v>
      </c>
      <c r="C215" s="134">
        <f>_xlfn.IFERROR(VLOOKUP(A215,'งบทดลอง รพ.'!$A$2:$C$602,3,0),0)</f>
        <v>0</v>
      </c>
      <c r="D215" s="25"/>
      <c r="E215" s="85" t="s">
        <v>1340</v>
      </c>
      <c r="F215" s="85" t="s">
        <v>18</v>
      </c>
      <c r="G215" s="81" t="s">
        <v>1409</v>
      </c>
      <c r="H215" s="81"/>
    </row>
    <row r="216" spans="1:8" ht="27.75">
      <c r="A216" s="141" t="s">
        <v>207</v>
      </c>
      <c r="B216" s="141" t="s">
        <v>1482</v>
      </c>
      <c r="C216" s="134">
        <f>_xlfn.IFERROR(VLOOKUP(A216,'งบทดลอง รพ.'!$A$2:$C$602,3,0),0)</f>
        <v>4000190</v>
      </c>
      <c r="D216" s="25"/>
      <c r="E216" s="85" t="s">
        <v>1338</v>
      </c>
      <c r="F216" s="85" t="s">
        <v>16</v>
      </c>
      <c r="G216" s="81" t="s">
        <v>1409</v>
      </c>
      <c r="H216" s="81"/>
    </row>
    <row r="217" spans="1:8" ht="27.75">
      <c r="A217" s="141" t="s">
        <v>208</v>
      </c>
      <c r="B217" s="141" t="s">
        <v>209</v>
      </c>
      <c r="C217" s="134">
        <f>_xlfn.IFERROR(VLOOKUP(A217,'งบทดลอง รพ.'!$A$2:$C$602,3,0),0)</f>
        <v>0</v>
      </c>
      <c r="D217" s="25"/>
      <c r="E217" s="85" t="s">
        <v>1338</v>
      </c>
      <c r="F217" s="85" t="s">
        <v>16</v>
      </c>
      <c r="G217" s="81" t="s">
        <v>1409</v>
      </c>
      <c r="H217" s="81"/>
    </row>
    <row r="218" spans="1:8" ht="27.75">
      <c r="A218" s="141" t="s">
        <v>210</v>
      </c>
      <c r="B218" s="141" t="s">
        <v>1483</v>
      </c>
      <c r="C218" s="134">
        <f>_xlfn.IFERROR(VLOOKUP(A218,'งบทดลอง รพ.'!$A$2:$C$602,3,0),0)</f>
        <v>0</v>
      </c>
      <c r="D218" s="25"/>
      <c r="E218" s="85" t="s">
        <v>1338</v>
      </c>
      <c r="F218" s="85" t="s">
        <v>16</v>
      </c>
      <c r="G218" s="81" t="s">
        <v>1409</v>
      </c>
      <c r="H218" s="81"/>
    </row>
    <row r="219" spans="1:8" ht="27.75">
      <c r="A219" s="141" t="s">
        <v>211</v>
      </c>
      <c r="B219" s="141" t="s">
        <v>212</v>
      </c>
      <c r="C219" s="134">
        <f>_xlfn.IFERROR(VLOOKUP(A219,'งบทดลอง รพ.'!$A$2:$C$602,3,0),0)</f>
        <v>450000</v>
      </c>
      <c r="D219" s="25"/>
      <c r="E219" s="85" t="s">
        <v>1338</v>
      </c>
      <c r="F219" s="85" t="s">
        <v>16</v>
      </c>
      <c r="G219" s="81" t="s">
        <v>1409</v>
      </c>
      <c r="H219" s="81"/>
    </row>
    <row r="220" spans="1:8" ht="27.75">
      <c r="A220" s="138" t="s">
        <v>1090</v>
      </c>
      <c r="B220" s="138" t="s">
        <v>1091</v>
      </c>
      <c r="C220" s="134">
        <f>_xlfn.IFERROR(VLOOKUP(A220,'งบทดลอง รพ.'!$A$2:$C$602,3,0),0)</f>
        <v>0</v>
      </c>
      <c r="D220" s="25"/>
      <c r="E220" s="85" t="s">
        <v>1297</v>
      </c>
      <c r="F220" s="85" t="s">
        <v>0</v>
      </c>
      <c r="G220" s="81" t="s">
        <v>1407</v>
      </c>
      <c r="H220" s="81"/>
    </row>
    <row r="221" spans="1:8" ht="27.75">
      <c r="A221" s="141" t="s">
        <v>213</v>
      </c>
      <c r="B221" s="141" t="s">
        <v>214</v>
      </c>
      <c r="C221" s="134">
        <f>_xlfn.IFERROR(VLOOKUP(A221,'งบทดลอง รพ.'!$A$2:$C$602,3,0),0)</f>
        <v>900000</v>
      </c>
      <c r="D221" s="25"/>
      <c r="E221" s="85" t="s">
        <v>1338</v>
      </c>
      <c r="F221" s="85" t="s">
        <v>16</v>
      </c>
      <c r="G221" s="81" t="s">
        <v>1409</v>
      </c>
      <c r="H221" s="81"/>
    </row>
    <row r="222" spans="1:8" ht="27.75">
      <c r="A222" s="138" t="s">
        <v>1092</v>
      </c>
      <c r="B222" s="138" t="s">
        <v>107</v>
      </c>
      <c r="C222" s="134">
        <f>_xlfn.IFERROR(VLOOKUP(A222,'งบทดลอง รพ.'!$A$2:$C$602,3,0),0)</f>
        <v>0</v>
      </c>
      <c r="D222" s="25"/>
      <c r="E222" s="85" t="s">
        <v>1322</v>
      </c>
      <c r="F222" s="85" t="s">
        <v>8</v>
      </c>
      <c r="G222" s="81" t="s">
        <v>1407</v>
      </c>
      <c r="H222" s="81"/>
    </row>
    <row r="223" spans="1:8" ht="27.75">
      <c r="A223" s="138" t="s">
        <v>1093</v>
      </c>
      <c r="B223" s="138" t="s">
        <v>108</v>
      </c>
      <c r="C223" s="134">
        <f>_xlfn.IFERROR(VLOOKUP(A223,'งบทดลอง รพ.'!$A$2:$C$602,3,0),0)</f>
        <v>0</v>
      </c>
      <c r="D223" s="25"/>
      <c r="E223" s="85" t="s">
        <v>1322</v>
      </c>
      <c r="F223" s="85" t="s">
        <v>8</v>
      </c>
      <c r="G223" s="81" t="s">
        <v>1407</v>
      </c>
      <c r="H223" s="81"/>
    </row>
    <row r="224" spans="1:8" ht="27.75">
      <c r="A224" s="138" t="s">
        <v>1094</v>
      </c>
      <c r="B224" s="138" t="s">
        <v>116</v>
      </c>
      <c r="C224" s="134">
        <f>_xlfn.IFERROR(VLOOKUP(A224,'งบทดลอง รพ.'!$A$2:$C$602,3,0),0)</f>
        <v>0</v>
      </c>
      <c r="D224" s="25"/>
      <c r="E224" s="85" t="s">
        <v>1329</v>
      </c>
      <c r="F224" s="85" t="s">
        <v>10</v>
      </c>
      <c r="G224" s="81" t="s">
        <v>1407</v>
      </c>
      <c r="H224" s="81"/>
    </row>
    <row r="225" spans="1:8" ht="27.75">
      <c r="A225" s="141" t="s">
        <v>229</v>
      </c>
      <c r="B225" s="141" t="s">
        <v>230</v>
      </c>
      <c r="C225" s="134">
        <f>_xlfn.IFERROR(VLOOKUP(A225,'งบทดลอง รพ.'!$A$2:$C$602,3,0),0)</f>
        <v>60196661.69</v>
      </c>
      <c r="D225" s="25"/>
      <c r="E225" s="85" t="s">
        <v>1352</v>
      </c>
      <c r="F225" s="85" t="s">
        <v>25</v>
      </c>
      <c r="G225" s="81" t="s">
        <v>1409</v>
      </c>
      <c r="H225" s="81"/>
    </row>
    <row r="226" spans="1:8" ht="27.75">
      <c r="A226" s="141" t="s">
        <v>231</v>
      </c>
      <c r="B226" s="141" t="s">
        <v>232</v>
      </c>
      <c r="C226" s="134">
        <f>_xlfn.IFERROR(VLOOKUP(A226,'งบทดลอง รพ.'!$A$2:$C$602,3,0),0)</f>
        <v>4538095.31</v>
      </c>
      <c r="D226" s="25"/>
      <c r="E226" s="85" t="s">
        <v>1352</v>
      </c>
      <c r="F226" s="85" t="s">
        <v>25</v>
      </c>
      <c r="G226" s="81" t="s">
        <v>1409</v>
      </c>
      <c r="H226" s="81"/>
    </row>
    <row r="227" spans="1:8" ht="27.75">
      <c r="A227" s="138" t="s">
        <v>1095</v>
      </c>
      <c r="B227" s="138" t="s">
        <v>1096</v>
      </c>
      <c r="C227" s="134">
        <f>_xlfn.IFERROR(VLOOKUP(A227,'งบทดลอง รพ.'!$A$2:$C$602,3,0),0)</f>
        <v>0</v>
      </c>
      <c r="D227" s="25"/>
      <c r="E227" s="85" t="s">
        <v>1352</v>
      </c>
      <c r="F227" s="85" t="s">
        <v>25</v>
      </c>
      <c r="G227" s="81" t="s">
        <v>1407</v>
      </c>
      <c r="H227" s="81"/>
    </row>
    <row r="228" spans="1:8" ht="27.75">
      <c r="A228" s="138" t="s">
        <v>1097</v>
      </c>
      <c r="B228" s="138" t="s">
        <v>1098</v>
      </c>
      <c r="C228" s="134">
        <f>_xlfn.IFERROR(VLOOKUP(A228,'งบทดลอง รพ.'!$A$2:$C$602,3,0),0)</f>
        <v>0</v>
      </c>
      <c r="D228" s="25"/>
      <c r="E228" s="85" t="s">
        <v>1352</v>
      </c>
      <c r="F228" s="85" t="s">
        <v>25</v>
      </c>
      <c r="G228" s="81" t="s">
        <v>1407</v>
      </c>
      <c r="H228" s="81"/>
    </row>
    <row r="229" spans="1:8" ht="27.75">
      <c r="A229" s="141" t="s">
        <v>233</v>
      </c>
      <c r="B229" s="141" t="s">
        <v>234</v>
      </c>
      <c r="C229" s="134">
        <f>_xlfn.IFERROR(VLOOKUP(A229,'งบทดลอง รพ.'!$A$2:$C$602,3,0),0)</f>
        <v>0</v>
      </c>
      <c r="D229" s="25"/>
      <c r="E229" s="85" t="s">
        <v>1352</v>
      </c>
      <c r="F229" s="85" t="s">
        <v>25</v>
      </c>
      <c r="G229" s="81" t="s">
        <v>1409</v>
      </c>
      <c r="H229" s="81"/>
    </row>
    <row r="230" spans="1:8" ht="27.75">
      <c r="A230" s="141" t="s">
        <v>235</v>
      </c>
      <c r="B230" s="141" t="s">
        <v>236</v>
      </c>
      <c r="C230" s="134">
        <f>_xlfn.IFERROR(VLOOKUP(A230,'งบทดลอง รพ.'!$A$2:$C$602,3,0),0)</f>
        <v>2755134.99</v>
      </c>
      <c r="D230" s="25"/>
      <c r="E230" s="85" t="s">
        <v>1352</v>
      </c>
      <c r="F230" s="85" t="s">
        <v>25</v>
      </c>
      <c r="G230" s="81" t="s">
        <v>1409</v>
      </c>
      <c r="H230" s="81"/>
    </row>
    <row r="231" spans="1:8" ht="27.75">
      <c r="A231" s="141" t="s">
        <v>237</v>
      </c>
      <c r="B231" s="141" t="s">
        <v>238</v>
      </c>
      <c r="C231" s="134">
        <f>_xlfn.IFERROR(VLOOKUP(A231,'งบทดลอง รพ.'!$A$2:$C$602,3,0),0)</f>
        <v>237600</v>
      </c>
      <c r="D231" s="25"/>
      <c r="E231" s="85" t="s">
        <v>1352</v>
      </c>
      <c r="F231" s="85" t="s">
        <v>25</v>
      </c>
      <c r="G231" s="81" t="s">
        <v>1409</v>
      </c>
      <c r="H231" s="81"/>
    </row>
    <row r="232" spans="1:8" ht="27.75">
      <c r="A232" s="138" t="s">
        <v>1099</v>
      </c>
      <c r="B232" s="138" t="s">
        <v>1100</v>
      </c>
      <c r="C232" s="134">
        <f>_xlfn.IFERROR(VLOOKUP(A232,'งบทดลอง รพ.'!$A$2:$C$602,3,0),0)</f>
        <v>0</v>
      </c>
      <c r="D232" s="25"/>
      <c r="E232" s="85" t="s">
        <v>1352</v>
      </c>
      <c r="F232" s="85" t="s">
        <v>25</v>
      </c>
      <c r="G232" s="81" t="s">
        <v>1407</v>
      </c>
      <c r="H232" s="81"/>
    </row>
    <row r="233" spans="1:8" ht="27.75">
      <c r="A233" s="138" t="s">
        <v>1101</v>
      </c>
      <c r="B233" s="138" t="s">
        <v>1102</v>
      </c>
      <c r="C233" s="134">
        <f>_xlfn.IFERROR(VLOOKUP(A233,'งบทดลอง รพ.'!$A$2:$C$602,3,0),0)</f>
        <v>0</v>
      </c>
      <c r="D233" s="25"/>
      <c r="E233" s="85" t="s">
        <v>1352</v>
      </c>
      <c r="F233" s="85" t="s">
        <v>25</v>
      </c>
      <c r="G233" s="81" t="s">
        <v>1407</v>
      </c>
      <c r="H233" s="81"/>
    </row>
    <row r="234" spans="1:8" ht="27.75">
      <c r="A234" s="138" t="s">
        <v>1103</v>
      </c>
      <c r="B234" s="138" t="s">
        <v>1104</v>
      </c>
      <c r="C234" s="134">
        <f>_xlfn.IFERROR(VLOOKUP(A234,'งบทดลอง รพ.'!$A$2:$C$602,3,0),0)</f>
        <v>0</v>
      </c>
      <c r="D234" s="25"/>
      <c r="E234" s="85" t="s">
        <v>1352</v>
      </c>
      <c r="F234" s="85" t="s">
        <v>25</v>
      </c>
      <c r="G234" s="81" t="s">
        <v>1407</v>
      </c>
      <c r="H234" s="81"/>
    </row>
    <row r="235" spans="1:8" ht="27.75">
      <c r="A235" s="141" t="s">
        <v>239</v>
      </c>
      <c r="B235" s="141" t="s">
        <v>240</v>
      </c>
      <c r="C235" s="134">
        <f>_xlfn.IFERROR(VLOOKUP(A235,'งบทดลอง รพ.'!$A$2:$C$602,3,0),0)</f>
        <v>0</v>
      </c>
      <c r="D235" s="25"/>
      <c r="E235" s="85" t="s">
        <v>1354</v>
      </c>
      <c r="F235" s="85" t="s">
        <v>29</v>
      </c>
      <c r="G235" s="81" t="s">
        <v>1409</v>
      </c>
      <c r="H235" s="81"/>
    </row>
    <row r="236" spans="1:8" ht="27.75">
      <c r="A236" s="141" t="s">
        <v>241</v>
      </c>
      <c r="B236" s="141" t="s">
        <v>242</v>
      </c>
      <c r="C236" s="134">
        <f>_xlfn.IFERROR(VLOOKUP(A236,'งบทดลอง รพ.'!$A$2:$C$602,3,0),0)</f>
        <v>0</v>
      </c>
      <c r="D236" s="25"/>
      <c r="E236" s="85" t="s">
        <v>1352</v>
      </c>
      <c r="F236" s="85" t="s">
        <v>25</v>
      </c>
      <c r="G236" s="81" t="s">
        <v>1409</v>
      </c>
      <c r="H236" s="81"/>
    </row>
    <row r="237" spans="1:8" ht="27.75">
      <c r="A237" s="141" t="s">
        <v>243</v>
      </c>
      <c r="B237" s="141" t="s">
        <v>244</v>
      </c>
      <c r="C237" s="134">
        <f>_xlfn.IFERROR(VLOOKUP(A237,'งบทดลอง รพ.'!$A$2:$C$602,3,0),0)</f>
        <v>0</v>
      </c>
      <c r="D237" s="25"/>
      <c r="E237" s="85" t="s">
        <v>1352</v>
      </c>
      <c r="F237" s="85" t="s">
        <v>25</v>
      </c>
      <c r="G237" s="81" t="s">
        <v>1409</v>
      </c>
      <c r="H237" s="81"/>
    </row>
    <row r="238" spans="1:8" ht="27.75">
      <c r="A238" s="141" t="s">
        <v>245</v>
      </c>
      <c r="B238" s="141" t="s">
        <v>246</v>
      </c>
      <c r="C238" s="134">
        <f>_xlfn.IFERROR(VLOOKUP(A238,'งบทดลอง รพ.'!$A$2:$C$602,3,0),0)</f>
        <v>0</v>
      </c>
      <c r="D238" s="25"/>
      <c r="E238" s="85" t="s">
        <v>1352</v>
      </c>
      <c r="F238" s="85" t="s">
        <v>25</v>
      </c>
      <c r="G238" s="81" t="s">
        <v>1409</v>
      </c>
      <c r="H238" s="81"/>
    </row>
    <row r="239" spans="1:8" ht="27.75">
      <c r="A239" s="141" t="s">
        <v>247</v>
      </c>
      <c r="B239" s="141" t="s">
        <v>248</v>
      </c>
      <c r="C239" s="134">
        <f>_xlfn.IFERROR(VLOOKUP(A239,'งบทดลอง รพ.'!$A$2:$C$602,3,0),0)</f>
        <v>0</v>
      </c>
      <c r="D239" s="25"/>
      <c r="E239" s="85" t="s">
        <v>1352</v>
      </c>
      <c r="F239" s="85" t="s">
        <v>25</v>
      </c>
      <c r="G239" s="81" t="s">
        <v>1409</v>
      </c>
      <c r="H239" s="81"/>
    </row>
    <row r="240" spans="1:8" ht="27.75">
      <c r="A240" s="141" t="s">
        <v>249</v>
      </c>
      <c r="B240" s="141" t="s">
        <v>250</v>
      </c>
      <c r="C240" s="134">
        <f>_xlfn.IFERROR(VLOOKUP(A240,'งบทดลอง รพ.'!$A$2:$C$602,3,0),0)</f>
        <v>3257246</v>
      </c>
      <c r="D240" s="25"/>
      <c r="E240" s="85" t="s">
        <v>1352</v>
      </c>
      <c r="F240" s="85" t="s">
        <v>25</v>
      </c>
      <c r="G240" s="81" t="s">
        <v>1409</v>
      </c>
      <c r="H240" s="81"/>
    </row>
    <row r="241" spans="1:8" ht="27.75">
      <c r="A241" s="141" t="s">
        <v>251</v>
      </c>
      <c r="B241" s="141" t="s">
        <v>252</v>
      </c>
      <c r="C241" s="134">
        <f>_xlfn.IFERROR(VLOOKUP(A241,'งบทดลอง รพ.'!$A$2:$C$602,3,0),0)</f>
        <v>415960</v>
      </c>
      <c r="D241" s="25"/>
      <c r="E241" s="85" t="s">
        <v>1352</v>
      </c>
      <c r="F241" s="85" t="s">
        <v>25</v>
      </c>
      <c r="G241" s="81" t="s">
        <v>1409</v>
      </c>
      <c r="H241" s="81"/>
    </row>
    <row r="242" spans="1:8" ht="27.75">
      <c r="A242" s="141" t="s">
        <v>261</v>
      </c>
      <c r="B242" s="141" t="s">
        <v>262</v>
      </c>
      <c r="C242" s="134">
        <f>_xlfn.IFERROR(VLOOKUP(A242,'งบทดลอง รพ.'!$A$2:$C$602,3,0),0)</f>
        <v>14086226.56</v>
      </c>
      <c r="D242" s="25"/>
      <c r="E242" s="85" t="s">
        <v>1356</v>
      </c>
      <c r="F242" s="85" t="s">
        <v>27</v>
      </c>
      <c r="G242" s="81" t="s">
        <v>1409</v>
      </c>
      <c r="H242" s="81"/>
    </row>
    <row r="243" spans="1:8" ht="27.75">
      <c r="A243" s="141" t="s">
        <v>263</v>
      </c>
      <c r="B243" s="141" t="s">
        <v>264</v>
      </c>
      <c r="C243" s="134">
        <f>_xlfn.IFERROR(VLOOKUP(A243,'งบทดลอง รพ.'!$A$2:$C$602,3,0),0)</f>
        <v>1151765</v>
      </c>
      <c r="D243" s="25"/>
      <c r="E243" s="85" t="s">
        <v>1356</v>
      </c>
      <c r="F243" s="85" t="s">
        <v>27</v>
      </c>
      <c r="G243" s="81" t="s">
        <v>1409</v>
      </c>
      <c r="H243" s="81"/>
    </row>
    <row r="244" spans="1:8" ht="27.75">
      <c r="A244" s="141" t="s">
        <v>265</v>
      </c>
      <c r="B244" s="141" t="s">
        <v>1484</v>
      </c>
      <c r="C244" s="134">
        <f>_xlfn.IFERROR(VLOOKUP(A244,'งบทดลอง รพ.'!$A$2:$C$602,3,0),0)</f>
        <v>8921968.780000001</v>
      </c>
      <c r="D244" s="25"/>
      <c r="E244" s="85" t="s">
        <v>1358</v>
      </c>
      <c r="F244" s="85" t="s">
        <v>27</v>
      </c>
      <c r="G244" s="81" t="s">
        <v>1409</v>
      </c>
      <c r="H244" s="81"/>
    </row>
    <row r="245" spans="1:8" ht="27.75">
      <c r="A245" s="141" t="s">
        <v>266</v>
      </c>
      <c r="B245" s="141" t="s">
        <v>267</v>
      </c>
      <c r="C245" s="134">
        <f>_xlfn.IFERROR(VLOOKUP(A245,'งบทดลอง รพ.'!$A$2:$C$602,3,0),0)</f>
        <v>2280087</v>
      </c>
      <c r="D245" s="25"/>
      <c r="E245" s="85" t="s">
        <v>1358</v>
      </c>
      <c r="F245" s="85" t="s">
        <v>27</v>
      </c>
      <c r="G245" s="81" t="s">
        <v>1409</v>
      </c>
      <c r="H245" s="81"/>
    </row>
    <row r="246" spans="1:8" ht="27.75">
      <c r="A246" s="141" t="s">
        <v>268</v>
      </c>
      <c r="B246" s="141" t="s">
        <v>269</v>
      </c>
      <c r="C246" s="134">
        <f>_xlfn.IFERROR(VLOOKUP(A246,'งบทดลอง รพ.'!$A$2:$C$602,3,0),0)</f>
        <v>0</v>
      </c>
      <c r="D246" s="25"/>
      <c r="E246" s="85" t="s">
        <v>1360</v>
      </c>
      <c r="F246" s="85" t="s">
        <v>27</v>
      </c>
      <c r="G246" s="81" t="s">
        <v>1409</v>
      </c>
      <c r="H246" s="81"/>
    </row>
    <row r="247" spans="1:8" ht="27.75">
      <c r="A247" s="141" t="s">
        <v>270</v>
      </c>
      <c r="B247" s="141" t="s">
        <v>636</v>
      </c>
      <c r="C247" s="134">
        <f>_xlfn.IFERROR(VLOOKUP(A247,'งบทดลอง รพ.'!$A$2:$C$602,3,0),0)</f>
        <v>0</v>
      </c>
      <c r="D247" s="25"/>
      <c r="E247" s="85" t="s">
        <v>1360</v>
      </c>
      <c r="F247" s="85" t="s">
        <v>27</v>
      </c>
      <c r="G247" s="81" t="s">
        <v>1409</v>
      </c>
      <c r="H247" s="81"/>
    </row>
    <row r="248" spans="1:8" ht="27.75">
      <c r="A248" s="141" t="s">
        <v>253</v>
      </c>
      <c r="B248" s="141" t="s">
        <v>1485</v>
      </c>
      <c r="C248" s="134">
        <f>_xlfn.IFERROR(VLOOKUP(A248,'งบทดลอง รพ.'!$A$2:$C$602,3,0),0)</f>
        <v>0</v>
      </c>
      <c r="D248" s="25"/>
      <c r="E248" s="85" t="s">
        <v>1352</v>
      </c>
      <c r="F248" s="85" t="s">
        <v>25</v>
      </c>
      <c r="G248" s="81" t="s">
        <v>1409</v>
      </c>
      <c r="H248" s="81"/>
    </row>
    <row r="249" spans="1:8" ht="27.75">
      <c r="A249" s="141" t="s">
        <v>254</v>
      </c>
      <c r="B249" s="141" t="s">
        <v>1486</v>
      </c>
      <c r="C249" s="134">
        <f>_xlfn.IFERROR(VLOOKUP(A249,'งบทดลอง รพ.'!$A$2:$C$602,3,0),0)</f>
        <v>3309840</v>
      </c>
      <c r="D249" s="25"/>
      <c r="E249" s="85" t="s">
        <v>1352</v>
      </c>
      <c r="F249" s="85" t="s">
        <v>25</v>
      </c>
      <c r="G249" s="81" t="s">
        <v>1409</v>
      </c>
      <c r="H249" s="81"/>
    </row>
    <row r="250" spans="1:8" ht="27.75">
      <c r="A250" s="138" t="s">
        <v>1105</v>
      </c>
      <c r="B250" s="138" t="s">
        <v>1106</v>
      </c>
      <c r="C250" s="134">
        <f>_xlfn.IFERROR(VLOOKUP(A250,'งบทดลอง รพ.'!$A$2:$C$602,3,0),0)</f>
        <v>0</v>
      </c>
      <c r="D250" s="25"/>
      <c r="E250" s="85" t="s">
        <v>1352</v>
      </c>
      <c r="F250" s="85" t="s">
        <v>25</v>
      </c>
      <c r="G250" s="81" t="s">
        <v>1407</v>
      </c>
      <c r="H250" s="81"/>
    </row>
    <row r="251" spans="1:8" ht="27.75">
      <c r="A251" s="138" t="s">
        <v>1107</v>
      </c>
      <c r="B251" s="138" t="s">
        <v>1108</v>
      </c>
      <c r="C251" s="134">
        <f>_xlfn.IFERROR(VLOOKUP(A251,'งบทดลอง รพ.'!$A$2:$C$602,3,0),0)</f>
        <v>0</v>
      </c>
      <c r="D251" s="25"/>
      <c r="E251" s="85" t="s">
        <v>1352</v>
      </c>
      <c r="F251" s="85" t="s">
        <v>25</v>
      </c>
      <c r="G251" s="81" t="s">
        <v>1407</v>
      </c>
      <c r="H251" s="81"/>
    </row>
    <row r="252" spans="1:8" ht="27.75">
      <c r="A252" s="141" t="s">
        <v>255</v>
      </c>
      <c r="B252" s="141" t="s">
        <v>1487</v>
      </c>
      <c r="C252" s="134">
        <f>_xlfn.IFERROR(VLOOKUP(A252,'งบทดลอง รพ.'!$A$2:$C$602,3,0),0)</f>
        <v>20696.9</v>
      </c>
      <c r="D252" s="25"/>
      <c r="E252" s="85" t="s">
        <v>1352</v>
      </c>
      <c r="F252" s="85" t="s">
        <v>25</v>
      </c>
      <c r="G252" s="81" t="s">
        <v>1409</v>
      </c>
      <c r="H252" s="81"/>
    </row>
    <row r="253" spans="1:8" ht="27.75">
      <c r="A253" s="141" t="s">
        <v>256</v>
      </c>
      <c r="B253" s="141" t="s">
        <v>1488</v>
      </c>
      <c r="C253" s="134">
        <f>_xlfn.IFERROR(VLOOKUP(A253,'งบทดลอง รพ.'!$A$2:$C$602,3,0),0)</f>
        <v>19824</v>
      </c>
      <c r="D253" s="25"/>
      <c r="E253" s="85" t="s">
        <v>1352</v>
      </c>
      <c r="F253" s="85" t="s">
        <v>25</v>
      </c>
      <c r="G253" s="81" t="s">
        <v>1409</v>
      </c>
      <c r="H253" s="81"/>
    </row>
    <row r="254" spans="1:8" ht="27.75">
      <c r="A254" s="141" t="s">
        <v>257</v>
      </c>
      <c r="B254" s="141" t="s">
        <v>1489</v>
      </c>
      <c r="C254" s="134">
        <f>_xlfn.IFERROR(VLOOKUP(A254,'งบทดลอง รพ.'!$A$2:$C$602,3,0),0)</f>
        <v>0</v>
      </c>
      <c r="D254" s="25"/>
      <c r="E254" s="85" t="s">
        <v>1352</v>
      </c>
      <c r="F254" s="85" t="s">
        <v>25</v>
      </c>
      <c r="G254" s="81" t="s">
        <v>1409</v>
      </c>
      <c r="H254" s="81"/>
    </row>
    <row r="255" spans="1:8" ht="27.75">
      <c r="A255" s="141" t="s">
        <v>258</v>
      </c>
      <c r="B255" s="141" t="s">
        <v>1490</v>
      </c>
      <c r="C255" s="134">
        <f>_xlfn.IFERROR(VLOOKUP(A255,'งบทดลอง รพ.'!$A$2:$C$602,3,0),0)</f>
        <v>0</v>
      </c>
      <c r="D255" s="25"/>
      <c r="E255" s="85" t="s">
        <v>1352</v>
      </c>
      <c r="F255" s="85" t="s">
        <v>25</v>
      </c>
      <c r="G255" s="81" t="s">
        <v>1409</v>
      </c>
      <c r="H255" s="81"/>
    </row>
    <row r="256" spans="1:8" ht="27.75">
      <c r="A256" s="141" t="s">
        <v>259</v>
      </c>
      <c r="B256" s="141" t="s">
        <v>1491</v>
      </c>
      <c r="C256" s="134">
        <f>_xlfn.IFERROR(VLOOKUP(A256,'งบทดลอง รพ.'!$A$2:$C$602,3,0),0)</f>
        <v>0</v>
      </c>
      <c r="D256" s="25"/>
      <c r="E256" s="85" t="s">
        <v>1352</v>
      </c>
      <c r="F256" s="85" t="s">
        <v>25</v>
      </c>
      <c r="G256" s="81" t="s">
        <v>1409</v>
      </c>
      <c r="H256" s="81"/>
    </row>
    <row r="257" spans="1:8" ht="27.75">
      <c r="A257" s="141" t="s">
        <v>260</v>
      </c>
      <c r="B257" s="141" t="s">
        <v>1492</v>
      </c>
      <c r="C257" s="134">
        <f>_xlfn.IFERROR(VLOOKUP(A257,'งบทดลอง รพ.'!$A$2:$C$602,3,0),0)</f>
        <v>0</v>
      </c>
      <c r="D257" s="25"/>
      <c r="E257" s="85" t="s">
        <v>1352</v>
      </c>
      <c r="F257" s="85" t="s">
        <v>25</v>
      </c>
      <c r="G257" s="81" t="s">
        <v>1409</v>
      </c>
      <c r="H257" s="81"/>
    </row>
    <row r="258" spans="1:8" ht="27.75">
      <c r="A258" s="138" t="s">
        <v>1109</v>
      </c>
      <c r="B258" s="138" t="s">
        <v>1110</v>
      </c>
      <c r="C258" s="134">
        <f>_xlfn.IFERROR(VLOOKUP(A258,'งบทดลอง รพ.'!$A$2:$C$602,3,0),0)</f>
        <v>0</v>
      </c>
      <c r="D258" s="25"/>
      <c r="E258" s="85" t="s">
        <v>1362</v>
      </c>
      <c r="F258" s="85" t="s">
        <v>31</v>
      </c>
      <c r="G258" s="81" t="s">
        <v>1407</v>
      </c>
      <c r="H258" s="81"/>
    </row>
    <row r="259" spans="1:8" ht="27.75">
      <c r="A259" s="138" t="s">
        <v>1111</v>
      </c>
      <c r="B259" s="138" t="s">
        <v>1112</v>
      </c>
      <c r="C259" s="134">
        <f>_xlfn.IFERROR(VLOOKUP(A259,'งบทดลอง รพ.'!$A$2:$C$602,3,0),0)</f>
        <v>0</v>
      </c>
      <c r="D259" s="25"/>
      <c r="E259" s="85" t="s">
        <v>1362</v>
      </c>
      <c r="F259" s="85" t="s">
        <v>31</v>
      </c>
      <c r="G259" s="81" t="s">
        <v>1407</v>
      </c>
      <c r="H259" s="81"/>
    </row>
    <row r="260" spans="1:8" ht="27.75">
      <c r="A260" s="141" t="s">
        <v>913</v>
      </c>
      <c r="B260" s="141" t="s">
        <v>914</v>
      </c>
      <c r="C260" s="134">
        <f>_xlfn.IFERROR(VLOOKUP(A260,'งบทดลอง รพ.'!$A$2:$C$602,3,0),0)</f>
        <v>432681.11</v>
      </c>
      <c r="D260" s="25"/>
      <c r="E260" s="85" t="s">
        <v>1352</v>
      </c>
      <c r="F260" s="85" t="s">
        <v>25</v>
      </c>
      <c r="G260" s="81" t="s">
        <v>1409</v>
      </c>
      <c r="H260" s="81"/>
    </row>
    <row r="261" spans="1:8" ht="27.75">
      <c r="A261" s="141" t="s">
        <v>915</v>
      </c>
      <c r="B261" s="141" t="s">
        <v>916</v>
      </c>
      <c r="C261" s="134">
        <f>_xlfn.IFERROR(VLOOKUP(A261,'งบทดลอง รพ.'!$A$2:$C$602,3,0),0)</f>
        <v>0</v>
      </c>
      <c r="D261" s="25"/>
      <c r="E261" s="85" t="s">
        <v>1352</v>
      </c>
      <c r="F261" s="85" t="s">
        <v>25</v>
      </c>
      <c r="G261" s="81" t="s">
        <v>1409</v>
      </c>
      <c r="H261" s="81"/>
    </row>
    <row r="262" spans="1:8" ht="27.75">
      <c r="A262" s="141" t="s">
        <v>917</v>
      </c>
      <c r="B262" s="141" t="s">
        <v>918</v>
      </c>
      <c r="C262" s="134">
        <f>_xlfn.IFERROR(VLOOKUP(A262,'งบทดลอง รพ.'!$A$2:$C$602,3,0),0)</f>
        <v>3600000</v>
      </c>
      <c r="D262" s="25"/>
      <c r="E262" s="85" t="s">
        <v>1354</v>
      </c>
      <c r="F262" s="85" t="s">
        <v>29</v>
      </c>
      <c r="G262" s="81" t="s">
        <v>1409</v>
      </c>
      <c r="H262" s="81"/>
    </row>
    <row r="263" spans="1:8" ht="27.75">
      <c r="A263" s="141" t="s">
        <v>285</v>
      </c>
      <c r="B263" s="141" t="s">
        <v>286</v>
      </c>
      <c r="C263" s="134">
        <f>_xlfn.IFERROR(VLOOKUP(A263,'งบทดลอง รพ.'!$A$2:$C$602,3,0),0)</f>
        <v>0</v>
      </c>
      <c r="D263" s="25"/>
      <c r="E263" s="85" t="s">
        <v>1362</v>
      </c>
      <c r="F263" s="85" t="s">
        <v>31</v>
      </c>
      <c r="G263" s="81" t="s">
        <v>1409</v>
      </c>
      <c r="H263" s="81"/>
    </row>
    <row r="264" spans="1:8" ht="27.75">
      <c r="A264" s="141" t="s">
        <v>287</v>
      </c>
      <c r="B264" s="141" t="s">
        <v>288</v>
      </c>
      <c r="C264" s="134">
        <f>_xlfn.IFERROR(VLOOKUP(A264,'งบทดลอง รพ.'!$A$2:$C$602,3,0),0)</f>
        <v>0</v>
      </c>
      <c r="D264" s="25"/>
      <c r="E264" s="85" t="s">
        <v>1362</v>
      </c>
      <c r="F264" s="85" t="s">
        <v>31</v>
      </c>
      <c r="G264" s="81" t="s">
        <v>1409</v>
      </c>
      <c r="H264" s="81"/>
    </row>
    <row r="265" spans="1:8" ht="27.75">
      <c r="A265" s="141" t="s">
        <v>289</v>
      </c>
      <c r="B265" s="141" t="s">
        <v>290</v>
      </c>
      <c r="C265" s="134">
        <f>_xlfn.IFERROR(VLOOKUP(A265,'งบทดลอง รพ.'!$A$2:$C$602,3,0),0)</f>
        <v>738244.7300000001</v>
      </c>
      <c r="D265" s="25"/>
      <c r="E265" s="85" t="s">
        <v>1362</v>
      </c>
      <c r="F265" s="85" t="s">
        <v>31</v>
      </c>
      <c r="G265" s="81" t="s">
        <v>1409</v>
      </c>
      <c r="H265" s="81"/>
    </row>
    <row r="266" spans="1:8" ht="27.75">
      <c r="A266" s="141" t="s">
        <v>291</v>
      </c>
      <c r="B266" s="141" t="s">
        <v>292</v>
      </c>
      <c r="C266" s="134">
        <f>_xlfn.IFERROR(VLOOKUP(A266,'งบทดลอง รพ.'!$A$2:$C$602,3,0),0)</f>
        <v>1080477.26</v>
      </c>
      <c r="D266" s="25"/>
      <c r="E266" s="85" t="s">
        <v>1362</v>
      </c>
      <c r="F266" s="85" t="s">
        <v>31</v>
      </c>
      <c r="G266" s="81" t="s">
        <v>1409</v>
      </c>
      <c r="H266" s="81"/>
    </row>
    <row r="267" spans="1:8" ht="27.75">
      <c r="A267" s="141" t="s">
        <v>293</v>
      </c>
      <c r="B267" s="141" t="s">
        <v>294</v>
      </c>
      <c r="C267" s="134">
        <f>_xlfn.IFERROR(VLOOKUP(A267,'งบทดลอง รพ.'!$A$2:$C$602,3,0),0)</f>
        <v>110196.18</v>
      </c>
      <c r="D267" s="25"/>
      <c r="E267" s="85" t="s">
        <v>1362</v>
      </c>
      <c r="F267" s="85" t="s">
        <v>31</v>
      </c>
      <c r="G267" s="81" t="s">
        <v>1409</v>
      </c>
      <c r="H267" s="81"/>
    </row>
    <row r="268" spans="1:8" ht="27.75">
      <c r="A268" s="141" t="s">
        <v>295</v>
      </c>
      <c r="B268" s="141" t="s">
        <v>1493</v>
      </c>
      <c r="C268" s="134">
        <f>_xlfn.IFERROR(VLOOKUP(A268,'งบทดลอง รพ.'!$A$2:$C$602,3,0),0)</f>
        <v>1185192.37</v>
      </c>
      <c r="D268" s="25"/>
      <c r="E268" s="85" t="s">
        <v>1362</v>
      </c>
      <c r="F268" s="85" t="s">
        <v>31</v>
      </c>
      <c r="G268" s="81" t="s">
        <v>1409</v>
      </c>
      <c r="H268" s="81"/>
    </row>
    <row r="269" spans="1:8" ht="27.75">
      <c r="A269" s="141" t="s">
        <v>296</v>
      </c>
      <c r="B269" s="141" t="s">
        <v>297</v>
      </c>
      <c r="C269" s="134">
        <f>_xlfn.IFERROR(VLOOKUP(A269,'งบทดลอง รพ.'!$A$2:$C$602,3,0),0)</f>
        <v>0</v>
      </c>
      <c r="D269" s="25"/>
      <c r="E269" s="85" t="s">
        <v>1362</v>
      </c>
      <c r="F269" s="85" t="s">
        <v>31</v>
      </c>
      <c r="G269" s="81" t="s">
        <v>1409</v>
      </c>
      <c r="H269" s="81"/>
    </row>
    <row r="270" spans="1:8" ht="27.75">
      <c r="A270" s="141" t="s">
        <v>298</v>
      </c>
      <c r="B270" s="141" t="s">
        <v>299</v>
      </c>
      <c r="C270" s="134">
        <f>_xlfn.IFERROR(VLOOKUP(A270,'งบทดลอง รพ.'!$A$2:$C$602,3,0),0)</f>
        <v>224041.12</v>
      </c>
      <c r="D270" s="25"/>
      <c r="E270" s="85" t="s">
        <v>1362</v>
      </c>
      <c r="F270" s="85" t="s">
        <v>31</v>
      </c>
      <c r="G270" s="81" t="s">
        <v>1409</v>
      </c>
      <c r="H270" s="81"/>
    </row>
    <row r="271" spans="1:8" ht="27.75">
      <c r="A271" s="138" t="s">
        <v>1113</v>
      </c>
      <c r="B271" s="138" t="s">
        <v>271</v>
      </c>
      <c r="C271" s="134">
        <f>_xlfn.IFERROR(VLOOKUP(A271,'งบทดลอง รพ.'!$A$2:$C$602,3,0),0)</f>
        <v>0</v>
      </c>
      <c r="D271" s="25"/>
      <c r="E271" s="85" t="s">
        <v>1364</v>
      </c>
      <c r="F271" s="85" t="s">
        <v>29</v>
      </c>
      <c r="G271" s="81" t="s">
        <v>1407</v>
      </c>
      <c r="H271" s="81"/>
    </row>
    <row r="272" spans="1:8" ht="27.75">
      <c r="A272" s="138" t="s">
        <v>1114</v>
      </c>
      <c r="B272" s="138" t="s">
        <v>272</v>
      </c>
      <c r="C272" s="134">
        <f>_xlfn.IFERROR(VLOOKUP(A272,'งบทดลอง รพ.'!$A$2:$C$602,3,0),0)</f>
        <v>0</v>
      </c>
      <c r="D272" s="25"/>
      <c r="E272" s="85" t="s">
        <v>1364</v>
      </c>
      <c r="F272" s="85" t="s">
        <v>29</v>
      </c>
      <c r="G272" s="81" t="s">
        <v>1407</v>
      </c>
      <c r="H272" s="81"/>
    </row>
    <row r="273" spans="1:8" ht="27.75">
      <c r="A273" s="138" t="s">
        <v>1115</v>
      </c>
      <c r="B273" s="138" t="s">
        <v>273</v>
      </c>
      <c r="C273" s="134">
        <f>_xlfn.IFERROR(VLOOKUP(A273,'งบทดลอง รพ.'!$A$2:$C$602,3,0),0)</f>
        <v>0</v>
      </c>
      <c r="D273" s="25"/>
      <c r="E273" s="85" t="s">
        <v>1364</v>
      </c>
      <c r="F273" s="85" t="s">
        <v>29</v>
      </c>
      <c r="G273" s="81" t="s">
        <v>1407</v>
      </c>
      <c r="H273" s="81"/>
    </row>
    <row r="274" spans="1:8" ht="27.75">
      <c r="A274" s="138" t="s">
        <v>1116</v>
      </c>
      <c r="B274" s="138" t="s">
        <v>1117</v>
      </c>
      <c r="C274" s="134">
        <f>_xlfn.IFERROR(VLOOKUP(A274,'งบทดลอง รพ.'!$A$2:$C$602,3,0),0)</f>
        <v>0</v>
      </c>
      <c r="D274" s="25"/>
      <c r="E274" s="85" t="s">
        <v>1364</v>
      </c>
      <c r="F274" s="85" t="s">
        <v>29</v>
      </c>
      <c r="G274" s="81" t="s">
        <v>1407</v>
      </c>
      <c r="H274" s="81"/>
    </row>
    <row r="275" spans="1:8" ht="27.75">
      <c r="A275" s="138" t="s">
        <v>1118</v>
      </c>
      <c r="B275" s="138" t="s">
        <v>1119</v>
      </c>
      <c r="C275" s="134">
        <f>_xlfn.IFERROR(VLOOKUP(A275,'งบทดลอง รพ.'!$A$2:$C$602,3,0),0)</f>
        <v>0</v>
      </c>
      <c r="D275" s="25"/>
      <c r="E275" s="85" t="s">
        <v>1364</v>
      </c>
      <c r="F275" s="85" t="s">
        <v>29</v>
      </c>
      <c r="G275" s="81" t="s">
        <v>1407</v>
      </c>
      <c r="H275" s="81"/>
    </row>
    <row r="276" spans="1:8" ht="27.75">
      <c r="A276" s="138" t="s">
        <v>1120</v>
      </c>
      <c r="B276" s="138" t="s">
        <v>1494</v>
      </c>
      <c r="C276" s="134">
        <f>_xlfn.IFERROR(VLOOKUP(A276,'งบทดลอง รพ.'!$A$2:$C$602,3,0),0)</f>
        <v>0</v>
      </c>
      <c r="D276" s="25"/>
      <c r="E276" s="85" t="s">
        <v>1364</v>
      </c>
      <c r="F276" s="85" t="s">
        <v>29</v>
      </c>
      <c r="G276" s="81" t="s">
        <v>1407</v>
      </c>
      <c r="H276" s="81"/>
    </row>
    <row r="277" spans="1:8" ht="27.75">
      <c r="A277" s="141" t="s">
        <v>274</v>
      </c>
      <c r="B277" s="141" t="s">
        <v>275</v>
      </c>
      <c r="C277" s="134">
        <f>_xlfn.IFERROR(VLOOKUP(A277,'งบทดลอง รพ.'!$A$2:$C$602,3,0),0)</f>
        <v>3600000</v>
      </c>
      <c r="D277" s="25"/>
      <c r="E277" s="85" t="s">
        <v>1366</v>
      </c>
      <c r="F277" s="85" t="s">
        <v>29</v>
      </c>
      <c r="G277" s="81" t="s">
        <v>1409</v>
      </c>
      <c r="H277" s="81"/>
    </row>
    <row r="278" spans="1:8" ht="27.75">
      <c r="A278" s="138" t="s">
        <v>1121</v>
      </c>
      <c r="B278" s="138" t="s">
        <v>276</v>
      </c>
      <c r="C278" s="134">
        <f>_xlfn.IFERROR(VLOOKUP(A278,'งบทดลอง รพ.'!$A$2:$C$602,3,0),0)</f>
        <v>0</v>
      </c>
      <c r="D278" s="25"/>
      <c r="E278" s="85" t="s">
        <v>1364</v>
      </c>
      <c r="F278" s="85" t="s">
        <v>29</v>
      </c>
      <c r="G278" s="81" t="s">
        <v>1407</v>
      </c>
      <c r="H278" s="81"/>
    </row>
    <row r="279" spans="1:8" ht="27.75">
      <c r="A279" s="138" t="s">
        <v>1122</v>
      </c>
      <c r="B279" s="138" t="s">
        <v>1123</v>
      </c>
      <c r="C279" s="134">
        <f>_xlfn.IFERROR(VLOOKUP(A279,'งบทดลอง รพ.'!$A$2:$C$602,3,0),0)</f>
        <v>0</v>
      </c>
      <c r="D279" s="25"/>
      <c r="E279" s="85" t="s">
        <v>1354</v>
      </c>
      <c r="F279" s="85" t="s">
        <v>29</v>
      </c>
      <c r="G279" s="81" t="s">
        <v>1407</v>
      </c>
      <c r="H279" s="81"/>
    </row>
    <row r="280" spans="1:8" ht="27.75">
      <c r="A280" s="138" t="s">
        <v>1124</v>
      </c>
      <c r="B280" s="138" t="s">
        <v>1495</v>
      </c>
      <c r="C280" s="134">
        <f>_xlfn.IFERROR(VLOOKUP(A280,'งบทดลอง รพ.'!$A$2:$C$602,3,0),0)</f>
        <v>0</v>
      </c>
      <c r="D280" s="25"/>
      <c r="E280" s="85" t="s">
        <v>1354</v>
      </c>
      <c r="F280" s="85" t="s">
        <v>29</v>
      </c>
      <c r="G280" s="81" t="s">
        <v>1407</v>
      </c>
      <c r="H280" s="81"/>
    </row>
    <row r="281" spans="1:8" ht="27.75">
      <c r="A281" s="138" t="s">
        <v>1125</v>
      </c>
      <c r="B281" s="138" t="s">
        <v>1126</v>
      </c>
      <c r="C281" s="134">
        <f>_xlfn.IFERROR(VLOOKUP(A281,'งบทดลอง รพ.'!$A$2:$C$602,3,0),0)</f>
        <v>0</v>
      </c>
      <c r="D281" s="25"/>
      <c r="E281" s="85" t="s">
        <v>1354</v>
      </c>
      <c r="F281" s="85" t="s">
        <v>29</v>
      </c>
      <c r="G281" s="81" t="s">
        <v>1407</v>
      </c>
      <c r="H281" s="81"/>
    </row>
    <row r="282" spans="1:8" ht="27.75">
      <c r="A282" s="138" t="s">
        <v>1127</v>
      </c>
      <c r="B282" s="138" t="s">
        <v>1496</v>
      </c>
      <c r="C282" s="134">
        <f>_xlfn.IFERROR(VLOOKUP(A282,'งบทดลอง รพ.'!$A$2:$C$602,3,0),0)</f>
        <v>0</v>
      </c>
      <c r="D282" s="25"/>
      <c r="E282" s="85" t="s">
        <v>1364</v>
      </c>
      <c r="F282" s="85" t="s">
        <v>29</v>
      </c>
      <c r="G282" s="81" t="s">
        <v>1407</v>
      </c>
      <c r="H282" s="81"/>
    </row>
    <row r="283" spans="1:8" ht="27.75">
      <c r="A283" s="138" t="s">
        <v>1128</v>
      </c>
      <c r="B283" s="138" t="s">
        <v>1497</v>
      </c>
      <c r="C283" s="134">
        <f>_xlfn.IFERROR(VLOOKUP(A283,'งบทดลอง รพ.'!$A$2:$C$602,3,0),0)</f>
        <v>0</v>
      </c>
      <c r="D283" s="25"/>
      <c r="E283" s="85" t="s">
        <v>1364</v>
      </c>
      <c r="F283" s="85" t="s">
        <v>29</v>
      </c>
      <c r="G283" s="81" t="s">
        <v>1407</v>
      </c>
      <c r="H283" s="81"/>
    </row>
    <row r="284" spans="1:8" ht="27.75">
      <c r="A284" s="141" t="s">
        <v>277</v>
      </c>
      <c r="B284" s="141" t="s">
        <v>278</v>
      </c>
      <c r="C284" s="134">
        <f>_xlfn.IFERROR(VLOOKUP(A284,'งบทดลอง รพ.'!$A$2:$C$602,3,0),0)</f>
        <v>420000</v>
      </c>
      <c r="D284" s="25"/>
      <c r="E284" s="85" t="s">
        <v>1366</v>
      </c>
      <c r="F284" s="85" t="s">
        <v>29</v>
      </c>
      <c r="G284" s="81" t="s">
        <v>1409</v>
      </c>
      <c r="H284" s="81"/>
    </row>
    <row r="285" spans="1:8" ht="27.75">
      <c r="A285" s="138" t="s">
        <v>1129</v>
      </c>
      <c r="B285" s="138" t="s">
        <v>1130</v>
      </c>
      <c r="C285" s="134">
        <f>_xlfn.IFERROR(VLOOKUP(A285,'งบทดลอง รพ.'!$A$2:$C$602,3,0),0)</f>
        <v>0</v>
      </c>
      <c r="D285" s="25"/>
      <c r="E285" s="85" t="s">
        <v>1364</v>
      </c>
      <c r="F285" s="85" t="s">
        <v>29</v>
      </c>
      <c r="G285" s="81" t="s">
        <v>1407</v>
      </c>
      <c r="H285" s="81"/>
    </row>
    <row r="286" spans="1:8" ht="27.75">
      <c r="A286" s="141" t="s">
        <v>279</v>
      </c>
      <c r="B286" s="141" t="s">
        <v>1498</v>
      </c>
      <c r="C286" s="134">
        <f>_xlfn.IFERROR(VLOOKUP(A286,'งบทดลอง รพ.'!$A$2:$C$602,3,0),0)</f>
        <v>0</v>
      </c>
      <c r="D286" s="25"/>
      <c r="E286" s="85" t="s">
        <v>1368</v>
      </c>
      <c r="F286" s="85" t="s">
        <v>29</v>
      </c>
      <c r="G286" s="81" t="s">
        <v>1409</v>
      </c>
      <c r="H286" s="81"/>
    </row>
    <row r="287" spans="1:8" ht="27.75">
      <c r="A287" s="141" t="s">
        <v>280</v>
      </c>
      <c r="B287" s="141" t="s">
        <v>1499</v>
      </c>
      <c r="C287" s="134">
        <f>_xlfn.IFERROR(VLOOKUP(A287,'งบทดลอง รพ.'!$A$2:$C$602,3,0),0)</f>
        <v>0</v>
      </c>
      <c r="D287" s="25"/>
      <c r="E287" s="85" t="s">
        <v>1368</v>
      </c>
      <c r="F287" s="85" t="s">
        <v>29</v>
      </c>
      <c r="G287" s="81" t="s">
        <v>1409</v>
      </c>
      <c r="H287" s="81"/>
    </row>
    <row r="288" spans="1:8" ht="27.75">
      <c r="A288" s="141" t="s">
        <v>281</v>
      </c>
      <c r="B288" s="141" t="s">
        <v>282</v>
      </c>
      <c r="C288" s="134">
        <f>_xlfn.IFERROR(VLOOKUP(A288,'งบทดลอง รพ.'!$A$2:$C$602,3,0),0)</f>
        <v>0</v>
      </c>
      <c r="D288" s="25"/>
      <c r="E288" s="85" t="s">
        <v>1368</v>
      </c>
      <c r="F288" s="85" t="s">
        <v>29</v>
      </c>
      <c r="G288" s="81" t="s">
        <v>1409</v>
      </c>
      <c r="H288" s="81"/>
    </row>
    <row r="289" spans="1:8" ht="27.75">
      <c r="A289" s="141" t="s">
        <v>283</v>
      </c>
      <c r="B289" s="141" t="s">
        <v>284</v>
      </c>
      <c r="C289" s="134">
        <f>_xlfn.IFERROR(VLOOKUP(A289,'งบทดลอง รพ.'!$A$2:$C$602,3,0),0)</f>
        <v>0</v>
      </c>
      <c r="D289" s="25"/>
      <c r="E289" s="85" t="s">
        <v>1368</v>
      </c>
      <c r="F289" s="85" t="s">
        <v>29</v>
      </c>
      <c r="G289" s="81" t="s">
        <v>1409</v>
      </c>
      <c r="H289" s="81"/>
    </row>
    <row r="290" spans="1:8" ht="27.75">
      <c r="A290" s="141" t="s">
        <v>919</v>
      </c>
      <c r="B290" s="141" t="s">
        <v>920</v>
      </c>
      <c r="C290" s="134">
        <f>_xlfn.IFERROR(VLOOKUP(A290,'งบทดลอง รพ.'!$A$2:$C$602,3,0),0)</f>
        <v>8880000</v>
      </c>
      <c r="D290" s="25"/>
      <c r="E290" s="85" t="s">
        <v>1364</v>
      </c>
      <c r="F290" s="85" t="s">
        <v>29</v>
      </c>
      <c r="G290" s="81" t="s">
        <v>1409</v>
      </c>
      <c r="H290" s="81"/>
    </row>
    <row r="291" spans="1:8" ht="27.75">
      <c r="A291" s="141" t="s">
        <v>921</v>
      </c>
      <c r="B291" s="141" t="s">
        <v>922</v>
      </c>
      <c r="C291" s="134">
        <f>_xlfn.IFERROR(VLOOKUP(A291,'งบทดลอง รพ.'!$A$2:$C$602,3,0),0)</f>
        <v>0</v>
      </c>
      <c r="D291" s="25"/>
      <c r="E291" s="85" t="s">
        <v>1364</v>
      </c>
      <c r="F291" s="85" t="s">
        <v>29</v>
      </c>
      <c r="G291" s="81" t="s">
        <v>1409</v>
      </c>
      <c r="H291" s="81"/>
    </row>
    <row r="292" spans="1:8" ht="27.75">
      <c r="A292" s="141" t="s">
        <v>923</v>
      </c>
      <c r="B292" s="141" t="s">
        <v>924</v>
      </c>
      <c r="C292" s="134">
        <f>_xlfn.IFERROR(VLOOKUP(A292,'งบทดลอง รพ.'!$A$2:$C$602,3,0),0)</f>
        <v>0</v>
      </c>
      <c r="D292" s="25"/>
      <c r="E292" s="85" t="s">
        <v>1368</v>
      </c>
      <c r="F292" s="85" t="s">
        <v>29</v>
      </c>
      <c r="G292" s="81" t="s">
        <v>1409</v>
      </c>
      <c r="H292" s="81"/>
    </row>
    <row r="293" spans="1:8" ht="27.75">
      <c r="A293" s="138" t="s">
        <v>1131</v>
      </c>
      <c r="B293" s="138" t="s">
        <v>1132</v>
      </c>
      <c r="C293" s="134">
        <f>_xlfn.IFERROR(VLOOKUP(A293,'งบทดลอง รพ.'!$A$2:$C$602,3,0),0)</f>
        <v>0</v>
      </c>
      <c r="D293" s="25"/>
      <c r="E293" s="85" t="s">
        <v>1362</v>
      </c>
      <c r="F293" s="85" t="s">
        <v>31</v>
      </c>
      <c r="G293" s="81" t="s">
        <v>1407</v>
      </c>
      <c r="H293" s="81"/>
    </row>
    <row r="294" spans="1:8" ht="27.75">
      <c r="A294" s="141" t="s">
        <v>925</v>
      </c>
      <c r="B294" s="141" t="s">
        <v>926</v>
      </c>
      <c r="C294" s="134">
        <f>_xlfn.IFERROR(VLOOKUP(A294,'งบทดลอง รพ.'!$A$2:$C$602,3,0),0)</f>
        <v>0</v>
      </c>
      <c r="D294" s="25"/>
      <c r="E294" s="85" t="s">
        <v>1368</v>
      </c>
      <c r="F294" s="85" t="s">
        <v>29</v>
      </c>
      <c r="G294" s="81" t="s">
        <v>1409</v>
      </c>
      <c r="H294" s="81"/>
    </row>
    <row r="295" spans="1:8" ht="27.75">
      <c r="A295" s="141" t="s">
        <v>927</v>
      </c>
      <c r="B295" s="141" t="s">
        <v>928</v>
      </c>
      <c r="C295" s="134">
        <f>_xlfn.IFERROR(VLOOKUP(A295,'งบทดลอง รพ.'!$A$2:$C$602,3,0),0)</f>
        <v>0</v>
      </c>
      <c r="D295" s="25"/>
      <c r="E295" s="85" t="s">
        <v>1368</v>
      </c>
      <c r="F295" s="85" t="s">
        <v>29</v>
      </c>
      <c r="G295" s="81" t="s">
        <v>1409</v>
      </c>
      <c r="H295" s="81"/>
    </row>
    <row r="296" spans="1:8" ht="27.75">
      <c r="A296" s="141" t="s">
        <v>300</v>
      </c>
      <c r="B296" s="141" t="s">
        <v>301</v>
      </c>
      <c r="C296" s="134">
        <f>_xlfn.IFERROR(VLOOKUP(A296,'งบทดลอง รพ.'!$A$2:$C$602,3,0),0)</f>
        <v>210460</v>
      </c>
      <c r="D296" s="25"/>
      <c r="E296" s="85" t="s">
        <v>1362</v>
      </c>
      <c r="F296" s="85" t="s">
        <v>31</v>
      </c>
      <c r="G296" s="81" t="s">
        <v>1409</v>
      </c>
      <c r="H296" s="81"/>
    </row>
    <row r="297" spans="1:8" ht="27.75">
      <c r="A297" s="138" t="s">
        <v>1133</v>
      </c>
      <c r="B297" s="138" t="s">
        <v>1134</v>
      </c>
      <c r="C297" s="134">
        <f>_xlfn.IFERROR(VLOOKUP(A297,'งบทดลอง รพ.'!$A$2:$C$602,3,0),0)</f>
        <v>0</v>
      </c>
      <c r="D297" s="25"/>
      <c r="E297" s="85" t="s">
        <v>1362</v>
      </c>
      <c r="F297" s="85" t="s">
        <v>31</v>
      </c>
      <c r="G297" s="81" t="s">
        <v>1407</v>
      </c>
      <c r="H297" s="81"/>
    </row>
    <row r="298" spans="1:8" ht="27.75">
      <c r="A298" s="141" t="s">
        <v>302</v>
      </c>
      <c r="B298" s="141" t="s">
        <v>303</v>
      </c>
      <c r="C298" s="134">
        <f>_xlfn.IFERROR(VLOOKUP(A298,'งบทดลอง รพ.'!$A$2:$C$602,3,0),0)</f>
        <v>112001</v>
      </c>
      <c r="D298" s="25"/>
      <c r="E298" s="85" t="s">
        <v>1362</v>
      </c>
      <c r="F298" s="85" t="s">
        <v>31</v>
      </c>
      <c r="G298" s="81" t="s">
        <v>1409</v>
      </c>
      <c r="H298" s="81"/>
    </row>
    <row r="299" spans="1:8" ht="27.75">
      <c r="A299" s="141" t="s">
        <v>929</v>
      </c>
      <c r="B299" s="141" t="s">
        <v>930</v>
      </c>
      <c r="C299" s="134">
        <f>_xlfn.IFERROR(VLOOKUP(A299,'งบทดลอง รพ.'!$A$2:$C$602,3,0),0)</f>
        <v>0</v>
      </c>
      <c r="D299" s="25"/>
      <c r="E299" s="85" t="s">
        <v>1362</v>
      </c>
      <c r="F299" s="85" t="s">
        <v>31</v>
      </c>
      <c r="G299" s="81" t="s">
        <v>1409</v>
      </c>
      <c r="H299" s="81"/>
    </row>
    <row r="300" spans="1:8" ht="27.75">
      <c r="A300" s="141" t="s">
        <v>304</v>
      </c>
      <c r="B300" s="141" t="s">
        <v>305</v>
      </c>
      <c r="C300" s="134">
        <f>_xlfn.IFERROR(VLOOKUP(A300,'งบทดลอง รพ.'!$A$2:$C$602,3,0),0)</f>
        <v>0</v>
      </c>
      <c r="D300" s="25"/>
      <c r="E300" s="85" t="s">
        <v>1362</v>
      </c>
      <c r="F300" s="85" t="s">
        <v>31</v>
      </c>
      <c r="G300" s="81" t="s">
        <v>1409</v>
      </c>
      <c r="H300" s="81"/>
    </row>
    <row r="301" spans="1:8" ht="27.75">
      <c r="A301" s="141" t="s">
        <v>306</v>
      </c>
      <c r="B301" s="141" t="s">
        <v>307</v>
      </c>
      <c r="C301" s="134">
        <f>_xlfn.IFERROR(VLOOKUP(A301,'งบทดลอง รพ.'!$A$2:$C$602,3,0),0)</f>
        <v>0</v>
      </c>
      <c r="D301" s="25"/>
      <c r="E301" s="85" t="s">
        <v>1362</v>
      </c>
      <c r="F301" s="85" t="s">
        <v>31</v>
      </c>
      <c r="G301" s="81" t="s">
        <v>1409</v>
      </c>
      <c r="H301" s="81"/>
    </row>
    <row r="302" spans="1:8" ht="27.75">
      <c r="A302" s="141" t="s">
        <v>308</v>
      </c>
      <c r="B302" s="141" t="s">
        <v>1500</v>
      </c>
      <c r="C302" s="134">
        <f>_xlfn.IFERROR(VLOOKUP(A302,'งบทดลอง รพ.'!$A$2:$C$602,3,0),0)</f>
        <v>0</v>
      </c>
      <c r="D302" s="25"/>
      <c r="E302" s="85" t="s">
        <v>1362</v>
      </c>
      <c r="F302" s="85" t="s">
        <v>31</v>
      </c>
      <c r="G302" s="81" t="s">
        <v>1409</v>
      </c>
      <c r="H302" s="81"/>
    </row>
    <row r="303" spans="1:8" ht="27.75">
      <c r="A303" s="138" t="s">
        <v>1135</v>
      </c>
      <c r="B303" s="138" t="s">
        <v>1136</v>
      </c>
      <c r="C303" s="134">
        <f>_xlfn.IFERROR(VLOOKUP(A303,'งบทดลอง รพ.'!$A$2:$C$602,3,0),0)</f>
        <v>0</v>
      </c>
      <c r="D303" s="25"/>
      <c r="E303" s="85" t="s">
        <v>1362</v>
      </c>
      <c r="F303" s="85" t="s">
        <v>31</v>
      </c>
      <c r="G303" s="81" t="s">
        <v>1407</v>
      </c>
      <c r="H303" s="81"/>
    </row>
    <row r="304" spans="1:8" ht="27.75">
      <c r="A304" s="138" t="s">
        <v>1137</v>
      </c>
      <c r="B304" s="138" t="s">
        <v>1138</v>
      </c>
      <c r="C304" s="134">
        <f>_xlfn.IFERROR(VLOOKUP(A304,'งบทดลอง รพ.'!$A$2:$C$602,3,0),0)</f>
        <v>0</v>
      </c>
      <c r="D304" s="25"/>
      <c r="E304" s="85" t="s">
        <v>1362</v>
      </c>
      <c r="F304" s="85" t="s">
        <v>31</v>
      </c>
      <c r="G304" s="81" t="s">
        <v>1407</v>
      </c>
      <c r="H304" s="81"/>
    </row>
    <row r="305" spans="1:8" ht="27.75">
      <c r="A305" s="138" t="s">
        <v>1139</v>
      </c>
      <c r="B305" s="138" t="s">
        <v>1140</v>
      </c>
      <c r="C305" s="134">
        <f>_xlfn.IFERROR(VLOOKUP(A305,'งบทดลอง รพ.'!$A$2:$C$602,3,0),0)</f>
        <v>0</v>
      </c>
      <c r="D305" s="25"/>
      <c r="E305" s="85" t="s">
        <v>1362</v>
      </c>
      <c r="F305" s="85" t="s">
        <v>31</v>
      </c>
      <c r="G305" s="81" t="s">
        <v>1407</v>
      </c>
      <c r="H305" s="81"/>
    </row>
    <row r="306" spans="1:8" ht="27.75">
      <c r="A306" s="138" t="s">
        <v>1141</v>
      </c>
      <c r="B306" s="138" t="s">
        <v>1142</v>
      </c>
      <c r="C306" s="134">
        <f>_xlfn.IFERROR(VLOOKUP(A306,'งบทดลอง รพ.'!$A$2:$C$602,3,0),0)</f>
        <v>0</v>
      </c>
      <c r="D306" s="25"/>
      <c r="E306" s="85" t="s">
        <v>1362</v>
      </c>
      <c r="F306" s="85" t="s">
        <v>31</v>
      </c>
      <c r="G306" s="81" t="s">
        <v>1407</v>
      </c>
      <c r="H306" s="81"/>
    </row>
    <row r="307" spans="1:8" ht="27.75">
      <c r="A307" s="138" t="s">
        <v>1143</v>
      </c>
      <c r="B307" s="138" t="s">
        <v>1144</v>
      </c>
      <c r="C307" s="134">
        <f>_xlfn.IFERROR(VLOOKUP(A307,'งบทดลอง รพ.'!$A$2:$C$602,3,0),0)</f>
        <v>0</v>
      </c>
      <c r="D307" s="25"/>
      <c r="E307" s="85" t="s">
        <v>1362</v>
      </c>
      <c r="F307" s="85" t="s">
        <v>31</v>
      </c>
      <c r="G307" s="81" t="s">
        <v>1407</v>
      </c>
      <c r="H307" s="81"/>
    </row>
    <row r="308" spans="1:8" ht="27.75">
      <c r="A308" s="141" t="s">
        <v>309</v>
      </c>
      <c r="B308" s="141" t="s">
        <v>310</v>
      </c>
      <c r="C308" s="134">
        <f>_xlfn.IFERROR(VLOOKUP(A308,'งบทดลอง รพ.'!$A$2:$C$602,3,0),0)</f>
        <v>0</v>
      </c>
      <c r="D308" s="25"/>
      <c r="E308" s="85" t="s">
        <v>1362</v>
      </c>
      <c r="F308" s="85" t="s">
        <v>31</v>
      </c>
      <c r="G308" s="81" t="s">
        <v>1409</v>
      </c>
      <c r="H308" s="81"/>
    </row>
    <row r="309" spans="1:8" ht="27.75">
      <c r="A309" s="138" t="s">
        <v>1145</v>
      </c>
      <c r="B309" s="138" t="s">
        <v>1146</v>
      </c>
      <c r="C309" s="134">
        <f>_xlfn.IFERROR(VLOOKUP(A309,'งบทดลอง รพ.'!$A$2:$C$602,3,0),0)</f>
        <v>0</v>
      </c>
      <c r="D309" s="25"/>
      <c r="E309" s="85" t="s">
        <v>1362</v>
      </c>
      <c r="F309" s="85" t="s">
        <v>31</v>
      </c>
      <c r="G309" s="81" t="s">
        <v>1407</v>
      </c>
      <c r="H309" s="81"/>
    </row>
    <row r="310" spans="1:8" ht="27.75">
      <c r="A310" s="141" t="s">
        <v>311</v>
      </c>
      <c r="B310" s="141" t="s">
        <v>312</v>
      </c>
      <c r="C310" s="134">
        <f>_xlfn.IFERROR(VLOOKUP(A310,'งบทดลอง รพ.'!$A$2:$C$602,3,0),0)</f>
        <v>0</v>
      </c>
      <c r="D310" s="25"/>
      <c r="E310" s="85" t="s">
        <v>1362</v>
      </c>
      <c r="F310" s="85" t="s">
        <v>31</v>
      </c>
      <c r="G310" s="81" t="s">
        <v>1409</v>
      </c>
      <c r="H310" s="81"/>
    </row>
    <row r="311" spans="1:8" ht="27.75">
      <c r="A311" s="141" t="s">
        <v>313</v>
      </c>
      <c r="B311" s="141" t="s">
        <v>314</v>
      </c>
      <c r="C311" s="134">
        <f>_xlfn.IFERROR(VLOOKUP(A311,'งบทดลอง รพ.'!$A$2:$C$602,3,0),0)</f>
        <v>0</v>
      </c>
      <c r="D311" s="25"/>
      <c r="E311" s="85" t="s">
        <v>1362</v>
      </c>
      <c r="F311" s="85" t="s">
        <v>31</v>
      </c>
      <c r="G311" s="81" t="s">
        <v>1409</v>
      </c>
      <c r="H311" s="81"/>
    </row>
    <row r="312" spans="1:8" ht="27.75">
      <c r="A312" s="138" t="s">
        <v>1147</v>
      </c>
      <c r="B312" s="138" t="s">
        <v>1148</v>
      </c>
      <c r="C312" s="134">
        <f>_xlfn.IFERROR(VLOOKUP(A312,'งบทดลอง รพ.'!$A$2:$C$602,3,0),0)</f>
        <v>0</v>
      </c>
      <c r="D312" s="25"/>
      <c r="E312" s="85" t="s">
        <v>1362</v>
      </c>
      <c r="F312" s="85" t="s">
        <v>31</v>
      </c>
      <c r="G312" s="81" t="s">
        <v>1407</v>
      </c>
      <c r="H312" s="81"/>
    </row>
    <row r="313" spans="1:8" ht="27.75">
      <c r="A313" s="141" t="s">
        <v>315</v>
      </c>
      <c r="B313" s="141" t="s">
        <v>301</v>
      </c>
      <c r="C313" s="134">
        <f>_xlfn.IFERROR(VLOOKUP(A313,'งบทดลอง รพ.'!$A$2:$C$602,3,0),0)</f>
        <v>0</v>
      </c>
      <c r="D313" s="25"/>
      <c r="E313" s="85" t="s">
        <v>1362</v>
      </c>
      <c r="F313" s="85" t="s">
        <v>31</v>
      </c>
      <c r="G313" s="81" t="s">
        <v>1409</v>
      </c>
      <c r="H313" s="81"/>
    </row>
    <row r="314" spans="1:8" ht="27.75">
      <c r="A314" s="138" t="s">
        <v>1149</v>
      </c>
      <c r="B314" s="138" t="s">
        <v>1134</v>
      </c>
      <c r="C314" s="134">
        <f>_xlfn.IFERROR(VLOOKUP(A314,'งบทดลอง รพ.'!$A$2:$C$602,3,0),0)</f>
        <v>0</v>
      </c>
      <c r="D314" s="25"/>
      <c r="E314" s="85" t="s">
        <v>1362</v>
      </c>
      <c r="F314" s="85" t="s">
        <v>31</v>
      </c>
      <c r="G314" s="81" t="s">
        <v>1407</v>
      </c>
      <c r="H314" s="81"/>
    </row>
    <row r="315" spans="1:8" ht="27.75">
      <c r="A315" s="141" t="s">
        <v>316</v>
      </c>
      <c r="B315" s="141" t="s">
        <v>317</v>
      </c>
      <c r="C315" s="134">
        <f>_xlfn.IFERROR(VLOOKUP(A315,'งบทดลอง รพ.'!$A$2:$C$602,3,0),0)</f>
        <v>0</v>
      </c>
      <c r="D315" s="25"/>
      <c r="E315" s="85" t="s">
        <v>1362</v>
      </c>
      <c r="F315" s="85" t="s">
        <v>31</v>
      </c>
      <c r="G315" s="81" t="s">
        <v>1409</v>
      </c>
      <c r="H315" s="81"/>
    </row>
    <row r="316" spans="1:8" ht="27.75">
      <c r="A316" s="141" t="s">
        <v>931</v>
      </c>
      <c r="B316" s="141" t="s">
        <v>932</v>
      </c>
      <c r="C316" s="134">
        <f>_xlfn.IFERROR(VLOOKUP(A316,'งบทดลอง รพ.'!$A$2:$C$602,3,0),0)</f>
        <v>0</v>
      </c>
      <c r="D316" s="25"/>
      <c r="E316" s="85" t="s">
        <v>1362</v>
      </c>
      <c r="F316" s="85" t="s">
        <v>31</v>
      </c>
      <c r="G316" s="81" t="s">
        <v>1409</v>
      </c>
      <c r="H316" s="81"/>
    </row>
    <row r="317" spans="1:8" ht="27.75">
      <c r="A317" s="141" t="s">
        <v>318</v>
      </c>
      <c r="B317" s="141" t="s">
        <v>319</v>
      </c>
      <c r="C317" s="134">
        <f>_xlfn.IFERROR(VLOOKUP(A317,'งบทดลอง รพ.'!$A$2:$C$602,3,0),0)</f>
        <v>0</v>
      </c>
      <c r="D317" s="25"/>
      <c r="E317" s="85" t="s">
        <v>1362</v>
      </c>
      <c r="F317" s="85" t="s">
        <v>31</v>
      </c>
      <c r="G317" s="81" t="s">
        <v>1409</v>
      </c>
      <c r="H317" s="81"/>
    </row>
    <row r="318" spans="1:8" ht="27.75">
      <c r="A318" s="141" t="s">
        <v>320</v>
      </c>
      <c r="B318" s="141" t="s">
        <v>321</v>
      </c>
      <c r="C318" s="134">
        <f>_xlfn.IFERROR(VLOOKUP(A318,'งบทดลอง รพ.'!$A$2:$C$602,3,0),0)</f>
        <v>0</v>
      </c>
      <c r="D318" s="25"/>
      <c r="E318" s="85" t="s">
        <v>1362</v>
      </c>
      <c r="F318" s="85" t="s">
        <v>31</v>
      </c>
      <c r="G318" s="81" t="s">
        <v>1409</v>
      </c>
      <c r="H318" s="81"/>
    </row>
    <row r="319" spans="1:8" ht="27.75">
      <c r="A319" s="141" t="s">
        <v>322</v>
      </c>
      <c r="B319" s="141" t="s">
        <v>323</v>
      </c>
      <c r="C319" s="134">
        <f>_xlfn.IFERROR(VLOOKUP(A319,'งบทดลอง รพ.'!$A$2:$C$602,3,0),0)</f>
        <v>0</v>
      </c>
      <c r="D319" s="25"/>
      <c r="E319" s="85" t="s">
        <v>1362</v>
      </c>
      <c r="F319" s="85" t="s">
        <v>31</v>
      </c>
      <c r="G319" s="81" t="s">
        <v>1409</v>
      </c>
      <c r="H319" s="81"/>
    </row>
    <row r="320" spans="1:8" ht="27.75">
      <c r="A320" s="141" t="s">
        <v>324</v>
      </c>
      <c r="B320" s="141" t="s">
        <v>325</v>
      </c>
      <c r="C320" s="134">
        <f>_xlfn.IFERROR(VLOOKUP(A320,'งบทดลอง รพ.'!$A$2:$C$602,3,0),0)</f>
        <v>3000000</v>
      </c>
      <c r="D320" s="25"/>
      <c r="E320" s="85" t="s">
        <v>1362</v>
      </c>
      <c r="F320" s="85" t="s">
        <v>31</v>
      </c>
      <c r="G320" s="81" t="s">
        <v>1409</v>
      </c>
      <c r="H320" s="81"/>
    </row>
    <row r="321" spans="1:8" ht="27.75">
      <c r="A321" s="138" t="s">
        <v>1150</v>
      </c>
      <c r="B321" s="138" t="s">
        <v>1151</v>
      </c>
      <c r="C321" s="134">
        <f>_xlfn.IFERROR(VLOOKUP(A321,'งบทดลอง รพ.'!$A$2:$C$602,3,0),0)</f>
        <v>0</v>
      </c>
      <c r="D321" s="25"/>
      <c r="E321" s="85" t="s">
        <v>1362</v>
      </c>
      <c r="F321" s="85" t="s">
        <v>31</v>
      </c>
      <c r="G321" s="81" t="s">
        <v>1407</v>
      </c>
      <c r="H321" s="81"/>
    </row>
    <row r="322" spans="1:8" ht="27.75">
      <c r="A322" s="138" t="s">
        <v>1152</v>
      </c>
      <c r="B322" s="138" t="s">
        <v>1153</v>
      </c>
      <c r="C322" s="134">
        <f>_xlfn.IFERROR(VLOOKUP(A322,'งบทดลอง รพ.'!$A$2:$C$602,3,0),0)</f>
        <v>0</v>
      </c>
      <c r="D322" s="25"/>
      <c r="E322" s="85" t="s">
        <v>1362</v>
      </c>
      <c r="F322" s="85" t="s">
        <v>31</v>
      </c>
      <c r="G322" s="81" t="s">
        <v>1407</v>
      </c>
      <c r="H322" s="81"/>
    </row>
    <row r="323" spans="1:8" ht="27.75">
      <c r="A323" s="141" t="s">
        <v>326</v>
      </c>
      <c r="B323" s="141" t="s">
        <v>327</v>
      </c>
      <c r="C323" s="134">
        <f>_xlfn.IFERROR(VLOOKUP(A323,'งบทดลอง รพ.'!$A$2:$C$602,3,0),0)</f>
        <v>0</v>
      </c>
      <c r="D323" s="25"/>
      <c r="E323" s="85" t="s">
        <v>1362</v>
      </c>
      <c r="F323" s="85" t="s">
        <v>31</v>
      </c>
      <c r="G323" s="81" t="s">
        <v>1409</v>
      </c>
      <c r="H323" s="81"/>
    </row>
    <row r="324" spans="1:8" ht="27.75">
      <c r="A324" s="141" t="s">
        <v>328</v>
      </c>
      <c r="B324" s="141" t="s">
        <v>329</v>
      </c>
      <c r="C324" s="134">
        <f>_xlfn.IFERROR(VLOOKUP(A324,'งบทดลอง รพ.'!$A$2:$C$602,3,0),0)</f>
        <v>188240</v>
      </c>
      <c r="D324" s="25"/>
      <c r="E324" s="85" t="s">
        <v>1370</v>
      </c>
      <c r="F324" s="85" t="s">
        <v>33</v>
      </c>
      <c r="G324" s="81" t="s">
        <v>1409</v>
      </c>
      <c r="H324" s="81"/>
    </row>
    <row r="325" spans="1:8" ht="27.75">
      <c r="A325" s="141" t="s">
        <v>330</v>
      </c>
      <c r="B325" s="141" t="s">
        <v>331</v>
      </c>
      <c r="C325" s="134">
        <f>_xlfn.IFERROR(VLOOKUP(A325,'งบทดลอง รพ.'!$A$2:$C$602,3,0),0)</f>
        <v>290466</v>
      </c>
      <c r="D325" s="25"/>
      <c r="E325" s="85" t="s">
        <v>1370</v>
      </c>
      <c r="F325" s="85" t="s">
        <v>33</v>
      </c>
      <c r="G325" s="81" t="s">
        <v>1409</v>
      </c>
      <c r="H325" s="81"/>
    </row>
    <row r="326" spans="1:8" ht="27.75">
      <c r="A326" s="141" t="s">
        <v>332</v>
      </c>
      <c r="B326" s="141" t="s">
        <v>333</v>
      </c>
      <c r="C326" s="134">
        <f>_xlfn.IFERROR(VLOOKUP(A326,'งบทดลอง รพ.'!$A$2:$C$602,3,0),0)</f>
        <v>243587.5</v>
      </c>
      <c r="D326" s="25"/>
      <c r="E326" s="85" t="s">
        <v>1370</v>
      </c>
      <c r="F326" s="85" t="s">
        <v>33</v>
      </c>
      <c r="G326" s="81" t="s">
        <v>1409</v>
      </c>
      <c r="H326" s="81"/>
    </row>
    <row r="327" spans="1:8" ht="27.75">
      <c r="A327" s="138" t="s">
        <v>1154</v>
      </c>
      <c r="B327" s="138" t="s">
        <v>1155</v>
      </c>
      <c r="C327" s="134">
        <f>_xlfn.IFERROR(VLOOKUP(A327,'งบทดลอง รพ.'!$A$2:$C$602,3,0),0)</f>
        <v>0</v>
      </c>
      <c r="D327" s="25"/>
      <c r="E327" s="85" t="s">
        <v>1370</v>
      </c>
      <c r="F327" s="85" t="s">
        <v>33</v>
      </c>
      <c r="G327" s="81" t="s">
        <v>1407</v>
      </c>
      <c r="H327" s="81"/>
    </row>
    <row r="328" spans="1:8" ht="27.75">
      <c r="A328" s="138" t="s">
        <v>1156</v>
      </c>
      <c r="B328" s="138" t="s">
        <v>1157</v>
      </c>
      <c r="C328" s="134">
        <f>_xlfn.IFERROR(VLOOKUP(A328,'งบทดลอง รพ.'!$A$2:$C$602,3,0),0)</f>
        <v>0</v>
      </c>
      <c r="D328" s="25"/>
      <c r="E328" s="85" t="s">
        <v>1370</v>
      </c>
      <c r="F328" s="85" t="s">
        <v>33</v>
      </c>
      <c r="G328" s="81" t="s">
        <v>1407</v>
      </c>
      <c r="H328" s="81"/>
    </row>
    <row r="329" spans="1:8" ht="27.75">
      <c r="A329" s="138" t="s">
        <v>1158</v>
      </c>
      <c r="B329" s="138" t="s">
        <v>1159</v>
      </c>
      <c r="C329" s="134">
        <f>_xlfn.IFERROR(VLOOKUP(A329,'งบทดลอง รพ.'!$A$2:$C$602,3,0),0)</f>
        <v>0</v>
      </c>
      <c r="D329" s="25"/>
      <c r="E329" s="85" t="s">
        <v>1370</v>
      </c>
      <c r="F329" s="85" t="s">
        <v>33</v>
      </c>
      <c r="G329" s="81" t="s">
        <v>1407</v>
      </c>
      <c r="H329" s="81"/>
    </row>
    <row r="330" spans="1:8" ht="27.75">
      <c r="A330" s="141" t="s">
        <v>933</v>
      </c>
      <c r="B330" s="141" t="s">
        <v>399</v>
      </c>
      <c r="C330" s="134">
        <f>_xlfn.IFERROR(VLOOKUP(A330,'งบทดลอง รพ.'!$A$2:$C$602,3,0),0)</f>
        <v>1827449</v>
      </c>
      <c r="D330" s="25"/>
      <c r="E330" s="85" t="s">
        <v>1382</v>
      </c>
      <c r="F330" s="85" t="s">
        <v>37</v>
      </c>
      <c r="G330" s="81" t="s">
        <v>1409</v>
      </c>
      <c r="H330" s="81"/>
    </row>
    <row r="331" spans="1:8" ht="27.75">
      <c r="A331" s="141" t="s">
        <v>934</v>
      </c>
      <c r="B331" s="141" t="s">
        <v>400</v>
      </c>
      <c r="C331" s="134">
        <f>_xlfn.IFERROR(VLOOKUP(A331,'งบทดลอง รพ.'!$A$2:$C$602,3,0),0)</f>
        <v>412100</v>
      </c>
      <c r="D331" s="25"/>
      <c r="E331" s="85" t="s">
        <v>1382</v>
      </c>
      <c r="F331" s="85" t="s">
        <v>37</v>
      </c>
      <c r="G331" s="81" t="s">
        <v>1409</v>
      </c>
      <c r="H331" s="81"/>
    </row>
    <row r="332" spans="1:8" ht="27.75">
      <c r="A332" s="141" t="s">
        <v>935</v>
      </c>
      <c r="B332" s="141" t="s">
        <v>401</v>
      </c>
      <c r="C332" s="134">
        <f>_xlfn.IFERROR(VLOOKUP(A332,'งบทดลอง รพ.'!$A$2:$C$602,3,0),0)</f>
        <v>1311472</v>
      </c>
      <c r="D332" s="25"/>
      <c r="E332" s="85" t="s">
        <v>1382</v>
      </c>
      <c r="F332" s="85" t="s">
        <v>37</v>
      </c>
      <c r="G332" s="81" t="s">
        <v>1409</v>
      </c>
      <c r="H332" s="81"/>
    </row>
    <row r="333" spans="1:8" ht="27.75">
      <c r="A333" s="141" t="s">
        <v>936</v>
      </c>
      <c r="B333" s="141" t="s">
        <v>402</v>
      </c>
      <c r="C333" s="134">
        <f>_xlfn.IFERROR(VLOOKUP(A333,'งบทดลอง รพ.'!$A$2:$C$602,3,0),0)</f>
        <v>27950</v>
      </c>
      <c r="D333" s="25"/>
      <c r="E333" s="85" t="s">
        <v>1382</v>
      </c>
      <c r="F333" s="85" t="s">
        <v>37</v>
      </c>
      <c r="G333" s="81" t="s">
        <v>1409</v>
      </c>
      <c r="H333" s="81"/>
    </row>
    <row r="334" spans="1:8" ht="27.75">
      <c r="A334" s="141" t="s">
        <v>937</v>
      </c>
      <c r="B334" s="141" t="s">
        <v>403</v>
      </c>
      <c r="C334" s="134">
        <f>_xlfn.IFERROR(VLOOKUP(A334,'งบทดลอง รพ.'!$A$2:$C$602,3,0),0)</f>
        <v>564180</v>
      </c>
      <c r="D334" s="25"/>
      <c r="E334" s="85" t="s">
        <v>1382</v>
      </c>
      <c r="F334" s="85" t="s">
        <v>37</v>
      </c>
      <c r="G334" s="81" t="s">
        <v>1409</v>
      </c>
      <c r="H334" s="81"/>
    </row>
    <row r="335" spans="1:8" ht="27.75">
      <c r="A335" s="141" t="s">
        <v>938</v>
      </c>
      <c r="B335" s="141" t="s">
        <v>404</v>
      </c>
      <c r="C335" s="134">
        <f>_xlfn.IFERROR(VLOOKUP(A335,'งบทดลอง รพ.'!$A$2:$C$602,3,0),0)</f>
        <v>2702995</v>
      </c>
      <c r="D335" s="25"/>
      <c r="E335" s="85" t="s">
        <v>1382</v>
      </c>
      <c r="F335" s="85" t="s">
        <v>37</v>
      </c>
      <c r="G335" s="81" t="s">
        <v>1409</v>
      </c>
      <c r="H335" s="81"/>
    </row>
    <row r="336" spans="1:8" ht="27.75">
      <c r="A336" s="141" t="s">
        <v>939</v>
      </c>
      <c r="B336" s="141" t="s">
        <v>409</v>
      </c>
      <c r="C336" s="134">
        <f>_xlfn.IFERROR(VLOOKUP(A336,'งบทดลอง รพ.'!$A$2:$C$602,3,0),0)</f>
        <v>1112975</v>
      </c>
      <c r="D336" s="25"/>
      <c r="E336" s="85" t="s">
        <v>1382</v>
      </c>
      <c r="F336" s="85" t="s">
        <v>37</v>
      </c>
      <c r="G336" s="81" t="s">
        <v>1409</v>
      </c>
      <c r="H336" s="81"/>
    </row>
    <row r="337" spans="1:8" ht="27.75">
      <c r="A337" s="141" t="s">
        <v>940</v>
      </c>
      <c r="B337" s="141" t="s">
        <v>410</v>
      </c>
      <c r="C337" s="134">
        <f>_xlfn.IFERROR(VLOOKUP(A337,'งบทดลอง รพ.'!$A$2:$C$602,3,0),0)</f>
        <v>807404</v>
      </c>
      <c r="D337" s="25"/>
      <c r="E337" s="85" t="s">
        <v>1382</v>
      </c>
      <c r="F337" s="85" t="s">
        <v>37</v>
      </c>
      <c r="G337" s="81" t="s">
        <v>1409</v>
      </c>
      <c r="H337" s="81"/>
    </row>
    <row r="338" spans="1:8" ht="27.75">
      <c r="A338" s="141" t="s">
        <v>941</v>
      </c>
      <c r="B338" s="141" t="s">
        <v>411</v>
      </c>
      <c r="C338" s="134">
        <f>_xlfn.IFERROR(VLOOKUP(A338,'งบทดลอง รพ.'!$A$2:$C$602,3,0),0)</f>
        <v>0</v>
      </c>
      <c r="D338" s="25"/>
      <c r="E338" s="85" t="s">
        <v>1382</v>
      </c>
      <c r="F338" s="85" t="s">
        <v>37</v>
      </c>
      <c r="G338" s="81" t="s">
        <v>1409</v>
      </c>
      <c r="H338" s="81"/>
    </row>
    <row r="339" spans="1:8" ht="27.75">
      <c r="A339" s="141" t="s">
        <v>334</v>
      </c>
      <c r="B339" s="141" t="s">
        <v>335</v>
      </c>
      <c r="C339" s="134">
        <f>_xlfn.IFERROR(VLOOKUP(A339,'งบทดลอง รพ.'!$A$2:$C$602,3,0),0)</f>
        <v>10000</v>
      </c>
      <c r="D339" s="25"/>
      <c r="E339" s="85" t="s">
        <v>1372</v>
      </c>
      <c r="F339" s="85" t="s">
        <v>33</v>
      </c>
      <c r="G339" s="81" t="s">
        <v>1409</v>
      </c>
      <c r="H339" s="81"/>
    </row>
    <row r="340" spans="1:8" ht="27.75">
      <c r="A340" s="141" t="s">
        <v>336</v>
      </c>
      <c r="B340" s="141" t="s">
        <v>337</v>
      </c>
      <c r="C340" s="134">
        <f>_xlfn.IFERROR(VLOOKUP(A340,'งบทดลอง รพ.'!$A$2:$C$602,3,0),0)</f>
        <v>12000</v>
      </c>
      <c r="D340" s="25"/>
      <c r="E340" s="85" t="s">
        <v>1372</v>
      </c>
      <c r="F340" s="85" t="s">
        <v>33</v>
      </c>
      <c r="G340" s="81" t="s">
        <v>1409</v>
      </c>
      <c r="H340" s="81"/>
    </row>
    <row r="341" spans="1:8" ht="27.75">
      <c r="A341" s="141" t="s">
        <v>338</v>
      </c>
      <c r="B341" s="141" t="s">
        <v>339</v>
      </c>
      <c r="C341" s="134">
        <f>_xlfn.IFERROR(VLOOKUP(A341,'งบทดลอง รพ.'!$A$2:$C$602,3,0),0)</f>
        <v>200000</v>
      </c>
      <c r="D341" s="25"/>
      <c r="E341" s="85" t="s">
        <v>1372</v>
      </c>
      <c r="F341" s="85" t="s">
        <v>33</v>
      </c>
      <c r="G341" s="81" t="s">
        <v>1409</v>
      </c>
      <c r="H341" s="81"/>
    </row>
    <row r="342" spans="1:8" ht="27.75">
      <c r="A342" s="141" t="s">
        <v>340</v>
      </c>
      <c r="B342" s="141" t="s">
        <v>341</v>
      </c>
      <c r="C342" s="134">
        <f>_xlfn.IFERROR(VLOOKUP(A342,'งบทดลอง รพ.'!$A$2:$C$602,3,0),0)</f>
        <v>50000</v>
      </c>
      <c r="D342" s="25"/>
      <c r="E342" s="85" t="s">
        <v>1372</v>
      </c>
      <c r="F342" s="85" t="s">
        <v>33</v>
      </c>
      <c r="G342" s="81" t="s">
        <v>1409</v>
      </c>
      <c r="H342" s="81"/>
    </row>
    <row r="343" spans="1:8" ht="27.75">
      <c r="A343" s="141" t="s">
        <v>342</v>
      </c>
      <c r="B343" s="141" t="s">
        <v>343</v>
      </c>
      <c r="C343" s="134">
        <f>_xlfn.IFERROR(VLOOKUP(A343,'งบทดลอง รพ.'!$A$2:$C$602,3,0),0)</f>
        <v>50000</v>
      </c>
      <c r="D343" s="25"/>
      <c r="E343" s="85" t="s">
        <v>1372</v>
      </c>
      <c r="F343" s="85" t="s">
        <v>33</v>
      </c>
      <c r="G343" s="81" t="s">
        <v>1409</v>
      </c>
      <c r="H343" s="81"/>
    </row>
    <row r="344" spans="1:8" ht="27.75">
      <c r="A344" s="141" t="s">
        <v>344</v>
      </c>
      <c r="B344" s="141" t="s">
        <v>345</v>
      </c>
      <c r="C344" s="134">
        <f>_xlfn.IFERROR(VLOOKUP(A344,'งบทดลอง รพ.'!$A$2:$C$602,3,0),0)</f>
        <v>1000000</v>
      </c>
      <c r="D344" s="25"/>
      <c r="E344" s="85" t="s">
        <v>1372</v>
      </c>
      <c r="F344" s="85" t="s">
        <v>33</v>
      </c>
      <c r="G344" s="81" t="s">
        <v>1409</v>
      </c>
      <c r="H344" s="81"/>
    </row>
    <row r="345" spans="1:8" ht="27.75">
      <c r="A345" s="141" t="s">
        <v>346</v>
      </c>
      <c r="B345" s="141" t="s">
        <v>347</v>
      </c>
      <c r="C345" s="134">
        <f>_xlfn.IFERROR(VLOOKUP(A345,'งบทดลอง รพ.'!$A$2:$C$602,3,0),0)</f>
        <v>0</v>
      </c>
      <c r="D345" s="25"/>
      <c r="E345" s="85" t="s">
        <v>1372</v>
      </c>
      <c r="F345" s="85" t="s">
        <v>33</v>
      </c>
      <c r="G345" s="81" t="s">
        <v>1409</v>
      </c>
      <c r="H345" s="81"/>
    </row>
    <row r="346" spans="1:8" ht="27.75">
      <c r="A346" s="141" t="s">
        <v>348</v>
      </c>
      <c r="B346" s="141" t="s">
        <v>349</v>
      </c>
      <c r="C346" s="134">
        <f>_xlfn.IFERROR(VLOOKUP(A346,'งบทดลอง รพ.'!$A$2:$C$602,3,0),0)</f>
        <v>150000</v>
      </c>
      <c r="D346" s="25"/>
      <c r="E346" s="85" t="s">
        <v>1372</v>
      </c>
      <c r="F346" s="85" t="s">
        <v>33</v>
      </c>
      <c r="G346" s="81" t="s">
        <v>1409</v>
      </c>
      <c r="H346" s="81"/>
    </row>
    <row r="347" spans="1:8" ht="27.75">
      <c r="A347" s="141" t="s">
        <v>350</v>
      </c>
      <c r="B347" s="141" t="s">
        <v>351</v>
      </c>
      <c r="C347" s="134">
        <f>_xlfn.IFERROR(VLOOKUP(A347,'งบทดลอง รพ.'!$A$2:$C$602,3,0),0)</f>
        <v>650000</v>
      </c>
      <c r="D347" s="25"/>
      <c r="E347" s="85" t="s">
        <v>1374</v>
      </c>
      <c r="F347" s="85" t="s">
        <v>33</v>
      </c>
      <c r="G347" s="81" t="s">
        <v>1409</v>
      </c>
      <c r="H347" s="81"/>
    </row>
    <row r="348" spans="1:8" ht="27.75">
      <c r="A348" s="141" t="s">
        <v>352</v>
      </c>
      <c r="B348" s="141" t="s">
        <v>353</v>
      </c>
      <c r="C348" s="134">
        <f>_xlfn.IFERROR(VLOOKUP(A348,'งบทดลอง รพ.'!$A$2:$C$602,3,0),0)</f>
        <v>0</v>
      </c>
      <c r="D348" s="25"/>
      <c r="E348" s="85" t="s">
        <v>1374</v>
      </c>
      <c r="F348" s="85" t="s">
        <v>33</v>
      </c>
      <c r="G348" s="81" t="s">
        <v>1409</v>
      </c>
      <c r="H348" s="81"/>
    </row>
    <row r="349" spans="1:8" ht="27.75">
      <c r="A349" s="141" t="s">
        <v>354</v>
      </c>
      <c r="B349" s="141" t="s">
        <v>1501</v>
      </c>
      <c r="C349" s="134">
        <f>_xlfn.IFERROR(VLOOKUP(A349,'งบทดลอง รพ.'!$A$2:$C$602,3,0),0)</f>
        <v>0</v>
      </c>
      <c r="D349" s="25"/>
      <c r="E349" s="85" t="s">
        <v>1374</v>
      </c>
      <c r="F349" s="85" t="s">
        <v>33</v>
      </c>
      <c r="G349" s="81" t="s">
        <v>1409</v>
      </c>
      <c r="H349" s="81"/>
    </row>
    <row r="350" spans="1:8" ht="27.75">
      <c r="A350" s="141" t="s">
        <v>355</v>
      </c>
      <c r="B350" s="141" t="s">
        <v>356</v>
      </c>
      <c r="C350" s="134">
        <f>_xlfn.IFERROR(VLOOKUP(A350,'งบทดลอง รพ.'!$A$2:$C$602,3,0),0)</f>
        <v>0</v>
      </c>
      <c r="D350" s="25"/>
      <c r="E350" s="85" t="s">
        <v>1374</v>
      </c>
      <c r="F350" s="85" t="s">
        <v>33</v>
      </c>
      <c r="G350" s="81" t="s">
        <v>1409</v>
      </c>
      <c r="H350" s="81"/>
    </row>
    <row r="351" spans="1:8" ht="27.75">
      <c r="A351" s="141" t="s">
        <v>357</v>
      </c>
      <c r="B351" s="141" t="s">
        <v>358</v>
      </c>
      <c r="C351" s="134">
        <f>_xlfn.IFERROR(VLOOKUP(A351,'งบทดลอง รพ.'!$A$2:$C$602,3,0),0)</f>
        <v>5000</v>
      </c>
      <c r="D351" s="25"/>
      <c r="E351" s="85" t="s">
        <v>1374</v>
      </c>
      <c r="F351" s="85" t="s">
        <v>33</v>
      </c>
      <c r="G351" s="81" t="s">
        <v>1409</v>
      </c>
      <c r="H351" s="81"/>
    </row>
    <row r="352" spans="1:8" ht="27.75">
      <c r="A352" s="141" t="s">
        <v>942</v>
      </c>
      <c r="B352" s="141" t="s">
        <v>943</v>
      </c>
      <c r="C352" s="134">
        <f>_xlfn.IFERROR(VLOOKUP(A352,'งบทดลอง รพ.'!$A$2:$C$602,3,0),0)</f>
        <v>1739600</v>
      </c>
      <c r="D352" s="25"/>
      <c r="E352" s="85" t="s">
        <v>1382</v>
      </c>
      <c r="F352" s="85" t="s">
        <v>37</v>
      </c>
      <c r="G352" s="81" t="s">
        <v>1409</v>
      </c>
      <c r="H352" s="81"/>
    </row>
    <row r="353" spans="1:8" ht="27.75">
      <c r="A353" s="141" t="s">
        <v>359</v>
      </c>
      <c r="B353" s="141" t="s">
        <v>360</v>
      </c>
      <c r="C353" s="134">
        <f>_xlfn.IFERROR(VLOOKUP(A353,'งบทดลอง รพ.'!$A$2:$C$602,3,0),0)</f>
        <v>0</v>
      </c>
      <c r="D353" s="25"/>
      <c r="E353" s="85" t="s">
        <v>1376</v>
      </c>
      <c r="F353" s="85" t="s">
        <v>33</v>
      </c>
      <c r="G353" s="81" t="s">
        <v>1409</v>
      </c>
      <c r="H353" s="81"/>
    </row>
    <row r="354" spans="1:8" ht="27.75">
      <c r="A354" s="141" t="s">
        <v>361</v>
      </c>
      <c r="B354" s="141" t="s">
        <v>362</v>
      </c>
      <c r="C354" s="134">
        <f>_xlfn.IFERROR(VLOOKUP(A354,'งบทดลอง รพ.'!$A$2:$C$602,3,0),0)</f>
        <v>0</v>
      </c>
      <c r="D354" s="25"/>
      <c r="E354" s="85" t="s">
        <v>1376</v>
      </c>
      <c r="F354" s="85" t="s">
        <v>33</v>
      </c>
      <c r="G354" s="81" t="s">
        <v>1409</v>
      </c>
      <c r="H354" s="81"/>
    </row>
    <row r="355" spans="1:8" ht="27.75">
      <c r="A355" s="141" t="s">
        <v>363</v>
      </c>
      <c r="B355" s="141" t="s">
        <v>364</v>
      </c>
      <c r="C355" s="134">
        <f>_xlfn.IFERROR(VLOOKUP(A355,'งบทดลอง รพ.'!$A$2:$C$602,3,0),0)</f>
        <v>5000</v>
      </c>
      <c r="D355" s="25"/>
      <c r="E355" s="85" t="s">
        <v>1376</v>
      </c>
      <c r="F355" s="85" t="s">
        <v>33</v>
      </c>
      <c r="G355" s="81" t="s">
        <v>1409</v>
      </c>
      <c r="H355" s="81"/>
    </row>
    <row r="356" spans="1:8" ht="27.75">
      <c r="A356" s="141" t="s">
        <v>365</v>
      </c>
      <c r="B356" s="141" t="s">
        <v>366</v>
      </c>
      <c r="C356" s="134">
        <f>_xlfn.IFERROR(VLOOKUP(A356,'งบทดลอง รพ.'!$A$2:$C$602,3,0),0)</f>
        <v>5000</v>
      </c>
      <c r="D356" s="25"/>
      <c r="E356" s="85" t="s">
        <v>1376</v>
      </c>
      <c r="F356" s="85" t="s">
        <v>33</v>
      </c>
      <c r="G356" s="81" t="s">
        <v>1409</v>
      </c>
      <c r="H356" s="81"/>
    </row>
    <row r="357" spans="1:8" ht="27.75">
      <c r="A357" s="141" t="s">
        <v>367</v>
      </c>
      <c r="B357" s="141" t="s">
        <v>368</v>
      </c>
      <c r="C357" s="134">
        <f>_xlfn.IFERROR(VLOOKUP(A357,'งบทดลอง รพ.'!$A$2:$C$602,3,0),0)</f>
        <v>0</v>
      </c>
      <c r="D357" s="25"/>
      <c r="E357" s="85" t="s">
        <v>1376</v>
      </c>
      <c r="F357" s="85" t="s">
        <v>33</v>
      </c>
      <c r="G357" s="81" t="s">
        <v>1409</v>
      </c>
      <c r="H357" s="81"/>
    </row>
    <row r="358" spans="1:8" ht="27.75">
      <c r="A358" s="141" t="s">
        <v>369</v>
      </c>
      <c r="B358" s="141" t="s">
        <v>370</v>
      </c>
      <c r="C358" s="134">
        <f>_xlfn.IFERROR(VLOOKUP(A358,'งบทดลอง รพ.'!$A$2:$C$602,3,0),0)</f>
        <v>350000</v>
      </c>
      <c r="D358" s="25"/>
      <c r="E358" s="85" t="s">
        <v>1376</v>
      </c>
      <c r="F358" s="85" t="s">
        <v>33</v>
      </c>
      <c r="G358" s="81" t="s">
        <v>1409</v>
      </c>
      <c r="H358" s="81"/>
    </row>
    <row r="359" spans="1:8" ht="27.75">
      <c r="A359" s="141" t="s">
        <v>371</v>
      </c>
      <c r="B359" s="141" t="s">
        <v>1502</v>
      </c>
      <c r="C359" s="134">
        <f>_xlfn.IFERROR(VLOOKUP(A359,'งบทดลอง รพ.'!$A$2:$C$602,3,0),0)</f>
        <v>12000000</v>
      </c>
      <c r="D359" s="25"/>
      <c r="E359" s="85" t="s">
        <v>1378</v>
      </c>
      <c r="F359" s="85" t="s">
        <v>33</v>
      </c>
      <c r="G359" s="81" t="s">
        <v>1409</v>
      </c>
      <c r="H359" s="81"/>
    </row>
    <row r="360" spans="1:8" ht="27.75">
      <c r="A360" s="141" t="s">
        <v>373</v>
      </c>
      <c r="B360" s="141" t="s">
        <v>1503</v>
      </c>
      <c r="C360" s="134">
        <f>_xlfn.IFERROR(VLOOKUP(A360,'งบทดลอง รพ.'!$A$2:$C$602,3,0),0)</f>
        <v>700000</v>
      </c>
      <c r="D360" s="25"/>
      <c r="E360" s="85" t="s">
        <v>1376</v>
      </c>
      <c r="F360" s="85" t="s">
        <v>33</v>
      </c>
      <c r="G360" s="81" t="s">
        <v>1409</v>
      </c>
      <c r="H360" s="81"/>
    </row>
    <row r="361" spans="1:8" ht="27.75">
      <c r="A361" s="141" t="s">
        <v>374</v>
      </c>
      <c r="B361" s="141" t="s">
        <v>375</v>
      </c>
      <c r="C361" s="134">
        <f>_xlfn.IFERROR(VLOOKUP(A361,'งบทดลอง รพ.'!$A$2:$C$602,3,0),0)</f>
        <v>4000000</v>
      </c>
      <c r="D361" s="25"/>
      <c r="E361" s="85" t="s">
        <v>1378</v>
      </c>
      <c r="F361" s="85" t="s">
        <v>33</v>
      </c>
      <c r="G361" s="81" t="s">
        <v>1409</v>
      </c>
      <c r="H361" s="81"/>
    </row>
    <row r="362" spans="1:8" ht="27.75">
      <c r="A362" s="141" t="s">
        <v>376</v>
      </c>
      <c r="B362" s="141" t="s">
        <v>377</v>
      </c>
      <c r="C362" s="134">
        <f>_xlfn.IFERROR(VLOOKUP(A362,'งบทดลอง รพ.'!$A$2:$C$602,3,0),0)</f>
        <v>4000000</v>
      </c>
      <c r="D362" s="25"/>
      <c r="E362" s="85" t="s">
        <v>1378</v>
      </c>
      <c r="F362" s="85" t="s">
        <v>33</v>
      </c>
      <c r="G362" s="81" t="s">
        <v>1409</v>
      </c>
      <c r="H362" s="81"/>
    </row>
    <row r="363" spans="1:8" ht="27.75">
      <c r="A363" s="141" t="s">
        <v>378</v>
      </c>
      <c r="B363" s="141" t="s">
        <v>379</v>
      </c>
      <c r="C363" s="134">
        <f>_xlfn.IFERROR(VLOOKUP(A363,'งบทดลอง รพ.'!$A$2:$C$602,3,0),0)</f>
        <v>0</v>
      </c>
      <c r="D363" s="25"/>
      <c r="E363" s="85" t="s">
        <v>1370</v>
      </c>
      <c r="F363" s="85" t="s">
        <v>33</v>
      </c>
      <c r="G363" s="81" t="s">
        <v>1409</v>
      </c>
      <c r="H363" s="81"/>
    </row>
    <row r="364" spans="1:8" ht="27.75">
      <c r="A364" s="141" t="s">
        <v>380</v>
      </c>
      <c r="B364" s="141" t="s">
        <v>381</v>
      </c>
      <c r="C364" s="134">
        <f>_xlfn.IFERROR(VLOOKUP(A364,'งบทดลอง รพ.'!$A$2:$C$602,3,0),0)</f>
        <v>1000</v>
      </c>
      <c r="D364" s="25"/>
      <c r="E364" s="85" t="s">
        <v>1370</v>
      </c>
      <c r="F364" s="85" t="s">
        <v>33</v>
      </c>
      <c r="G364" s="81" t="s">
        <v>1409</v>
      </c>
      <c r="H364" s="81"/>
    </row>
    <row r="365" spans="1:8" ht="27.75">
      <c r="A365" s="141" t="s">
        <v>390</v>
      </c>
      <c r="B365" s="141" t="s">
        <v>391</v>
      </c>
      <c r="C365" s="134">
        <f>_xlfn.IFERROR(VLOOKUP(A365,'งบทดลอง รพ.'!$A$2:$C$602,3,0),0)</f>
        <v>6531453.22</v>
      </c>
      <c r="D365" s="25"/>
      <c r="E365" s="85" t="s">
        <v>1380</v>
      </c>
      <c r="F365" s="85" t="s">
        <v>35</v>
      </c>
      <c r="G365" s="81" t="s">
        <v>1409</v>
      </c>
      <c r="H365" s="81"/>
    </row>
    <row r="366" spans="1:8" ht="27.75">
      <c r="A366" s="141" t="s">
        <v>392</v>
      </c>
      <c r="B366" s="141" t="s">
        <v>1504</v>
      </c>
      <c r="C366" s="134">
        <f>_xlfn.IFERROR(VLOOKUP(A366,'งบทดลอง รพ.'!$A$2:$C$602,3,0),0)</f>
        <v>1885429.73</v>
      </c>
      <c r="D366" s="25"/>
      <c r="E366" s="85" t="s">
        <v>1380</v>
      </c>
      <c r="F366" s="85" t="s">
        <v>35</v>
      </c>
      <c r="G366" s="81" t="s">
        <v>1409</v>
      </c>
      <c r="H366" s="81"/>
    </row>
    <row r="367" spans="1:8" ht="27.75">
      <c r="A367" s="141" t="s">
        <v>393</v>
      </c>
      <c r="B367" s="141" t="s">
        <v>394</v>
      </c>
      <c r="C367" s="134">
        <f>_xlfn.IFERROR(VLOOKUP(A367,'งบทดลอง รพ.'!$A$2:$C$602,3,0),0)</f>
        <v>100104.02</v>
      </c>
      <c r="D367" s="25"/>
      <c r="E367" s="85" t="s">
        <v>1380</v>
      </c>
      <c r="F367" s="85" t="s">
        <v>35</v>
      </c>
      <c r="G367" s="81" t="s">
        <v>1409</v>
      </c>
      <c r="H367" s="81"/>
    </row>
    <row r="368" spans="1:8" ht="27.75">
      <c r="A368" s="141" t="s">
        <v>395</v>
      </c>
      <c r="B368" s="141" t="s">
        <v>396</v>
      </c>
      <c r="C368" s="134">
        <f>_xlfn.IFERROR(VLOOKUP(A368,'งบทดลอง รพ.'!$A$2:$C$602,3,0),0)</f>
        <v>81097.22</v>
      </c>
      <c r="D368" s="25"/>
      <c r="E368" s="85" t="s">
        <v>1380</v>
      </c>
      <c r="F368" s="85" t="s">
        <v>35</v>
      </c>
      <c r="G368" s="81" t="s">
        <v>1409</v>
      </c>
      <c r="H368" s="81"/>
    </row>
    <row r="369" spans="1:8" ht="27.75">
      <c r="A369" s="141" t="s">
        <v>397</v>
      </c>
      <c r="B369" s="141" t="s">
        <v>398</v>
      </c>
      <c r="C369" s="134">
        <f>_xlfn.IFERROR(VLOOKUP(A369,'งบทดลอง รพ.'!$A$2:$C$602,3,0),0)</f>
        <v>35923.2</v>
      </c>
      <c r="D369" s="25"/>
      <c r="E369" s="85" t="s">
        <v>1380</v>
      </c>
      <c r="F369" s="85" t="s">
        <v>35</v>
      </c>
      <c r="G369" s="81" t="s">
        <v>1409</v>
      </c>
      <c r="H369" s="81"/>
    </row>
    <row r="370" spans="1:8" ht="27.75">
      <c r="A370" s="141" t="s">
        <v>382</v>
      </c>
      <c r="B370" s="141" t="s">
        <v>383</v>
      </c>
      <c r="C370" s="134">
        <f>_xlfn.IFERROR(VLOOKUP(A370,'งบทดลอง รพ.'!$A$2:$C$602,3,0),0)</f>
        <v>0</v>
      </c>
      <c r="D370" s="25"/>
      <c r="E370" s="85" t="s">
        <v>1370</v>
      </c>
      <c r="F370" s="85" t="s">
        <v>33</v>
      </c>
      <c r="G370" s="81" t="s">
        <v>1409</v>
      </c>
      <c r="H370" s="81"/>
    </row>
    <row r="371" spans="1:8" ht="27.75">
      <c r="A371" s="141" t="s">
        <v>384</v>
      </c>
      <c r="B371" s="141" t="s">
        <v>385</v>
      </c>
      <c r="C371" s="134">
        <f>_xlfn.IFERROR(VLOOKUP(A371,'งบทดลอง รพ.'!$A$2:$C$602,3,0),0)</f>
        <v>200000</v>
      </c>
      <c r="D371" s="25"/>
      <c r="E371" s="85" t="s">
        <v>1370</v>
      </c>
      <c r="F371" s="85" t="s">
        <v>33</v>
      </c>
      <c r="G371" s="81" t="s">
        <v>1409</v>
      </c>
      <c r="H371" s="81"/>
    </row>
    <row r="372" spans="1:8" ht="27.75">
      <c r="A372" s="141" t="s">
        <v>220</v>
      </c>
      <c r="B372" s="141" t="s">
        <v>221</v>
      </c>
      <c r="C372" s="134">
        <f>_xlfn.IFERROR(VLOOKUP(A372,'งบทดลอง รพ.'!$A$2:$C$602,3,0),0)</f>
        <v>31362076.79</v>
      </c>
      <c r="D372" s="25"/>
      <c r="E372" s="85" t="s">
        <v>1342</v>
      </c>
      <c r="F372" s="85" t="s">
        <v>19</v>
      </c>
      <c r="G372" s="81" t="s">
        <v>1409</v>
      </c>
      <c r="H372" s="81"/>
    </row>
    <row r="373" spans="1:8" ht="27.75">
      <c r="A373" s="141" t="s">
        <v>222</v>
      </c>
      <c r="B373" s="141" t="s">
        <v>1505</v>
      </c>
      <c r="C373" s="134">
        <f>_xlfn.IFERROR(VLOOKUP(A373,'งบทดลอง รพ.'!$A$2:$C$602,3,0),0)</f>
        <v>593184</v>
      </c>
      <c r="D373" s="25"/>
      <c r="E373" s="85" t="s">
        <v>1344</v>
      </c>
      <c r="F373" s="85" t="s">
        <v>21</v>
      </c>
      <c r="G373" s="81" t="s">
        <v>1409</v>
      </c>
      <c r="H373" s="81"/>
    </row>
    <row r="374" spans="1:8" ht="27.75">
      <c r="A374" s="141" t="s">
        <v>224</v>
      </c>
      <c r="B374" s="141" t="s">
        <v>1506</v>
      </c>
      <c r="C374" s="134">
        <f>_xlfn.IFERROR(VLOOKUP(A374,'งบทดลอง รพ.'!$A$2:$C$602,3,0),0)</f>
        <v>12863955.47</v>
      </c>
      <c r="D374" s="25"/>
      <c r="E374" s="85" t="s">
        <v>1346</v>
      </c>
      <c r="F374" s="85" t="s">
        <v>21</v>
      </c>
      <c r="G374" s="81" t="s">
        <v>1409</v>
      </c>
      <c r="H374" s="81"/>
    </row>
    <row r="375" spans="1:8" ht="27.75">
      <c r="A375" s="141" t="s">
        <v>227</v>
      </c>
      <c r="B375" s="141" t="s">
        <v>228</v>
      </c>
      <c r="C375" s="134">
        <f>_xlfn.IFERROR(VLOOKUP(A375,'งบทดลอง รพ.'!$A$2:$C$602,3,0),0)</f>
        <v>15154248.86</v>
      </c>
      <c r="D375" s="25"/>
      <c r="E375" s="85" t="s">
        <v>1350</v>
      </c>
      <c r="F375" s="85" t="s">
        <v>23</v>
      </c>
      <c r="G375" s="81" t="s">
        <v>1409</v>
      </c>
      <c r="H375" s="81"/>
    </row>
    <row r="376" spans="1:8" ht="27.75">
      <c r="A376" s="138" t="s">
        <v>1160</v>
      </c>
      <c r="B376" s="138" t="s">
        <v>399</v>
      </c>
      <c r="C376" s="134">
        <f>_xlfn.IFERROR(VLOOKUP(A376,'งบทดลอง รพ.'!$A$2:$C$602,3,0),0)</f>
        <v>0</v>
      </c>
      <c r="D376" s="25"/>
      <c r="E376" s="85" t="s">
        <v>1382</v>
      </c>
      <c r="F376" s="85" t="s">
        <v>37</v>
      </c>
      <c r="G376" s="81" t="s">
        <v>1407</v>
      </c>
      <c r="H376" s="81"/>
    </row>
    <row r="377" spans="1:8" ht="27.75">
      <c r="A377" s="138" t="s">
        <v>1161</v>
      </c>
      <c r="B377" s="138" t="s">
        <v>400</v>
      </c>
      <c r="C377" s="134">
        <f>_xlfn.IFERROR(VLOOKUP(A377,'งบทดลอง รพ.'!$A$2:$C$602,3,0),0)</f>
        <v>0</v>
      </c>
      <c r="D377" s="25"/>
      <c r="E377" s="85" t="s">
        <v>1382</v>
      </c>
      <c r="F377" s="85" t="s">
        <v>37</v>
      </c>
      <c r="G377" s="81" t="s">
        <v>1407</v>
      </c>
      <c r="H377" s="81"/>
    </row>
    <row r="378" spans="1:8" ht="27.75">
      <c r="A378" s="138" t="s">
        <v>1162</v>
      </c>
      <c r="B378" s="138" t="s">
        <v>1163</v>
      </c>
      <c r="C378" s="134">
        <f>_xlfn.IFERROR(VLOOKUP(A378,'งบทดลอง รพ.'!$A$2:$C$602,3,0),0)</f>
        <v>0</v>
      </c>
      <c r="D378" s="25"/>
      <c r="E378" s="85" t="s">
        <v>1382</v>
      </c>
      <c r="F378" s="85" t="s">
        <v>37</v>
      </c>
      <c r="G378" s="81" t="s">
        <v>1407</v>
      </c>
      <c r="H378" s="81"/>
    </row>
    <row r="379" spans="1:8" ht="27.75">
      <c r="A379" s="138" t="s">
        <v>1164</v>
      </c>
      <c r="B379" s="138" t="s">
        <v>401</v>
      </c>
      <c r="C379" s="134">
        <f>_xlfn.IFERROR(VLOOKUP(A379,'งบทดลอง รพ.'!$A$2:$C$602,3,0),0)</f>
        <v>0</v>
      </c>
      <c r="D379" s="25"/>
      <c r="E379" s="85" t="s">
        <v>1382</v>
      </c>
      <c r="F379" s="85" t="s">
        <v>37</v>
      </c>
      <c r="G379" s="81" t="s">
        <v>1407</v>
      </c>
      <c r="H379" s="81"/>
    </row>
    <row r="380" spans="1:8" ht="27.75">
      <c r="A380" s="138" t="s">
        <v>1165</v>
      </c>
      <c r="B380" s="138" t="s">
        <v>402</v>
      </c>
      <c r="C380" s="134">
        <f>_xlfn.IFERROR(VLOOKUP(A380,'งบทดลอง รพ.'!$A$2:$C$602,3,0),0)</f>
        <v>0</v>
      </c>
      <c r="D380" s="25"/>
      <c r="E380" s="85" t="s">
        <v>1382</v>
      </c>
      <c r="F380" s="85" t="s">
        <v>37</v>
      </c>
      <c r="G380" s="81" t="s">
        <v>1407</v>
      </c>
      <c r="H380" s="81"/>
    </row>
    <row r="381" spans="1:8" ht="27.75">
      <c r="A381" s="138" t="s">
        <v>1166</v>
      </c>
      <c r="B381" s="138" t="s">
        <v>1507</v>
      </c>
      <c r="C381" s="134">
        <f>_xlfn.IFERROR(VLOOKUP(A381,'งบทดลอง รพ.'!$A$2:$C$602,3,0),0)</f>
        <v>0</v>
      </c>
      <c r="D381" s="25"/>
      <c r="E381" s="85" t="s">
        <v>1382</v>
      </c>
      <c r="F381" s="85" t="s">
        <v>37</v>
      </c>
      <c r="G381" s="81" t="s">
        <v>1407</v>
      </c>
      <c r="H381" s="81"/>
    </row>
    <row r="382" spans="1:8" ht="27.75">
      <c r="A382" s="138" t="s">
        <v>1167</v>
      </c>
      <c r="B382" s="138" t="s">
        <v>404</v>
      </c>
      <c r="C382" s="134">
        <f>_xlfn.IFERROR(VLOOKUP(A382,'งบทดลอง รพ.'!$A$2:$C$602,3,0),0)</f>
        <v>0</v>
      </c>
      <c r="D382" s="25"/>
      <c r="E382" s="85" t="s">
        <v>1382</v>
      </c>
      <c r="F382" s="85" t="s">
        <v>37</v>
      </c>
      <c r="G382" s="81" t="s">
        <v>1407</v>
      </c>
      <c r="H382" s="81"/>
    </row>
    <row r="383" spans="1:8" ht="27.75">
      <c r="A383" s="141" t="s">
        <v>405</v>
      </c>
      <c r="B383" s="141" t="s">
        <v>406</v>
      </c>
      <c r="C383" s="134">
        <f>_xlfn.IFERROR(VLOOKUP(A383,'งบทดลอง รพ.'!$A$2:$C$602,3,0),0)</f>
        <v>2652471.02</v>
      </c>
      <c r="D383" s="25"/>
      <c r="E383" s="85" t="s">
        <v>1382</v>
      </c>
      <c r="F383" s="85" t="s">
        <v>37</v>
      </c>
      <c r="G383" s="81" t="s">
        <v>1409</v>
      </c>
      <c r="H383" s="81"/>
    </row>
    <row r="384" spans="1:8" ht="27.75">
      <c r="A384" s="141" t="s">
        <v>407</v>
      </c>
      <c r="B384" s="141" t="s">
        <v>408</v>
      </c>
      <c r="C384" s="134">
        <f>_xlfn.IFERROR(VLOOKUP(A384,'งบทดลอง รพ.'!$A$2:$C$602,3,0),0)</f>
        <v>1328680</v>
      </c>
      <c r="D384" s="25"/>
      <c r="E384" s="85" t="s">
        <v>1382</v>
      </c>
      <c r="F384" s="85" t="s">
        <v>37</v>
      </c>
      <c r="G384" s="81" t="s">
        <v>1409</v>
      </c>
      <c r="H384" s="81"/>
    </row>
    <row r="385" spans="1:8" ht="27.75">
      <c r="A385" s="138" t="s">
        <v>1168</v>
      </c>
      <c r="B385" s="138" t="s">
        <v>409</v>
      </c>
      <c r="C385" s="134">
        <f>_xlfn.IFERROR(VLOOKUP(A385,'งบทดลอง รพ.'!$A$2:$C$602,3,0),0)</f>
        <v>0</v>
      </c>
      <c r="D385" s="25"/>
      <c r="E385" s="85" t="s">
        <v>1382</v>
      </c>
      <c r="F385" s="85" t="s">
        <v>37</v>
      </c>
      <c r="G385" s="81" t="s">
        <v>1407</v>
      </c>
      <c r="H385" s="81"/>
    </row>
    <row r="386" spans="1:8" ht="27.75">
      <c r="A386" s="138" t="s">
        <v>1169</v>
      </c>
      <c r="B386" s="138" t="s">
        <v>410</v>
      </c>
      <c r="C386" s="134">
        <f>_xlfn.IFERROR(VLOOKUP(A386,'งบทดลอง รพ.'!$A$2:$C$602,3,0),0)</f>
        <v>0</v>
      </c>
      <c r="D386" s="25"/>
      <c r="E386" s="85" t="s">
        <v>1382</v>
      </c>
      <c r="F386" s="85" t="s">
        <v>37</v>
      </c>
      <c r="G386" s="81" t="s">
        <v>1407</v>
      </c>
      <c r="H386" s="81"/>
    </row>
    <row r="387" spans="1:8" ht="27.75">
      <c r="A387" s="138" t="s">
        <v>1170</v>
      </c>
      <c r="B387" s="138" t="s">
        <v>411</v>
      </c>
      <c r="C387" s="134">
        <f>_xlfn.IFERROR(VLOOKUP(A387,'งบทดลอง รพ.'!$A$2:$C$602,3,0),0)</f>
        <v>0</v>
      </c>
      <c r="D387" s="25"/>
      <c r="E387" s="85" t="s">
        <v>1382</v>
      </c>
      <c r="F387" s="85" t="s">
        <v>37</v>
      </c>
      <c r="G387" s="81" t="s">
        <v>1407</v>
      </c>
      <c r="H387" s="81"/>
    </row>
    <row r="388" spans="1:8" ht="27.75">
      <c r="A388" s="142" t="s">
        <v>225</v>
      </c>
      <c r="B388" s="142" t="s">
        <v>226</v>
      </c>
      <c r="C388" s="134">
        <f>_xlfn.IFERROR(VLOOKUP(A388,'งบทดลอง รพ.'!$A$2:$C$602,3,0),0)</f>
        <v>590047.2</v>
      </c>
      <c r="D388" s="25"/>
      <c r="E388" s="85" t="s">
        <v>1348</v>
      </c>
      <c r="F388" s="85" t="s">
        <v>732</v>
      </c>
      <c r="G388" s="81" t="s">
        <v>1409</v>
      </c>
      <c r="H388" s="81"/>
    </row>
    <row r="389" spans="1:8" ht="27.75">
      <c r="A389" s="141" t="s">
        <v>944</v>
      </c>
      <c r="B389" s="141" t="s">
        <v>945</v>
      </c>
      <c r="C389" s="134">
        <f>_xlfn.IFERROR(VLOOKUP(A389,'งบทดลอง รพ.'!$A$2:$C$602,3,0),0)</f>
        <v>89340</v>
      </c>
      <c r="D389" s="25"/>
      <c r="E389" s="85" t="s">
        <v>1344</v>
      </c>
      <c r="F389" s="85" t="s">
        <v>21</v>
      </c>
      <c r="G389" s="81" t="s">
        <v>1409</v>
      </c>
      <c r="H389" s="81"/>
    </row>
    <row r="390" spans="1:8" ht="27.75">
      <c r="A390" s="141" t="s">
        <v>412</v>
      </c>
      <c r="B390" s="141" t="s">
        <v>1508</v>
      </c>
      <c r="C390" s="134">
        <f>_xlfn.IFERROR(VLOOKUP(A390,'งบทดลอง รพ.'!$A$2:$C$602,3,0),0)</f>
        <v>128110</v>
      </c>
      <c r="D390" s="25"/>
      <c r="E390" s="85" t="s">
        <v>1382</v>
      </c>
      <c r="F390" s="85" t="s">
        <v>37</v>
      </c>
      <c r="G390" s="81" t="s">
        <v>1409</v>
      </c>
      <c r="H390" s="81"/>
    </row>
    <row r="391" spans="1:8" ht="27.75">
      <c r="A391" s="141" t="s">
        <v>386</v>
      </c>
      <c r="B391" s="141" t="s">
        <v>387</v>
      </c>
      <c r="C391" s="134">
        <f>_xlfn.IFERROR(VLOOKUP(A391,'งบทดลอง รพ.'!$A$2:$C$602,3,0),0)</f>
        <v>0</v>
      </c>
      <c r="D391" s="25"/>
      <c r="E391" s="85" t="s">
        <v>1370</v>
      </c>
      <c r="F391" s="85" t="s">
        <v>33</v>
      </c>
      <c r="G391" s="81" t="s">
        <v>1409</v>
      </c>
      <c r="H391" s="81"/>
    </row>
    <row r="392" spans="1:8" ht="27.75">
      <c r="A392" s="141" t="s">
        <v>388</v>
      </c>
      <c r="B392" s="141" t="s">
        <v>389</v>
      </c>
      <c r="C392" s="134">
        <f>_xlfn.IFERROR(VLOOKUP(A392,'งบทดลอง รพ.'!$A$2:$C$602,3,0),0)</f>
        <v>0</v>
      </c>
      <c r="D392" s="25"/>
      <c r="E392" s="85" t="s">
        <v>1370</v>
      </c>
      <c r="F392" s="85" t="s">
        <v>33</v>
      </c>
      <c r="G392" s="81" t="s">
        <v>1409</v>
      </c>
      <c r="H392" s="81"/>
    </row>
    <row r="393" spans="1:8" ht="27.75">
      <c r="A393" s="138" t="s">
        <v>1171</v>
      </c>
      <c r="B393" s="138" t="s">
        <v>1172</v>
      </c>
      <c r="C393" s="134">
        <f>_xlfn.IFERROR(VLOOKUP(A393,'งบทดลอง รพ.'!$A$2:$C$602,3,0),0)</f>
        <v>0</v>
      </c>
      <c r="D393" s="25"/>
      <c r="E393" s="85" t="s">
        <v>1370</v>
      </c>
      <c r="F393" s="85" t="s">
        <v>33</v>
      </c>
      <c r="G393" s="81" t="s">
        <v>1407</v>
      </c>
      <c r="H393" s="81"/>
    </row>
    <row r="394" spans="1:8" ht="27.75">
      <c r="A394" s="141" t="s">
        <v>503</v>
      </c>
      <c r="B394" s="141" t="s">
        <v>1509</v>
      </c>
      <c r="C394" s="134">
        <f>_xlfn.IFERROR(VLOOKUP(A394,'งบทดลอง รพ.'!$A$2:$C$602,3,0),0)</f>
        <v>0</v>
      </c>
      <c r="D394" s="25"/>
      <c r="E394" s="85" t="s">
        <v>1370</v>
      </c>
      <c r="F394" s="85" t="s">
        <v>33</v>
      </c>
      <c r="G394" s="81" t="s">
        <v>1409</v>
      </c>
      <c r="H394" s="81"/>
    </row>
    <row r="395" spans="1:8" ht="27.75">
      <c r="A395" s="141" t="s">
        <v>946</v>
      </c>
      <c r="B395" s="141" t="s">
        <v>947</v>
      </c>
      <c r="C395" s="134">
        <f>_xlfn.IFERROR(VLOOKUP(A395,'งบทดลอง รพ.'!$A$2:$C$602,3,0),0)</f>
        <v>0</v>
      </c>
      <c r="D395" s="25"/>
      <c r="E395" s="85" t="s">
        <v>1370</v>
      </c>
      <c r="F395" s="85" t="s">
        <v>33</v>
      </c>
      <c r="G395" s="81" t="s">
        <v>1409</v>
      </c>
      <c r="H395" s="81"/>
    </row>
    <row r="396" spans="1:8" ht="27.75">
      <c r="A396" s="141" t="s">
        <v>504</v>
      </c>
      <c r="B396" s="141" t="s">
        <v>505</v>
      </c>
      <c r="C396" s="134">
        <f>_xlfn.IFERROR(VLOOKUP(A396,'งบทดลอง รพ.'!$A$2:$C$602,3,0),0)</f>
        <v>0</v>
      </c>
      <c r="D396" s="25"/>
      <c r="E396" s="85" t="s">
        <v>1370</v>
      </c>
      <c r="F396" s="85" t="s">
        <v>33</v>
      </c>
      <c r="G396" s="81" t="s">
        <v>1409</v>
      </c>
      <c r="H396" s="81"/>
    </row>
    <row r="397" spans="1:8" ht="27.75">
      <c r="A397" s="142" t="s">
        <v>948</v>
      </c>
      <c r="B397" s="142" t="s">
        <v>949</v>
      </c>
      <c r="C397" s="134">
        <f>_xlfn.IFERROR(VLOOKUP(A397,'งบทดลอง รพ.'!$A$2:$C$602,3,0),0)</f>
        <v>0</v>
      </c>
      <c r="D397" s="25"/>
      <c r="E397" s="85" t="s">
        <v>1396</v>
      </c>
      <c r="F397" s="85" t="s">
        <v>41</v>
      </c>
      <c r="G397" s="81" t="s">
        <v>1409</v>
      </c>
      <c r="H397" s="81"/>
    </row>
    <row r="398" spans="1:8" ht="27.75">
      <c r="A398" s="141" t="s">
        <v>506</v>
      </c>
      <c r="B398" s="141" t="s">
        <v>507</v>
      </c>
      <c r="C398" s="134">
        <f>_xlfn.IFERROR(VLOOKUP(A398,'งบทดลอง รพ.'!$A$2:$C$602,3,0),0)</f>
        <v>0</v>
      </c>
      <c r="D398" s="25"/>
      <c r="E398" s="85" t="s">
        <v>1370</v>
      </c>
      <c r="F398" s="85" t="s">
        <v>33</v>
      </c>
      <c r="G398" s="81" t="s">
        <v>1409</v>
      </c>
      <c r="H398" s="81"/>
    </row>
    <row r="399" spans="1:8" ht="27.75">
      <c r="A399" s="141" t="s">
        <v>508</v>
      </c>
      <c r="B399" s="141" t="s">
        <v>509</v>
      </c>
      <c r="C399" s="134">
        <f>_xlfn.IFERROR(VLOOKUP(A399,'งบทดลอง รพ.'!$A$2:$C$602,3,0),0)</f>
        <v>0</v>
      </c>
      <c r="D399" s="25"/>
      <c r="E399" s="85" t="s">
        <v>1370</v>
      </c>
      <c r="F399" s="85" t="s">
        <v>33</v>
      </c>
      <c r="G399" s="81" t="s">
        <v>1409</v>
      </c>
      <c r="H399" s="81"/>
    </row>
    <row r="400" spans="1:8" ht="27.75">
      <c r="A400" s="141" t="s">
        <v>510</v>
      </c>
      <c r="B400" s="141" t="s">
        <v>511</v>
      </c>
      <c r="C400" s="134">
        <f>_xlfn.IFERROR(VLOOKUP(A400,'งบทดลอง รพ.'!$A$2:$C$602,3,0),0)</f>
        <v>0</v>
      </c>
      <c r="D400" s="25"/>
      <c r="E400" s="85" t="s">
        <v>1370</v>
      </c>
      <c r="F400" s="85" t="s">
        <v>33</v>
      </c>
      <c r="G400" s="81" t="s">
        <v>1409</v>
      </c>
      <c r="H400" s="81"/>
    </row>
    <row r="401" spans="1:8" ht="27.75">
      <c r="A401" s="142" t="s">
        <v>512</v>
      </c>
      <c r="B401" s="142" t="s">
        <v>1510</v>
      </c>
      <c r="C401" s="134">
        <f>_xlfn.IFERROR(VLOOKUP(A401,'งบทดลอง รพ.'!$A$2:$C$602,3,0),0)</f>
        <v>3181975</v>
      </c>
      <c r="D401" s="25"/>
      <c r="E401" s="85" t="s">
        <v>1390</v>
      </c>
      <c r="F401" s="85" t="s">
        <v>41</v>
      </c>
      <c r="G401" s="81" t="s">
        <v>1409</v>
      </c>
      <c r="H401" s="81"/>
    </row>
    <row r="402" spans="1:8" ht="27.75">
      <c r="A402" s="142" t="s">
        <v>513</v>
      </c>
      <c r="B402" s="142" t="s">
        <v>514</v>
      </c>
      <c r="C402" s="134">
        <f>_xlfn.IFERROR(VLOOKUP(A402,'งบทดลอง รพ.'!$A$2:$C$602,3,0),0)</f>
        <v>559000</v>
      </c>
      <c r="D402" s="25"/>
      <c r="E402" s="85" t="s">
        <v>1392</v>
      </c>
      <c r="F402" s="85" t="s">
        <v>41</v>
      </c>
      <c r="G402" s="81" t="s">
        <v>1409</v>
      </c>
      <c r="H402" s="81"/>
    </row>
    <row r="403" spans="1:8" ht="27.75">
      <c r="A403" s="141" t="s">
        <v>950</v>
      </c>
      <c r="B403" s="141" t="s">
        <v>951</v>
      </c>
      <c r="C403" s="134">
        <f>_xlfn.IFERROR(VLOOKUP(A403,'งบทดลอง รพ.'!$A$2:$C$602,3,0),0)</f>
        <v>0</v>
      </c>
      <c r="D403" s="25"/>
      <c r="E403" s="85" t="s">
        <v>1370</v>
      </c>
      <c r="F403" s="85" t="s">
        <v>33</v>
      </c>
      <c r="G403" s="81" t="s">
        <v>1409</v>
      </c>
      <c r="H403" s="81"/>
    </row>
    <row r="404" spans="1:8" ht="27.75">
      <c r="A404" s="142" t="s">
        <v>515</v>
      </c>
      <c r="B404" s="142" t="s">
        <v>1511</v>
      </c>
      <c r="C404" s="134">
        <f>_xlfn.IFERROR(VLOOKUP(A404,'งบทดลอง รพ.'!$A$2:$C$602,3,0),0)</f>
        <v>4716462.79</v>
      </c>
      <c r="D404" s="25"/>
      <c r="E404" s="85" t="s">
        <v>1394</v>
      </c>
      <c r="F404" s="85" t="s">
        <v>41</v>
      </c>
      <c r="G404" s="81" t="s">
        <v>1409</v>
      </c>
      <c r="H404" s="81"/>
    </row>
    <row r="405" spans="1:8" ht="27.75">
      <c r="A405" s="142" t="s">
        <v>516</v>
      </c>
      <c r="B405" s="142" t="s">
        <v>1512</v>
      </c>
      <c r="C405" s="134">
        <f>_xlfn.IFERROR(VLOOKUP(A405,'งบทดลอง รพ.'!$A$2:$C$602,3,0),0)</f>
        <v>1179858.36</v>
      </c>
      <c r="D405" s="25"/>
      <c r="E405" s="85" t="s">
        <v>1394</v>
      </c>
      <c r="F405" s="85" t="s">
        <v>41</v>
      </c>
      <c r="G405" s="81" t="s">
        <v>1409</v>
      </c>
      <c r="H405" s="81"/>
    </row>
    <row r="406" spans="1:8" ht="27.75">
      <c r="A406" s="139" t="s">
        <v>1173</v>
      </c>
      <c r="B406" s="139" t="s">
        <v>1174</v>
      </c>
      <c r="C406" s="134">
        <f>_xlfn.IFERROR(VLOOKUP(A406,'งบทดลอง รพ.'!$A$2:$C$602,3,0),0)</f>
        <v>0</v>
      </c>
      <c r="D406" s="25"/>
      <c r="E406" s="85" t="s">
        <v>1394</v>
      </c>
      <c r="F406" s="85" t="s">
        <v>41</v>
      </c>
      <c r="G406" s="81" t="s">
        <v>1407</v>
      </c>
      <c r="H406" s="81"/>
    </row>
    <row r="407" spans="1:8" ht="27.75">
      <c r="A407" s="142" t="s">
        <v>952</v>
      </c>
      <c r="B407" s="142" t="s">
        <v>953</v>
      </c>
      <c r="C407" s="134">
        <f>_xlfn.IFERROR(VLOOKUP(A407,'งบทดลอง รพ.'!$A$2:$C$602,3,0),0)</f>
        <v>0</v>
      </c>
      <c r="D407" s="25"/>
      <c r="E407" s="85" t="s">
        <v>1394</v>
      </c>
      <c r="F407" s="85" t="s">
        <v>41</v>
      </c>
      <c r="G407" s="81" t="s">
        <v>1409</v>
      </c>
      <c r="H407" s="81"/>
    </row>
    <row r="408" spans="1:8" ht="27.75">
      <c r="A408" s="142" t="s">
        <v>517</v>
      </c>
      <c r="B408" s="142" t="s">
        <v>518</v>
      </c>
      <c r="C408" s="134">
        <f>_xlfn.IFERROR(VLOOKUP(A408,'งบทดลอง รพ.'!$A$2:$C$602,3,0),0)</f>
        <v>0</v>
      </c>
      <c r="D408" s="25"/>
      <c r="E408" s="85" t="s">
        <v>1390</v>
      </c>
      <c r="F408" s="85" t="s">
        <v>41</v>
      </c>
      <c r="G408" s="81" t="s">
        <v>1409</v>
      </c>
      <c r="H408" s="81"/>
    </row>
    <row r="409" spans="1:8" ht="27.75">
      <c r="A409" s="142" t="s">
        <v>519</v>
      </c>
      <c r="B409" s="142" t="s">
        <v>520</v>
      </c>
      <c r="C409" s="134">
        <f>_xlfn.IFERROR(VLOOKUP(A409,'งบทดลอง รพ.'!$A$2:$C$602,3,0),0)</f>
        <v>115272.49</v>
      </c>
      <c r="D409" s="25"/>
      <c r="E409" s="85" t="s">
        <v>1394</v>
      </c>
      <c r="F409" s="85" t="s">
        <v>41</v>
      </c>
      <c r="G409" s="81" t="s">
        <v>1409</v>
      </c>
      <c r="H409" s="81"/>
    </row>
    <row r="410" spans="1:8" ht="27.75">
      <c r="A410" s="141" t="s">
        <v>954</v>
      </c>
      <c r="B410" s="141" t="s">
        <v>955</v>
      </c>
      <c r="C410" s="134">
        <f>_xlfn.IFERROR(VLOOKUP(A410,'งบทดลอง รพ.'!$A$2:$C$602,3,0),0)</f>
        <v>24400000</v>
      </c>
      <c r="D410" s="25"/>
      <c r="E410" s="85" t="s">
        <v>1354</v>
      </c>
      <c r="F410" s="85" t="s">
        <v>29</v>
      </c>
      <c r="G410" s="81" t="s">
        <v>1409</v>
      </c>
      <c r="H410" s="81"/>
    </row>
    <row r="411" spans="1:8" ht="27.75">
      <c r="A411" s="141" t="s">
        <v>956</v>
      </c>
      <c r="B411" s="141" t="s">
        <v>957</v>
      </c>
      <c r="C411" s="134">
        <f>_xlfn.IFERROR(VLOOKUP(A411,'งบทดลอง รพ.'!$A$2:$C$602,3,0),0)</f>
        <v>1200000</v>
      </c>
      <c r="D411" s="25"/>
      <c r="E411" s="85" t="s">
        <v>1354</v>
      </c>
      <c r="F411" s="85" t="s">
        <v>29</v>
      </c>
      <c r="G411" s="81" t="s">
        <v>1409</v>
      </c>
      <c r="H411" s="81"/>
    </row>
    <row r="412" spans="1:8" ht="27.75">
      <c r="A412" s="141" t="s">
        <v>958</v>
      </c>
      <c r="B412" s="141" t="s">
        <v>959</v>
      </c>
      <c r="C412" s="134">
        <f>_xlfn.IFERROR(VLOOKUP(A412,'งบทดลอง รพ.'!$A$2:$C$602,3,0),0)</f>
        <v>0</v>
      </c>
      <c r="D412" s="25"/>
      <c r="E412" s="85" t="s">
        <v>1354</v>
      </c>
      <c r="F412" s="85" t="s">
        <v>29</v>
      </c>
      <c r="G412" s="81" t="s">
        <v>1409</v>
      </c>
      <c r="H412" s="81"/>
    </row>
    <row r="413" spans="1:8" ht="27.75">
      <c r="A413" s="141" t="s">
        <v>960</v>
      </c>
      <c r="B413" s="141" t="s">
        <v>961</v>
      </c>
      <c r="C413" s="134">
        <f>_xlfn.IFERROR(VLOOKUP(A413,'งบทดลอง รพ.'!$A$2:$C$602,3,0),0)</f>
        <v>50000</v>
      </c>
      <c r="D413" s="25"/>
      <c r="E413" s="85" t="s">
        <v>1354</v>
      </c>
      <c r="F413" s="85" t="s">
        <v>29</v>
      </c>
      <c r="G413" s="81" t="s">
        <v>1409</v>
      </c>
      <c r="H413" s="81"/>
    </row>
    <row r="414" spans="1:8" ht="27.75">
      <c r="A414" s="141" t="s">
        <v>962</v>
      </c>
      <c r="B414" s="141" t="s">
        <v>963</v>
      </c>
      <c r="C414" s="134">
        <f>_xlfn.IFERROR(VLOOKUP(A414,'งบทดลอง รพ.'!$A$2:$C$602,3,0),0)</f>
        <v>0</v>
      </c>
      <c r="D414" s="25"/>
      <c r="E414" s="85" t="s">
        <v>1354</v>
      </c>
      <c r="F414" s="85" t="s">
        <v>29</v>
      </c>
      <c r="G414" s="81" t="s">
        <v>1409</v>
      </c>
      <c r="H414" s="81"/>
    </row>
    <row r="415" spans="1:8" ht="27.75">
      <c r="A415" s="141" t="s">
        <v>964</v>
      </c>
      <c r="B415" s="141" t="s">
        <v>271</v>
      </c>
      <c r="C415" s="134">
        <f>_xlfn.IFERROR(VLOOKUP(A415,'งบทดลอง รพ.'!$A$2:$C$602,3,0),0)</f>
        <v>1800000</v>
      </c>
      <c r="D415" s="25"/>
      <c r="E415" s="85" t="s">
        <v>1354</v>
      </c>
      <c r="F415" s="85" t="s">
        <v>29</v>
      </c>
      <c r="G415" s="81" t="s">
        <v>1409</v>
      </c>
      <c r="H415" s="81"/>
    </row>
    <row r="416" spans="1:8" ht="27.75">
      <c r="A416" s="141" t="s">
        <v>965</v>
      </c>
      <c r="B416" s="141" t="s">
        <v>272</v>
      </c>
      <c r="C416" s="134">
        <f>_xlfn.IFERROR(VLOOKUP(A416,'งบทดลอง รพ.'!$A$2:$C$602,3,0),0)</f>
        <v>840000</v>
      </c>
      <c r="D416" s="25"/>
      <c r="E416" s="85" t="s">
        <v>1354</v>
      </c>
      <c r="F416" s="85" t="s">
        <v>29</v>
      </c>
      <c r="G416" s="81" t="s">
        <v>1409</v>
      </c>
      <c r="H416" s="81"/>
    </row>
    <row r="417" spans="1:8" ht="27.75">
      <c r="A417" s="141" t="s">
        <v>966</v>
      </c>
      <c r="B417" s="141" t="s">
        <v>273</v>
      </c>
      <c r="C417" s="134">
        <f>_xlfn.IFERROR(VLOOKUP(A417,'งบทดลอง รพ.'!$A$2:$C$602,3,0),0)</f>
        <v>660000</v>
      </c>
      <c r="D417" s="25"/>
      <c r="E417" s="85" t="s">
        <v>1354</v>
      </c>
      <c r="F417" s="85" t="s">
        <v>29</v>
      </c>
      <c r="G417" s="81" t="s">
        <v>1409</v>
      </c>
      <c r="H417" s="81"/>
    </row>
    <row r="418" spans="1:8" ht="27.75">
      <c r="A418" s="141" t="s">
        <v>967</v>
      </c>
      <c r="B418" s="141" t="s">
        <v>968</v>
      </c>
      <c r="C418" s="134">
        <f>_xlfn.IFERROR(VLOOKUP(A418,'งบทดลอง รพ.'!$A$2:$C$602,3,0),0)</f>
        <v>0</v>
      </c>
      <c r="D418" s="25"/>
      <c r="E418" s="85" t="s">
        <v>1354</v>
      </c>
      <c r="F418" s="85" t="s">
        <v>29</v>
      </c>
      <c r="G418" s="81" t="s">
        <v>1409</v>
      </c>
      <c r="H418" s="81"/>
    </row>
    <row r="419" spans="1:8" ht="27.75">
      <c r="A419" s="141" t="s">
        <v>969</v>
      </c>
      <c r="B419" s="141" t="s">
        <v>276</v>
      </c>
      <c r="C419" s="134">
        <f>_xlfn.IFERROR(VLOOKUP(A419,'งบทดลอง รพ.'!$A$2:$C$602,3,0),0)</f>
        <v>126000</v>
      </c>
      <c r="D419" s="25"/>
      <c r="E419" s="85" t="s">
        <v>1354</v>
      </c>
      <c r="F419" s="85" t="s">
        <v>29</v>
      </c>
      <c r="G419" s="81" t="s">
        <v>1409</v>
      </c>
      <c r="H419" s="81"/>
    </row>
    <row r="420" spans="1:8" ht="27.75">
      <c r="A420" s="141" t="s">
        <v>413</v>
      </c>
      <c r="B420" s="141" t="s">
        <v>414</v>
      </c>
      <c r="C420" s="134">
        <f>_xlfn.IFERROR(VLOOKUP(A420,'งบทดลอง รพ.'!$A$2:$C$602,3,0),0)</f>
        <v>3982471.8</v>
      </c>
      <c r="D420" s="25"/>
      <c r="E420" s="85" t="s">
        <v>1384</v>
      </c>
      <c r="F420" s="85" t="s">
        <v>39</v>
      </c>
      <c r="G420" s="81" t="s">
        <v>1409</v>
      </c>
      <c r="H420" s="81"/>
    </row>
    <row r="421" spans="1:8" ht="27.75">
      <c r="A421" s="141" t="s">
        <v>415</v>
      </c>
      <c r="B421" s="141" t="s">
        <v>416</v>
      </c>
      <c r="C421" s="134">
        <f>_xlfn.IFERROR(VLOOKUP(A421,'งบทดลอง รพ.'!$A$2:$C$602,3,0),0)</f>
        <v>2581996.08</v>
      </c>
      <c r="D421" s="25"/>
      <c r="E421" s="85" t="s">
        <v>1384</v>
      </c>
      <c r="F421" s="85" t="s">
        <v>39</v>
      </c>
      <c r="G421" s="81" t="s">
        <v>1409</v>
      </c>
      <c r="H421" s="81"/>
    </row>
    <row r="422" spans="1:8" ht="27.75">
      <c r="A422" s="141" t="s">
        <v>417</v>
      </c>
      <c r="B422" s="141" t="s">
        <v>418</v>
      </c>
      <c r="C422" s="134">
        <f>_xlfn.IFERROR(VLOOKUP(A422,'งบทดลอง รพ.'!$A$2:$C$602,3,0),0)</f>
        <v>64883.16</v>
      </c>
      <c r="D422" s="25"/>
      <c r="E422" s="85" t="s">
        <v>1384</v>
      </c>
      <c r="F422" s="85" t="s">
        <v>39</v>
      </c>
      <c r="G422" s="81" t="s">
        <v>1409</v>
      </c>
      <c r="H422" s="81"/>
    </row>
    <row r="423" spans="1:8" ht="27.75">
      <c r="A423" s="141" t="s">
        <v>419</v>
      </c>
      <c r="B423" s="141" t="s">
        <v>420</v>
      </c>
      <c r="C423" s="134">
        <f>_xlfn.IFERROR(VLOOKUP(A423,'งบทดลอง รพ.'!$A$2:$C$602,3,0),0)</f>
        <v>0</v>
      </c>
      <c r="D423" s="25"/>
      <c r="E423" s="85" t="s">
        <v>1384</v>
      </c>
      <c r="F423" s="85" t="s">
        <v>39</v>
      </c>
      <c r="G423" s="81" t="s">
        <v>1409</v>
      </c>
      <c r="H423" s="81"/>
    </row>
    <row r="424" spans="1:8" ht="27.75">
      <c r="A424" s="141" t="s">
        <v>421</v>
      </c>
      <c r="B424" s="141" t="s">
        <v>422</v>
      </c>
      <c r="C424" s="134">
        <f>_xlfn.IFERROR(VLOOKUP(A424,'งบทดลอง รพ.'!$A$2:$C$602,3,0),0)</f>
        <v>12062.16</v>
      </c>
      <c r="D424" s="25"/>
      <c r="E424" s="85" t="s">
        <v>1384</v>
      </c>
      <c r="F424" s="85" t="s">
        <v>39</v>
      </c>
      <c r="G424" s="81" t="s">
        <v>1409</v>
      </c>
      <c r="H424" s="81"/>
    </row>
    <row r="425" spans="1:8" ht="27.75">
      <c r="A425" s="141" t="s">
        <v>423</v>
      </c>
      <c r="B425" s="141" t="s">
        <v>424</v>
      </c>
      <c r="C425" s="134">
        <f>_xlfn.IFERROR(VLOOKUP(A425,'งบทดลอง รพ.'!$A$2:$C$602,3,0),0)</f>
        <v>553141.596</v>
      </c>
      <c r="D425" s="25"/>
      <c r="E425" s="85" t="s">
        <v>1384</v>
      </c>
      <c r="F425" s="85" t="s">
        <v>39</v>
      </c>
      <c r="G425" s="81" t="s">
        <v>1409</v>
      </c>
      <c r="H425" s="81"/>
    </row>
    <row r="426" spans="1:8" ht="27.75">
      <c r="A426" s="141" t="s">
        <v>425</v>
      </c>
      <c r="B426" s="141" t="s">
        <v>426</v>
      </c>
      <c r="C426" s="134">
        <f>_xlfn.IFERROR(VLOOKUP(A426,'งบทดลอง รพ.'!$A$2:$C$602,3,0),0)</f>
        <v>1126.7640000000001</v>
      </c>
      <c r="D426" s="25"/>
      <c r="E426" s="85" t="s">
        <v>1384</v>
      </c>
      <c r="F426" s="85" t="s">
        <v>39</v>
      </c>
      <c r="G426" s="81" t="s">
        <v>1409</v>
      </c>
      <c r="H426" s="81"/>
    </row>
    <row r="427" spans="1:8" ht="27.75">
      <c r="A427" s="141" t="s">
        <v>427</v>
      </c>
      <c r="B427" s="141" t="s">
        <v>428</v>
      </c>
      <c r="C427" s="134">
        <f>_xlfn.IFERROR(VLOOKUP(A427,'งบทดลอง รพ.'!$A$2:$C$602,3,0),0)</f>
        <v>0</v>
      </c>
      <c r="D427" s="25"/>
      <c r="E427" s="85" t="s">
        <v>1384</v>
      </c>
      <c r="F427" s="85" t="s">
        <v>39</v>
      </c>
      <c r="G427" s="81" t="s">
        <v>1409</v>
      </c>
      <c r="H427" s="81"/>
    </row>
    <row r="428" spans="1:8" ht="27.75">
      <c r="A428" s="141" t="s">
        <v>429</v>
      </c>
      <c r="B428" s="141" t="s">
        <v>430</v>
      </c>
      <c r="C428" s="134">
        <f>_xlfn.IFERROR(VLOOKUP(A428,'งบทดลอง รพ.'!$A$2:$C$602,3,0),0)</f>
        <v>0</v>
      </c>
      <c r="D428" s="25"/>
      <c r="E428" s="85" t="s">
        <v>1384</v>
      </c>
      <c r="F428" s="85" t="s">
        <v>39</v>
      </c>
      <c r="G428" s="81" t="s">
        <v>1409</v>
      </c>
      <c r="H428" s="81"/>
    </row>
    <row r="429" spans="1:8" ht="27.75">
      <c r="A429" s="141" t="s">
        <v>431</v>
      </c>
      <c r="B429" s="141" t="s">
        <v>432</v>
      </c>
      <c r="C429" s="134">
        <f>_xlfn.IFERROR(VLOOKUP(A429,'งบทดลอง รพ.'!$A$2:$C$602,3,0),0)</f>
        <v>2161.764</v>
      </c>
      <c r="D429" s="25"/>
      <c r="E429" s="85" t="s">
        <v>1386</v>
      </c>
      <c r="F429" s="85" t="s">
        <v>39</v>
      </c>
      <c r="G429" s="81" t="s">
        <v>1409</v>
      </c>
      <c r="H429" s="81"/>
    </row>
    <row r="430" spans="1:8" ht="27.75">
      <c r="A430" s="141" t="s">
        <v>433</v>
      </c>
      <c r="B430" s="141" t="s">
        <v>434</v>
      </c>
      <c r="C430" s="134">
        <f>_xlfn.IFERROR(VLOOKUP(A430,'งบทดลอง รพ.'!$A$2:$C$602,3,0),0)</f>
        <v>400942.32</v>
      </c>
      <c r="D430" s="25"/>
      <c r="E430" s="85" t="s">
        <v>1386</v>
      </c>
      <c r="F430" s="85" t="s">
        <v>39</v>
      </c>
      <c r="G430" s="81" t="s">
        <v>1409</v>
      </c>
      <c r="H430" s="81"/>
    </row>
    <row r="431" spans="1:8" ht="27.75">
      <c r="A431" s="141" t="s">
        <v>435</v>
      </c>
      <c r="B431" s="141" t="s">
        <v>436</v>
      </c>
      <c r="C431" s="134">
        <f>_xlfn.IFERROR(VLOOKUP(A431,'งบทดลอง รพ.'!$A$2:$C$602,3,0),0)</f>
        <v>781422.648</v>
      </c>
      <c r="D431" s="25"/>
      <c r="E431" s="85" t="s">
        <v>1386</v>
      </c>
      <c r="F431" s="85" t="s">
        <v>39</v>
      </c>
      <c r="G431" s="81" t="s">
        <v>1409</v>
      </c>
      <c r="H431" s="81"/>
    </row>
    <row r="432" spans="1:8" ht="27.75">
      <c r="A432" s="141" t="s">
        <v>437</v>
      </c>
      <c r="B432" s="141" t="s">
        <v>438</v>
      </c>
      <c r="C432" s="134">
        <f>_xlfn.IFERROR(VLOOKUP(A432,'งบทดลอง รพ.'!$A$2:$C$602,3,0),0)</f>
        <v>28110.852</v>
      </c>
      <c r="D432" s="25"/>
      <c r="E432" s="85" t="s">
        <v>1386</v>
      </c>
      <c r="F432" s="85" t="s">
        <v>39</v>
      </c>
      <c r="G432" s="81" t="s">
        <v>1409</v>
      </c>
      <c r="H432" s="81"/>
    </row>
    <row r="433" spans="1:8" ht="27.75">
      <c r="A433" s="141" t="s">
        <v>439</v>
      </c>
      <c r="B433" s="141" t="s">
        <v>440</v>
      </c>
      <c r="C433" s="134">
        <f>_xlfn.IFERROR(VLOOKUP(A433,'งบทดลอง รพ.'!$A$2:$C$602,3,0),0)</f>
        <v>792.78</v>
      </c>
      <c r="D433" s="25"/>
      <c r="E433" s="85" t="s">
        <v>1386</v>
      </c>
      <c r="F433" s="85" t="s">
        <v>39</v>
      </c>
      <c r="G433" s="81" t="s">
        <v>1409</v>
      </c>
      <c r="H433" s="81"/>
    </row>
    <row r="434" spans="1:8" ht="27.75">
      <c r="A434" s="141" t="s">
        <v>441</v>
      </c>
      <c r="B434" s="141" t="s">
        <v>442</v>
      </c>
      <c r="C434" s="134">
        <f>_xlfn.IFERROR(VLOOKUP(A434,'งบทดลอง รพ.'!$A$2:$C$602,3,0),0)</f>
        <v>0</v>
      </c>
      <c r="D434" s="25"/>
      <c r="E434" s="85" t="s">
        <v>1386</v>
      </c>
      <c r="F434" s="85" t="s">
        <v>39</v>
      </c>
      <c r="G434" s="81" t="s">
        <v>1409</v>
      </c>
      <c r="H434" s="81"/>
    </row>
    <row r="435" spans="1:8" ht="27.75">
      <c r="A435" s="141" t="s">
        <v>443</v>
      </c>
      <c r="B435" s="141" t="s">
        <v>444</v>
      </c>
      <c r="C435" s="134">
        <f>_xlfn.IFERROR(VLOOKUP(A435,'งบทดลอง รพ.'!$A$2:$C$602,3,0),0)</f>
        <v>1875230.5200000003</v>
      </c>
      <c r="D435" s="25"/>
      <c r="E435" s="85" t="s">
        <v>1386</v>
      </c>
      <c r="F435" s="85" t="s">
        <v>39</v>
      </c>
      <c r="G435" s="81" t="s">
        <v>1409</v>
      </c>
      <c r="H435" s="81"/>
    </row>
    <row r="436" spans="1:8" ht="27.75">
      <c r="A436" s="141" t="s">
        <v>445</v>
      </c>
      <c r="B436" s="141" t="s">
        <v>446</v>
      </c>
      <c r="C436" s="134">
        <f>_xlfn.IFERROR(VLOOKUP(A436,'งบทดลอง รพ.'!$A$2:$C$602,3,0),0)</f>
        <v>185298.696</v>
      </c>
      <c r="D436" s="25"/>
      <c r="E436" s="85" t="s">
        <v>1386</v>
      </c>
      <c r="F436" s="85" t="s">
        <v>39</v>
      </c>
      <c r="G436" s="81" t="s">
        <v>1409</v>
      </c>
      <c r="H436" s="81"/>
    </row>
    <row r="437" spans="1:8" ht="27.75">
      <c r="A437" s="141" t="s">
        <v>970</v>
      </c>
      <c r="B437" s="141" t="s">
        <v>971</v>
      </c>
      <c r="C437" s="134">
        <f>_xlfn.IFERROR(VLOOKUP(A437,'งบทดลอง รพ.'!$A$2:$C$602,3,0),0)</f>
        <v>0</v>
      </c>
      <c r="D437" s="25"/>
      <c r="E437" s="85" t="s">
        <v>1386</v>
      </c>
      <c r="F437" s="85" t="s">
        <v>39</v>
      </c>
      <c r="G437" s="81" t="s">
        <v>1409</v>
      </c>
      <c r="H437" s="81"/>
    </row>
    <row r="438" spans="1:8" ht="27.75">
      <c r="A438" s="141" t="s">
        <v>447</v>
      </c>
      <c r="B438" s="141" t="s">
        <v>448</v>
      </c>
      <c r="C438" s="134">
        <f>_xlfn.IFERROR(VLOOKUP(A438,'งบทดลอง รพ.'!$A$2:$C$602,3,0),0)</f>
        <v>571.7040000000001</v>
      </c>
      <c r="D438" s="25"/>
      <c r="E438" s="85" t="s">
        <v>1386</v>
      </c>
      <c r="F438" s="85" t="s">
        <v>39</v>
      </c>
      <c r="G438" s="81" t="s">
        <v>1409</v>
      </c>
      <c r="H438" s="81"/>
    </row>
    <row r="439" spans="1:8" ht="27.75">
      <c r="A439" s="141" t="s">
        <v>972</v>
      </c>
      <c r="B439" s="141" t="s">
        <v>973</v>
      </c>
      <c r="C439" s="134">
        <f>_xlfn.IFERROR(VLOOKUP(A439,'งบทดลอง รพ.'!$A$2:$C$602,3,0),0)</f>
        <v>0</v>
      </c>
      <c r="D439" s="25"/>
      <c r="E439" s="85" t="s">
        <v>1386</v>
      </c>
      <c r="F439" s="85" t="s">
        <v>39</v>
      </c>
      <c r="G439" s="81" t="s">
        <v>1409</v>
      </c>
      <c r="H439" s="81"/>
    </row>
    <row r="440" spans="1:8" ht="27.75">
      <c r="A440" s="141" t="s">
        <v>974</v>
      </c>
      <c r="B440" s="141" t="s">
        <v>975</v>
      </c>
      <c r="C440" s="134">
        <f>_xlfn.IFERROR(VLOOKUP(A440,'งบทดลอง รพ.'!$A$2:$C$602,3,0),0)</f>
        <v>0</v>
      </c>
      <c r="D440" s="25"/>
      <c r="E440" s="85" t="s">
        <v>1386</v>
      </c>
      <c r="F440" s="85" t="s">
        <v>39</v>
      </c>
      <c r="G440" s="81" t="s">
        <v>1409</v>
      </c>
      <c r="H440" s="81"/>
    </row>
    <row r="441" spans="1:8" ht="27.75">
      <c r="A441" s="142" t="s">
        <v>976</v>
      </c>
      <c r="B441" s="142" t="s">
        <v>977</v>
      </c>
      <c r="C441" s="134">
        <f>_xlfn.IFERROR(VLOOKUP(A441,'งบทดลอง รพ.'!$A$2:$C$602,3,0),0)</f>
        <v>0</v>
      </c>
      <c r="E441" s="85" t="s">
        <v>1386</v>
      </c>
      <c r="F441" s="85" t="s">
        <v>39</v>
      </c>
      <c r="G441" s="81" t="s">
        <v>1409</v>
      </c>
      <c r="H441" s="81"/>
    </row>
    <row r="442" spans="1:8" ht="27.75">
      <c r="A442" s="141" t="s">
        <v>449</v>
      </c>
      <c r="B442" s="141" t="s">
        <v>450</v>
      </c>
      <c r="C442" s="134">
        <f>_xlfn.IFERROR(VLOOKUP(A442,'งบทดลอง รพ.'!$A$2:$C$602,3,0),0)</f>
        <v>3975071.0760000004</v>
      </c>
      <c r="E442" s="85" t="s">
        <v>1386</v>
      </c>
      <c r="F442" s="85" t="s">
        <v>39</v>
      </c>
      <c r="G442" s="81" t="s">
        <v>1409</v>
      </c>
      <c r="H442" s="81"/>
    </row>
    <row r="443" spans="1:8" ht="27.75">
      <c r="A443" s="141" t="s">
        <v>451</v>
      </c>
      <c r="B443" s="141" t="s">
        <v>452</v>
      </c>
      <c r="C443" s="134">
        <f>_xlfn.IFERROR(VLOOKUP(A443,'งบทดลอง รพ.'!$A$2:$C$602,3,0),0)</f>
        <v>0</v>
      </c>
      <c r="E443" s="85" t="s">
        <v>1388</v>
      </c>
      <c r="F443" s="85" t="s">
        <v>39</v>
      </c>
      <c r="G443" s="81" t="s">
        <v>1409</v>
      </c>
      <c r="H443" s="81"/>
    </row>
    <row r="444" spans="1:8" ht="27.75">
      <c r="A444" s="138" t="s">
        <v>1175</v>
      </c>
      <c r="B444" s="138" t="s">
        <v>1176</v>
      </c>
      <c r="C444" s="134">
        <f>_xlfn.IFERROR(VLOOKUP(A444,'งบทดลอง รพ.'!$A$2:$C$602,3,0),0)</f>
        <v>0</v>
      </c>
      <c r="E444" s="85" t="s">
        <v>1388</v>
      </c>
      <c r="F444" s="85" t="s">
        <v>39</v>
      </c>
      <c r="G444" s="81" t="s">
        <v>1407</v>
      </c>
      <c r="H444" s="81"/>
    </row>
    <row r="445" spans="1:8" ht="27.75">
      <c r="A445" s="141" t="s">
        <v>453</v>
      </c>
      <c r="B445" s="141" t="s">
        <v>454</v>
      </c>
      <c r="C445" s="134">
        <f>_xlfn.IFERROR(VLOOKUP(A445,'งบทดลอง รพ.'!$A$2:$C$602,3,0),0)</f>
        <v>0</v>
      </c>
      <c r="E445" s="85" t="s">
        <v>1388</v>
      </c>
      <c r="F445" s="85" t="s">
        <v>39</v>
      </c>
      <c r="G445" s="81" t="s">
        <v>1409</v>
      </c>
      <c r="H445" s="81"/>
    </row>
    <row r="446" spans="1:8" ht="27.75">
      <c r="A446" s="141" t="s">
        <v>455</v>
      </c>
      <c r="B446" s="141" t="s">
        <v>456</v>
      </c>
      <c r="C446" s="134">
        <f>_xlfn.IFERROR(VLOOKUP(A446,'งบทดลอง รพ.'!$A$2:$C$602,3,0),0)</f>
        <v>0</v>
      </c>
      <c r="E446" s="85" t="s">
        <v>1384</v>
      </c>
      <c r="F446" s="85" t="s">
        <v>39</v>
      </c>
      <c r="G446" s="81" t="s">
        <v>1409</v>
      </c>
      <c r="H446" s="81"/>
    </row>
    <row r="447" spans="1:8" ht="27.75">
      <c r="A447" s="141" t="s">
        <v>457</v>
      </c>
      <c r="B447" s="141" t="s">
        <v>458</v>
      </c>
      <c r="C447" s="134">
        <f>_xlfn.IFERROR(VLOOKUP(A447,'งบทดลอง รพ.'!$A$2:$C$602,3,0),0)</f>
        <v>894255.6000000001</v>
      </c>
      <c r="E447" s="85" t="s">
        <v>1384</v>
      </c>
      <c r="F447" s="85" t="s">
        <v>39</v>
      </c>
      <c r="G447" s="81" t="s">
        <v>1409</v>
      </c>
      <c r="H447" s="81"/>
    </row>
    <row r="448" spans="1:8" ht="27.75">
      <c r="A448" s="141" t="s">
        <v>459</v>
      </c>
      <c r="B448" s="141" t="s">
        <v>460</v>
      </c>
      <c r="C448" s="134">
        <f>_xlfn.IFERROR(VLOOKUP(A448,'งบทดลอง รพ.'!$A$2:$C$602,3,0),0)</f>
        <v>4276157.640000001</v>
      </c>
      <c r="E448" s="85" t="s">
        <v>1384</v>
      </c>
      <c r="F448" s="85" t="s">
        <v>39</v>
      </c>
      <c r="G448" s="81" t="s">
        <v>1409</v>
      </c>
      <c r="H448" s="81"/>
    </row>
    <row r="449" spans="1:8" ht="27.75">
      <c r="A449" s="141" t="s">
        <v>461</v>
      </c>
      <c r="B449" s="141" t="s">
        <v>462</v>
      </c>
      <c r="C449" s="134">
        <f>_xlfn.IFERROR(VLOOKUP(A449,'งบทดลอง รพ.'!$A$2:$C$602,3,0),0)</f>
        <v>98018.76000000001</v>
      </c>
      <c r="E449" s="85" t="s">
        <v>1384</v>
      </c>
      <c r="F449" s="85" t="s">
        <v>39</v>
      </c>
      <c r="G449" s="81" t="s">
        <v>1409</v>
      </c>
      <c r="H449" s="81"/>
    </row>
    <row r="450" spans="1:8" ht="27.75">
      <c r="A450" s="141" t="s">
        <v>463</v>
      </c>
      <c r="B450" s="141" t="s">
        <v>464</v>
      </c>
      <c r="C450" s="134">
        <f>_xlfn.IFERROR(VLOOKUP(A450,'งบทดลอง รพ.'!$A$2:$C$602,3,0),0)</f>
        <v>115722.84</v>
      </c>
      <c r="E450" s="85" t="s">
        <v>1384</v>
      </c>
      <c r="F450" s="85" t="s">
        <v>39</v>
      </c>
      <c r="G450" s="81" t="s">
        <v>1409</v>
      </c>
      <c r="H450" s="81"/>
    </row>
    <row r="451" spans="1:8" ht="27.75">
      <c r="A451" s="141" t="s">
        <v>465</v>
      </c>
      <c r="B451" s="141" t="s">
        <v>466</v>
      </c>
      <c r="C451" s="134">
        <f>_xlfn.IFERROR(VLOOKUP(A451,'งบทดลอง รพ.'!$A$2:$C$602,3,0),0)</f>
        <v>0</v>
      </c>
      <c r="E451" s="85" t="s">
        <v>1384</v>
      </c>
      <c r="F451" s="85" t="s">
        <v>39</v>
      </c>
      <c r="G451" s="81" t="s">
        <v>1409</v>
      </c>
      <c r="H451" s="81"/>
    </row>
    <row r="452" spans="1:8" ht="27.75">
      <c r="A452" s="141" t="s">
        <v>467</v>
      </c>
      <c r="B452" s="141" t="s">
        <v>468</v>
      </c>
      <c r="C452" s="134">
        <f>_xlfn.IFERROR(VLOOKUP(A452,'งบทดลอง รพ.'!$A$2:$C$602,3,0),0)</f>
        <v>0</v>
      </c>
      <c r="E452" s="85" t="s">
        <v>1384</v>
      </c>
      <c r="F452" s="85" t="s">
        <v>39</v>
      </c>
      <c r="G452" s="81" t="s">
        <v>1409</v>
      </c>
      <c r="H452" s="81"/>
    </row>
    <row r="453" spans="1:8" ht="27.75">
      <c r="A453" s="141" t="s">
        <v>469</v>
      </c>
      <c r="B453" s="141" t="s">
        <v>470</v>
      </c>
      <c r="C453" s="134">
        <f>_xlfn.IFERROR(VLOOKUP(A453,'งบทดลอง รพ.'!$A$2:$C$602,3,0),0)</f>
        <v>44559.84</v>
      </c>
      <c r="E453" s="85" t="s">
        <v>1384</v>
      </c>
      <c r="F453" s="85" t="s">
        <v>39</v>
      </c>
      <c r="G453" s="81" t="s">
        <v>1409</v>
      </c>
      <c r="H453" s="81"/>
    </row>
    <row r="454" spans="1:8" ht="27.75">
      <c r="A454" s="141" t="s">
        <v>471</v>
      </c>
      <c r="B454" s="141" t="s">
        <v>472</v>
      </c>
      <c r="C454" s="134">
        <f>_xlfn.IFERROR(VLOOKUP(A454,'งบทดลอง รพ.'!$A$2:$C$602,3,0),0)</f>
        <v>0</v>
      </c>
      <c r="E454" s="85" t="s">
        <v>1384</v>
      </c>
      <c r="F454" s="85" t="s">
        <v>39</v>
      </c>
      <c r="G454" s="81" t="s">
        <v>1409</v>
      </c>
      <c r="H454" s="81"/>
    </row>
    <row r="455" spans="1:8" ht="27.75">
      <c r="A455" s="141" t="s">
        <v>473</v>
      </c>
      <c r="B455" s="141" t="s">
        <v>474</v>
      </c>
      <c r="C455" s="134">
        <f>_xlfn.IFERROR(VLOOKUP(A455,'งบทดลอง รพ.'!$A$2:$C$602,3,0),0)</f>
        <v>0</v>
      </c>
      <c r="E455" s="85" t="s">
        <v>1384</v>
      </c>
      <c r="F455" s="85" t="s">
        <v>39</v>
      </c>
      <c r="G455" s="81" t="s">
        <v>1409</v>
      </c>
      <c r="H455" s="81"/>
    </row>
    <row r="456" spans="1:8" ht="27.75">
      <c r="A456" s="141" t="s">
        <v>475</v>
      </c>
      <c r="B456" s="141" t="s">
        <v>476</v>
      </c>
      <c r="C456" s="134">
        <f>_xlfn.IFERROR(VLOOKUP(A456,'งบทดลอง รพ.'!$A$2:$C$602,3,0),0)</f>
        <v>825266.6160000002</v>
      </c>
      <c r="E456" s="85" t="s">
        <v>1386</v>
      </c>
      <c r="F456" s="85" t="s">
        <v>39</v>
      </c>
      <c r="G456" s="81" t="s">
        <v>1409</v>
      </c>
      <c r="H456" s="81"/>
    </row>
    <row r="457" spans="1:8" ht="27.75">
      <c r="A457" s="141" t="s">
        <v>477</v>
      </c>
      <c r="B457" s="141" t="s">
        <v>478</v>
      </c>
      <c r="C457" s="134">
        <f>_xlfn.IFERROR(VLOOKUP(A457,'งบทดลอง รพ.'!$A$2:$C$602,3,0),0)</f>
        <v>0</v>
      </c>
      <c r="E457" s="85" t="s">
        <v>1386</v>
      </c>
      <c r="F457" s="85" t="s">
        <v>39</v>
      </c>
      <c r="G457" s="81" t="s">
        <v>1409</v>
      </c>
      <c r="H457" s="81"/>
    </row>
    <row r="458" spans="1:8" ht="27.75">
      <c r="A458" s="141" t="s">
        <v>479</v>
      </c>
      <c r="B458" s="141" t="s">
        <v>480</v>
      </c>
      <c r="C458" s="134">
        <f>_xlfn.IFERROR(VLOOKUP(A458,'งบทดลอง รพ.'!$A$2:$C$602,3,0),0)</f>
        <v>146557.704</v>
      </c>
      <c r="E458" s="85" t="s">
        <v>1386</v>
      </c>
      <c r="F458" s="85" t="s">
        <v>39</v>
      </c>
      <c r="G458" s="81" t="s">
        <v>1409</v>
      </c>
      <c r="H458" s="81"/>
    </row>
    <row r="459" spans="1:8" ht="27.75">
      <c r="A459" s="141" t="s">
        <v>481</v>
      </c>
      <c r="B459" s="141" t="s">
        <v>482</v>
      </c>
      <c r="C459" s="134">
        <f>_xlfn.IFERROR(VLOOKUP(A459,'งบทดลอง รพ.'!$A$2:$C$602,3,0),0)</f>
        <v>50651.04</v>
      </c>
      <c r="E459" s="85" t="s">
        <v>1386</v>
      </c>
      <c r="F459" s="85" t="s">
        <v>39</v>
      </c>
      <c r="G459" s="81" t="s">
        <v>1409</v>
      </c>
      <c r="H459" s="81"/>
    </row>
    <row r="460" spans="1:8" ht="27.75">
      <c r="A460" s="141" t="s">
        <v>483</v>
      </c>
      <c r="B460" s="141" t="s">
        <v>484</v>
      </c>
      <c r="C460" s="134">
        <f>_xlfn.IFERROR(VLOOKUP(A460,'งบทดลอง รพ.'!$A$2:$C$602,3,0),0)</f>
        <v>67028.63999999998</v>
      </c>
      <c r="E460" s="85" t="s">
        <v>1386</v>
      </c>
      <c r="F460" s="85" t="s">
        <v>39</v>
      </c>
      <c r="G460" s="81" t="s">
        <v>1409</v>
      </c>
      <c r="H460" s="81"/>
    </row>
    <row r="461" spans="1:8" ht="27.75">
      <c r="A461" s="141" t="s">
        <v>485</v>
      </c>
      <c r="B461" s="141" t="s">
        <v>486</v>
      </c>
      <c r="C461" s="134">
        <f>_xlfn.IFERROR(VLOOKUP(A461,'งบทดลอง รพ.'!$A$2:$C$602,3,0),0)</f>
        <v>6027.732</v>
      </c>
      <c r="E461" s="85" t="s">
        <v>1386</v>
      </c>
      <c r="F461" s="85" t="s">
        <v>39</v>
      </c>
      <c r="G461" s="81" t="s">
        <v>1409</v>
      </c>
      <c r="H461" s="81"/>
    </row>
    <row r="462" spans="1:8" ht="27.75">
      <c r="A462" s="141" t="s">
        <v>487</v>
      </c>
      <c r="B462" s="141" t="s">
        <v>488</v>
      </c>
      <c r="C462" s="134">
        <f>_xlfn.IFERROR(VLOOKUP(A462,'งบทดลอง รพ.'!$A$2:$C$602,3,0),0)</f>
        <v>15512164.428</v>
      </c>
      <c r="E462" s="85" t="s">
        <v>1386</v>
      </c>
      <c r="F462" s="85" t="s">
        <v>39</v>
      </c>
      <c r="G462" s="81" t="s">
        <v>1409</v>
      </c>
      <c r="H462" s="81"/>
    </row>
    <row r="463" spans="1:8" ht="27.75">
      <c r="A463" s="141" t="s">
        <v>489</v>
      </c>
      <c r="B463" s="141" t="s">
        <v>490</v>
      </c>
      <c r="C463" s="134">
        <f>_xlfn.IFERROR(VLOOKUP(A463,'งบทดลอง รพ.'!$A$2:$C$602,3,0),0)</f>
        <v>379817.68799999997</v>
      </c>
      <c r="E463" s="85" t="s">
        <v>1386</v>
      </c>
      <c r="F463" s="85" t="s">
        <v>39</v>
      </c>
      <c r="G463" s="81" t="s">
        <v>1409</v>
      </c>
      <c r="H463" s="81"/>
    </row>
    <row r="464" spans="1:8" ht="27.75">
      <c r="A464" s="141" t="s">
        <v>491</v>
      </c>
      <c r="B464" s="141" t="s">
        <v>492</v>
      </c>
      <c r="C464" s="134">
        <f>_xlfn.IFERROR(VLOOKUP(A464,'งบทดลอง รพ.'!$A$2:$C$602,3,0),0)</f>
        <v>850975.6799999999</v>
      </c>
      <c r="E464" s="85" t="s">
        <v>1386</v>
      </c>
      <c r="F464" s="85" t="s">
        <v>39</v>
      </c>
      <c r="G464" s="81" t="s">
        <v>1409</v>
      </c>
      <c r="H464" s="81"/>
    </row>
    <row r="465" spans="1:8" ht="27.75">
      <c r="A465" s="141" t="s">
        <v>493</v>
      </c>
      <c r="B465" s="141" t="s">
        <v>494</v>
      </c>
      <c r="C465" s="134">
        <f>_xlfn.IFERROR(VLOOKUP(A465,'งบทดลอง รพ.'!$A$2:$C$602,3,0),0)</f>
        <v>246758.40000000002</v>
      </c>
      <c r="E465" s="85" t="s">
        <v>1386</v>
      </c>
      <c r="F465" s="85" t="s">
        <v>39</v>
      </c>
      <c r="G465" s="81" t="s">
        <v>1409</v>
      </c>
      <c r="H465" s="81"/>
    </row>
    <row r="466" spans="1:8" ht="27.75">
      <c r="A466" s="141" t="s">
        <v>495</v>
      </c>
      <c r="B466" s="141" t="s">
        <v>496</v>
      </c>
      <c r="C466" s="134">
        <f>_xlfn.IFERROR(VLOOKUP(A466,'งบทดลอง รพ.'!$A$2:$C$602,3,0),0)</f>
        <v>7309.4400000000005</v>
      </c>
      <c r="E466" s="85" t="s">
        <v>1388</v>
      </c>
      <c r="F466" s="85" t="s">
        <v>39</v>
      </c>
      <c r="G466" s="81" t="s">
        <v>1409</v>
      </c>
      <c r="H466" s="81"/>
    </row>
    <row r="467" spans="1:8" ht="27.75">
      <c r="A467" s="138" t="s">
        <v>1177</v>
      </c>
      <c r="B467" s="138" t="s">
        <v>1178</v>
      </c>
      <c r="C467" s="134">
        <f>_xlfn.IFERROR(VLOOKUP(A467,'งบทดลอง รพ.'!$A$2:$C$602,3,0),0)</f>
        <v>0</v>
      </c>
      <c r="E467" s="85" t="s">
        <v>1388</v>
      </c>
      <c r="F467" s="85" t="s">
        <v>39</v>
      </c>
      <c r="G467" s="81" t="s">
        <v>1407</v>
      </c>
      <c r="H467" s="81"/>
    </row>
    <row r="468" spans="1:8" ht="27.75">
      <c r="A468" s="141" t="s">
        <v>497</v>
      </c>
      <c r="B468" s="141" t="s">
        <v>498</v>
      </c>
      <c r="C468" s="134">
        <f>_xlfn.IFERROR(VLOOKUP(A468,'งบทดลอง รพ.'!$A$2:$C$602,3,0),0)</f>
        <v>0</v>
      </c>
      <c r="E468" s="85" t="s">
        <v>1388</v>
      </c>
      <c r="F468" s="85" t="s">
        <v>39</v>
      </c>
      <c r="G468" s="81" t="s">
        <v>1409</v>
      </c>
      <c r="H468" s="81"/>
    </row>
    <row r="469" spans="1:8" ht="27.75">
      <c r="A469" s="141" t="s">
        <v>499</v>
      </c>
      <c r="B469" s="141" t="s">
        <v>500</v>
      </c>
      <c r="C469" s="134">
        <f>_xlfn.IFERROR(VLOOKUP(A469,'งบทดลอง รพ.'!$A$2:$C$602,3,0),0)</f>
        <v>0</v>
      </c>
      <c r="E469" s="85" t="s">
        <v>1384</v>
      </c>
      <c r="F469" s="85" t="s">
        <v>39</v>
      </c>
      <c r="G469" s="81" t="s">
        <v>1409</v>
      </c>
      <c r="H469" s="81"/>
    </row>
    <row r="470" spans="1:8" ht="27.75">
      <c r="A470" s="141" t="s">
        <v>501</v>
      </c>
      <c r="B470" s="141" t="s">
        <v>502</v>
      </c>
      <c r="C470" s="134">
        <f>_xlfn.IFERROR(VLOOKUP(A470,'งบทดลอง รพ.'!$A$2:$C$602,3,0),0)</f>
        <v>0</v>
      </c>
      <c r="E470" s="85" t="s">
        <v>1384</v>
      </c>
      <c r="F470" s="85" t="s">
        <v>39</v>
      </c>
      <c r="G470" s="81" t="s">
        <v>1409</v>
      </c>
      <c r="H470" s="81"/>
    </row>
    <row r="471" spans="1:8" ht="27.75">
      <c r="A471" s="139" t="s">
        <v>1179</v>
      </c>
      <c r="B471" s="139" t="s">
        <v>1180</v>
      </c>
      <c r="C471" s="134">
        <f>_xlfn.IFERROR(VLOOKUP(A471,'งบทดลอง รพ.'!$A$2:$C$602,3,0),0)</f>
        <v>0</v>
      </c>
      <c r="E471" s="85" t="s">
        <v>1396</v>
      </c>
      <c r="F471" s="85" t="s">
        <v>41</v>
      </c>
      <c r="G471" s="81" t="s">
        <v>1407</v>
      </c>
      <c r="H471" s="81"/>
    </row>
    <row r="472" spans="1:8" ht="27.75">
      <c r="A472" s="139" t="s">
        <v>1181</v>
      </c>
      <c r="B472" s="139" t="s">
        <v>1182</v>
      </c>
      <c r="C472" s="134">
        <f>_xlfn.IFERROR(VLOOKUP(A472,'งบทดลอง รพ.'!$A$2:$C$602,3,0),0)</f>
        <v>0</v>
      </c>
      <c r="E472" s="85" t="s">
        <v>1396</v>
      </c>
      <c r="F472" s="85" t="s">
        <v>41</v>
      </c>
      <c r="G472" s="81" t="s">
        <v>1407</v>
      </c>
      <c r="H472" s="81"/>
    </row>
    <row r="473" spans="1:8" ht="27.75">
      <c r="A473" s="139" t="s">
        <v>1183</v>
      </c>
      <c r="B473" s="139" t="s">
        <v>1184</v>
      </c>
      <c r="C473" s="134">
        <f>_xlfn.IFERROR(VLOOKUP(A473,'งบทดลอง รพ.'!$A$2:$C$602,3,0),0)</f>
        <v>0</v>
      </c>
      <c r="E473" s="85" t="s">
        <v>1396</v>
      </c>
      <c r="F473" s="85" t="s">
        <v>41</v>
      </c>
      <c r="G473" s="81" t="s">
        <v>1407</v>
      </c>
      <c r="H473" s="81"/>
    </row>
    <row r="474" spans="1:8" ht="27.75">
      <c r="A474" s="139" t="s">
        <v>1185</v>
      </c>
      <c r="B474" s="139" t="s">
        <v>1186</v>
      </c>
      <c r="C474" s="134">
        <f>_xlfn.IFERROR(VLOOKUP(A474,'งบทดลอง รพ.'!$A$2:$C$602,3,0),0)</f>
        <v>0</v>
      </c>
      <c r="E474" s="85" t="s">
        <v>1396</v>
      </c>
      <c r="F474" s="85" t="s">
        <v>41</v>
      </c>
      <c r="G474" s="81" t="s">
        <v>1407</v>
      </c>
      <c r="H474" s="81"/>
    </row>
    <row r="475" spans="1:8" ht="27.75">
      <c r="A475" s="139" t="s">
        <v>1187</v>
      </c>
      <c r="B475" s="139" t="s">
        <v>1188</v>
      </c>
      <c r="C475" s="134">
        <f>_xlfn.IFERROR(VLOOKUP(A475,'งบทดลอง รพ.'!$A$2:$C$602,3,0),0)</f>
        <v>0</v>
      </c>
      <c r="E475" s="85" t="s">
        <v>1396</v>
      </c>
      <c r="F475" s="85" t="s">
        <v>41</v>
      </c>
      <c r="G475" s="81" t="s">
        <v>1407</v>
      </c>
      <c r="H475" s="81"/>
    </row>
    <row r="476" spans="1:8" ht="27.75">
      <c r="A476" s="142" t="s">
        <v>521</v>
      </c>
      <c r="B476" s="142" t="s">
        <v>522</v>
      </c>
      <c r="C476" s="134">
        <f>_xlfn.IFERROR(VLOOKUP(A476,'งบทดลอง รพ.'!$A$2:$C$602,3,0),0)</f>
        <v>0</v>
      </c>
      <c r="E476" s="85" t="s">
        <v>1396</v>
      </c>
      <c r="F476" s="85" t="s">
        <v>41</v>
      </c>
      <c r="G476" s="81" t="s">
        <v>1409</v>
      </c>
      <c r="H476" s="81"/>
    </row>
    <row r="477" spans="1:8" ht="27.75">
      <c r="A477" s="142" t="s">
        <v>523</v>
      </c>
      <c r="B477" s="142" t="s">
        <v>524</v>
      </c>
      <c r="C477" s="134">
        <f>_xlfn.IFERROR(VLOOKUP(A477,'งบทดลอง รพ.'!$A$2:$C$602,3,0),0)</f>
        <v>0</v>
      </c>
      <c r="E477" s="85" t="s">
        <v>1396</v>
      </c>
      <c r="F477" s="85" t="s">
        <v>41</v>
      </c>
      <c r="G477" s="81" t="s">
        <v>1409</v>
      </c>
      <c r="H477" s="81"/>
    </row>
    <row r="478" spans="1:8" ht="27.75">
      <c r="A478" s="142" t="s">
        <v>978</v>
      </c>
      <c r="B478" s="142" t="s">
        <v>979</v>
      </c>
      <c r="C478" s="134">
        <f>_xlfn.IFERROR(VLOOKUP(A478,'งบทดลอง รพ.'!$A$2:$C$602,3,0),0)</f>
        <v>0</v>
      </c>
      <c r="E478" s="85" t="s">
        <v>1396</v>
      </c>
      <c r="F478" s="85" t="s">
        <v>41</v>
      </c>
      <c r="G478" s="81" t="s">
        <v>1409</v>
      </c>
      <c r="H478" s="81"/>
    </row>
    <row r="479" spans="1:8" ht="27.75">
      <c r="A479" s="142" t="s">
        <v>525</v>
      </c>
      <c r="B479" s="142" t="s">
        <v>1513</v>
      </c>
      <c r="C479" s="134">
        <f>_xlfn.IFERROR(VLOOKUP(A479,'งบทดลอง รพ.'!$A$2:$C$602,3,0),0)</f>
        <v>0</v>
      </c>
      <c r="E479" s="85" t="s">
        <v>1398</v>
      </c>
      <c r="F479" s="85" t="s">
        <v>734</v>
      </c>
      <c r="G479" s="81" t="s">
        <v>1409</v>
      </c>
      <c r="H479" s="81"/>
    </row>
    <row r="480" spans="1:8" ht="27.75">
      <c r="A480" s="139" t="s">
        <v>1189</v>
      </c>
      <c r="B480" s="139" t="s">
        <v>1190</v>
      </c>
      <c r="C480" s="134">
        <f>_xlfn.IFERROR(VLOOKUP(A480,'งบทดลอง รพ.'!$A$2:$C$602,3,0),0)</f>
        <v>0</v>
      </c>
      <c r="E480" s="85" t="s">
        <v>1398</v>
      </c>
      <c r="F480" s="85" t="s">
        <v>734</v>
      </c>
      <c r="G480" s="81" t="s">
        <v>1407</v>
      </c>
      <c r="H480" s="81"/>
    </row>
    <row r="481" spans="1:8" ht="27.75">
      <c r="A481" s="142" t="s">
        <v>526</v>
      </c>
      <c r="B481" s="142" t="s">
        <v>527</v>
      </c>
      <c r="C481" s="134">
        <f>_xlfn.IFERROR(VLOOKUP(A481,'งบทดลอง รพ.'!$A$2:$C$602,3,0),0)</f>
        <v>0</v>
      </c>
      <c r="E481" s="85" t="s">
        <v>1398</v>
      </c>
      <c r="F481" s="85" t="s">
        <v>734</v>
      </c>
      <c r="G481" s="81" t="s">
        <v>1409</v>
      </c>
      <c r="H481" s="81"/>
    </row>
    <row r="482" spans="1:8" ht="27.75">
      <c r="A482" s="142" t="s">
        <v>528</v>
      </c>
      <c r="B482" s="142" t="s">
        <v>529</v>
      </c>
      <c r="C482" s="134">
        <f>_xlfn.IFERROR(VLOOKUP(A482,'งบทดลอง รพ.'!$A$2:$C$602,3,0),0)</f>
        <v>0</v>
      </c>
      <c r="E482" s="85" t="s">
        <v>1398</v>
      </c>
      <c r="F482" s="85" t="s">
        <v>734</v>
      </c>
      <c r="G482" s="81" t="s">
        <v>1409</v>
      </c>
      <c r="H482" s="81"/>
    </row>
    <row r="483" spans="1:8" ht="27.75">
      <c r="A483" s="139" t="s">
        <v>1191</v>
      </c>
      <c r="B483" s="139" t="s">
        <v>1192</v>
      </c>
      <c r="C483" s="134">
        <f>_xlfn.IFERROR(VLOOKUP(A483,'งบทดลอง รพ.'!$A$2:$C$602,3,0),0)</f>
        <v>0</v>
      </c>
      <c r="E483" s="85" t="s">
        <v>1398</v>
      </c>
      <c r="F483" s="85" t="s">
        <v>734</v>
      </c>
      <c r="G483" s="81" t="s">
        <v>1407</v>
      </c>
      <c r="H483" s="81"/>
    </row>
    <row r="484" spans="1:8" ht="27.75">
      <c r="A484" s="139" t="s">
        <v>1193</v>
      </c>
      <c r="B484" s="139" t="s">
        <v>1194</v>
      </c>
      <c r="C484" s="134">
        <f>_xlfn.IFERROR(VLOOKUP(A484,'งบทดลอง รพ.'!$A$2:$C$602,3,0),0)</f>
        <v>0</v>
      </c>
      <c r="E484" s="85" t="s">
        <v>1398</v>
      </c>
      <c r="F484" s="85" t="s">
        <v>734</v>
      </c>
      <c r="G484" s="81" t="s">
        <v>1407</v>
      </c>
      <c r="H484" s="81"/>
    </row>
    <row r="485" spans="1:8" ht="27.75">
      <c r="A485" s="139" t="s">
        <v>1195</v>
      </c>
      <c r="B485" s="139" t="s">
        <v>1196</v>
      </c>
      <c r="C485" s="134">
        <f>_xlfn.IFERROR(VLOOKUP(A485,'งบทดลอง รพ.'!$A$2:$C$602,3,0),0)</f>
        <v>0</v>
      </c>
      <c r="E485" s="85" t="s">
        <v>1398</v>
      </c>
      <c r="F485" s="85" t="s">
        <v>734</v>
      </c>
      <c r="G485" s="81" t="s">
        <v>1407</v>
      </c>
      <c r="H485" s="81"/>
    </row>
    <row r="486" spans="1:8" ht="27.75">
      <c r="A486" s="139" t="s">
        <v>1197</v>
      </c>
      <c r="B486" s="139" t="s">
        <v>1198</v>
      </c>
      <c r="C486" s="134">
        <f>_xlfn.IFERROR(VLOOKUP(A486,'งบทดลอง รพ.'!$A$2:$C$602,3,0),0)</f>
        <v>0</v>
      </c>
      <c r="E486" s="85" t="s">
        <v>1398</v>
      </c>
      <c r="F486" s="85" t="s">
        <v>734</v>
      </c>
      <c r="G486" s="81" t="s">
        <v>1407</v>
      </c>
      <c r="H486" s="81"/>
    </row>
    <row r="487" spans="1:8" ht="27.75">
      <c r="A487" s="139" t="s">
        <v>1199</v>
      </c>
      <c r="B487" s="139" t="s">
        <v>1200</v>
      </c>
      <c r="C487" s="134">
        <f>_xlfn.IFERROR(VLOOKUP(A487,'งบทดลอง รพ.'!$A$2:$C$602,3,0),0)</f>
        <v>0</v>
      </c>
      <c r="E487" s="85" t="s">
        <v>1398</v>
      </c>
      <c r="F487" s="85" t="s">
        <v>734</v>
      </c>
      <c r="G487" s="81" t="s">
        <v>1407</v>
      </c>
      <c r="H487" s="81"/>
    </row>
    <row r="488" spans="1:8" ht="27.75">
      <c r="A488" s="139" t="s">
        <v>1201</v>
      </c>
      <c r="B488" s="139" t="s">
        <v>1202</v>
      </c>
      <c r="C488" s="134">
        <f>_xlfn.IFERROR(VLOOKUP(A488,'งบทดลอง รพ.'!$A$2:$C$602,3,0),0)</f>
        <v>0</v>
      </c>
      <c r="E488" s="85" t="s">
        <v>1398</v>
      </c>
      <c r="F488" s="85" t="s">
        <v>734</v>
      </c>
      <c r="G488" s="81" t="s">
        <v>1407</v>
      </c>
      <c r="H488" s="81"/>
    </row>
    <row r="489" spans="1:8" ht="27.75">
      <c r="A489" s="139" t="s">
        <v>1203</v>
      </c>
      <c r="B489" s="139" t="s">
        <v>1204</v>
      </c>
      <c r="C489" s="134">
        <f>_xlfn.IFERROR(VLOOKUP(A489,'งบทดลอง รพ.'!$A$2:$C$602,3,0),0)</f>
        <v>0</v>
      </c>
      <c r="E489" s="85" t="s">
        <v>1398</v>
      </c>
      <c r="F489" s="85" t="s">
        <v>734</v>
      </c>
      <c r="G489" s="81" t="s">
        <v>1407</v>
      </c>
      <c r="H489" s="81"/>
    </row>
    <row r="490" spans="1:8" ht="27.75">
      <c r="A490" s="142" t="s">
        <v>530</v>
      </c>
      <c r="B490" s="142" t="s">
        <v>1514</v>
      </c>
      <c r="C490" s="134">
        <f>_xlfn.IFERROR(VLOOKUP(A490,'งบทดลอง รพ.'!$A$2:$C$602,3,0),0)</f>
        <v>0</v>
      </c>
      <c r="E490" s="85" t="s">
        <v>1398</v>
      </c>
      <c r="F490" s="85" t="s">
        <v>734</v>
      </c>
      <c r="G490" s="81" t="s">
        <v>1409</v>
      </c>
      <c r="H490" s="81"/>
    </row>
    <row r="491" spans="1:8" ht="27.75">
      <c r="A491" s="142" t="s">
        <v>531</v>
      </c>
      <c r="B491" s="142" t="s">
        <v>1515</v>
      </c>
      <c r="C491" s="134">
        <f>_xlfn.IFERROR(VLOOKUP(A491,'งบทดลอง รพ.'!$A$2:$C$602,3,0),0)</f>
        <v>0</v>
      </c>
      <c r="E491" s="85" t="s">
        <v>1398</v>
      </c>
      <c r="F491" s="85" t="s">
        <v>734</v>
      </c>
      <c r="G491" s="81" t="s">
        <v>1409</v>
      </c>
      <c r="H491" s="81"/>
    </row>
    <row r="492" spans="1:8" ht="27.75">
      <c r="A492" s="142" t="s">
        <v>980</v>
      </c>
      <c r="B492" s="142" t="s">
        <v>981</v>
      </c>
      <c r="C492" s="134">
        <f>_xlfn.IFERROR(VLOOKUP(A492,'งบทดลอง รพ.'!$A$2:$C$602,3,0),0)</f>
        <v>0</v>
      </c>
      <c r="E492" s="85" t="s">
        <v>1398</v>
      </c>
      <c r="F492" s="85" t="s">
        <v>734</v>
      </c>
      <c r="G492" s="81" t="s">
        <v>1409</v>
      </c>
      <c r="H492" s="81"/>
    </row>
    <row r="493" spans="1:8" ht="27.75">
      <c r="A493" s="142" t="s">
        <v>532</v>
      </c>
      <c r="B493" s="142" t="s">
        <v>1516</v>
      </c>
      <c r="C493" s="134">
        <f>_xlfn.IFERROR(VLOOKUP(A493,'งบทดลอง รพ.'!$A$2:$C$602,3,0),0)</f>
        <v>0</v>
      </c>
      <c r="E493" s="85" t="s">
        <v>1398</v>
      </c>
      <c r="F493" s="85" t="s">
        <v>734</v>
      </c>
      <c r="G493" s="81" t="s">
        <v>1409</v>
      </c>
      <c r="H493" s="81"/>
    </row>
    <row r="494" spans="1:8" ht="27.75">
      <c r="A494" s="142" t="s">
        <v>533</v>
      </c>
      <c r="B494" s="142" t="s">
        <v>1517</v>
      </c>
      <c r="C494" s="134">
        <f>_xlfn.IFERROR(VLOOKUP(A494,'งบทดลอง รพ.'!$A$2:$C$602,3,0),0)</f>
        <v>0</v>
      </c>
      <c r="E494" s="85" t="s">
        <v>1398</v>
      </c>
      <c r="F494" s="85" t="s">
        <v>734</v>
      </c>
      <c r="G494" s="81" t="s">
        <v>1409</v>
      </c>
      <c r="H494" s="81"/>
    </row>
    <row r="495" spans="1:8" ht="27.75">
      <c r="A495" s="139" t="s">
        <v>1205</v>
      </c>
      <c r="B495" s="139" t="s">
        <v>1206</v>
      </c>
      <c r="C495" s="134">
        <f>_xlfn.IFERROR(VLOOKUP(A495,'งบทดลอง รพ.'!$A$2:$C$602,3,0),0)</f>
        <v>0</v>
      </c>
      <c r="E495" s="85" t="s">
        <v>1398</v>
      </c>
      <c r="F495" s="85" t="s">
        <v>734</v>
      </c>
      <c r="G495" s="81" t="s">
        <v>1407</v>
      </c>
      <c r="H495" s="81"/>
    </row>
    <row r="496" spans="1:8" ht="27.75">
      <c r="A496" s="142" t="s">
        <v>534</v>
      </c>
      <c r="B496" s="142" t="s">
        <v>1518</v>
      </c>
      <c r="C496" s="134">
        <f>_xlfn.IFERROR(VLOOKUP(A496,'งบทดลอง รพ.'!$A$2:$C$602,3,0),0)</f>
        <v>0</v>
      </c>
      <c r="E496" s="85" t="s">
        <v>1398</v>
      </c>
      <c r="F496" s="85" t="s">
        <v>734</v>
      </c>
      <c r="G496" s="81" t="s">
        <v>1409</v>
      </c>
      <c r="H496" s="81"/>
    </row>
    <row r="497" spans="1:8" ht="27.75">
      <c r="A497" s="139" t="s">
        <v>1207</v>
      </c>
      <c r="B497" s="139" t="s">
        <v>1208</v>
      </c>
      <c r="C497" s="134">
        <f>_xlfn.IFERROR(VLOOKUP(A497,'งบทดลอง รพ.'!$A$2:$C$602,3,0),0)</f>
        <v>0</v>
      </c>
      <c r="E497" s="85" t="s">
        <v>1398</v>
      </c>
      <c r="F497" s="85" t="s">
        <v>734</v>
      </c>
      <c r="G497" s="81" t="s">
        <v>1407</v>
      </c>
      <c r="H497" s="81"/>
    </row>
    <row r="498" spans="1:8" ht="27.75">
      <c r="A498" s="142" t="s">
        <v>535</v>
      </c>
      <c r="B498" s="142" t="s">
        <v>1519</v>
      </c>
      <c r="C498" s="134">
        <f>_xlfn.IFERROR(VLOOKUP(A498,'งบทดลอง รพ.'!$A$2:$C$602,3,0),0)</f>
        <v>0</v>
      </c>
      <c r="E498" s="85" t="s">
        <v>1398</v>
      </c>
      <c r="F498" s="85" t="s">
        <v>734</v>
      </c>
      <c r="G498" s="81" t="s">
        <v>1409</v>
      </c>
      <c r="H498" s="81"/>
    </row>
    <row r="499" spans="1:8" ht="27.75">
      <c r="A499" s="142" t="s">
        <v>536</v>
      </c>
      <c r="B499" s="142" t="s">
        <v>1520</v>
      </c>
      <c r="C499" s="134">
        <f>_xlfn.IFERROR(VLOOKUP(A499,'งบทดลอง รพ.'!$A$2:$C$602,3,0),0)</f>
        <v>0</v>
      </c>
      <c r="E499" s="85" t="s">
        <v>1398</v>
      </c>
      <c r="F499" s="85" t="s">
        <v>734</v>
      </c>
      <c r="G499" s="81" t="s">
        <v>1409</v>
      </c>
      <c r="H499" s="81"/>
    </row>
    <row r="500" spans="1:8" ht="27.75">
      <c r="A500" s="142" t="s">
        <v>537</v>
      </c>
      <c r="B500" s="142" t="s">
        <v>1521</v>
      </c>
      <c r="C500" s="134">
        <f>_xlfn.IFERROR(VLOOKUP(A500,'งบทดลอง รพ.'!$A$2:$C$602,3,0),0)</f>
        <v>0</v>
      </c>
      <c r="E500" s="85" t="s">
        <v>1398</v>
      </c>
      <c r="F500" s="85" t="s">
        <v>734</v>
      </c>
      <c r="G500" s="81" t="s">
        <v>1409</v>
      </c>
      <c r="H500" s="81"/>
    </row>
    <row r="501" spans="1:8" ht="27.75">
      <c r="A501" s="142" t="s">
        <v>538</v>
      </c>
      <c r="B501" s="142" t="s">
        <v>1522</v>
      </c>
      <c r="C501" s="134">
        <f>_xlfn.IFERROR(VLOOKUP(A501,'งบทดลอง รพ.'!$A$2:$C$602,3,0),0)</f>
        <v>0</v>
      </c>
      <c r="E501" s="85" t="s">
        <v>1398</v>
      </c>
      <c r="F501" s="85" t="s">
        <v>734</v>
      </c>
      <c r="G501" s="81" t="s">
        <v>1409</v>
      </c>
      <c r="H501" s="81"/>
    </row>
    <row r="502" spans="1:8" ht="27.75">
      <c r="A502" s="139" t="s">
        <v>1209</v>
      </c>
      <c r="B502" s="139" t="s">
        <v>1210</v>
      </c>
      <c r="C502" s="134">
        <f>_xlfn.IFERROR(VLOOKUP(A502,'งบทดลอง รพ.'!$A$2:$C$602,3,0),0)</f>
        <v>0</v>
      </c>
      <c r="E502" s="85" t="s">
        <v>1398</v>
      </c>
      <c r="F502" s="85" t="s">
        <v>734</v>
      </c>
      <c r="G502" s="81" t="s">
        <v>1407</v>
      </c>
      <c r="H502" s="81"/>
    </row>
    <row r="503" spans="1:8" ht="27.75">
      <c r="A503" s="139" t="s">
        <v>1211</v>
      </c>
      <c r="B503" s="139" t="s">
        <v>1212</v>
      </c>
      <c r="C503" s="134">
        <f>_xlfn.IFERROR(VLOOKUP(A503,'งบทดลอง รพ.'!$A$2:$C$602,3,0),0)</f>
        <v>0</v>
      </c>
      <c r="E503" s="85" t="s">
        <v>1398</v>
      </c>
      <c r="F503" s="85" t="s">
        <v>734</v>
      </c>
      <c r="G503" s="81" t="s">
        <v>1407</v>
      </c>
      <c r="H503" s="81"/>
    </row>
    <row r="504" spans="1:8" ht="27.75">
      <c r="A504" s="139" t="s">
        <v>1213</v>
      </c>
      <c r="B504" s="139" t="s">
        <v>1214</v>
      </c>
      <c r="C504" s="134">
        <f>_xlfn.IFERROR(VLOOKUP(A504,'งบทดลอง รพ.'!$A$2:$C$602,3,0),0)</f>
        <v>0</v>
      </c>
      <c r="E504" s="85" t="s">
        <v>1398</v>
      </c>
      <c r="F504" s="85" t="s">
        <v>734</v>
      </c>
      <c r="G504" s="81" t="s">
        <v>1407</v>
      </c>
      <c r="H504" s="81"/>
    </row>
    <row r="505" spans="1:8" ht="27.75">
      <c r="A505" s="139" t="s">
        <v>1215</v>
      </c>
      <c r="B505" s="139" t="s">
        <v>1216</v>
      </c>
      <c r="C505" s="134">
        <f>_xlfn.IFERROR(VLOOKUP(A505,'งบทดลอง รพ.'!$A$2:$C$602,3,0),0)</f>
        <v>0</v>
      </c>
      <c r="E505" s="85" t="s">
        <v>1398</v>
      </c>
      <c r="F505" s="85" t="s">
        <v>734</v>
      </c>
      <c r="G505" s="81" t="s">
        <v>1407</v>
      </c>
      <c r="H505" s="81"/>
    </row>
    <row r="506" spans="1:8" ht="27.75">
      <c r="A506" s="139" t="s">
        <v>1217</v>
      </c>
      <c r="B506" s="139" t="s">
        <v>1218</v>
      </c>
      <c r="C506" s="134">
        <f>_xlfn.IFERROR(VLOOKUP(A506,'งบทดลอง รพ.'!$A$2:$C$602,3,0),0)</f>
        <v>0</v>
      </c>
      <c r="E506" s="85" t="s">
        <v>1398</v>
      </c>
      <c r="F506" s="85" t="s">
        <v>734</v>
      </c>
      <c r="G506" s="81" t="s">
        <v>1407</v>
      </c>
      <c r="H506" s="81"/>
    </row>
    <row r="507" spans="1:8" ht="27.75">
      <c r="A507" s="139" t="s">
        <v>1219</v>
      </c>
      <c r="B507" s="139" t="s">
        <v>1220</v>
      </c>
      <c r="C507" s="134">
        <f>_xlfn.IFERROR(VLOOKUP(A507,'งบทดลอง รพ.'!$A$2:$C$602,3,0),0)</f>
        <v>0</v>
      </c>
      <c r="E507" s="85" t="s">
        <v>1398</v>
      </c>
      <c r="F507" s="85" t="s">
        <v>734</v>
      </c>
      <c r="G507" s="81" t="s">
        <v>1407</v>
      </c>
      <c r="H507" s="81"/>
    </row>
    <row r="508" spans="1:8" ht="27.75">
      <c r="A508" s="142" t="s">
        <v>539</v>
      </c>
      <c r="B508" s="142" t="s">
        <v>1523</v>
      </c>
      <c r="C508" s="134">
        <f>_xlfn.IFERROR(VLOOKUP(A508,'งบทดลอง รพ.'!$A$2:$C$602,3,0),0)</f>
        <v>0</v>
      </c>
      <c r="E508" s="85" t="s">
        <v>1398</v>
      </c>
      <c r="F508" s="85" t="s">
        <v>734</v>
      </c>
      <c r="G508" s="81" t="s">
        <v>1409</v>
      </c>
      <c r="H508" s="81"/>
    </row>
    <row r="509" spans="1:8" ht="27.75">
      <c r="A509" s="139" t="s">
        <v>1221</v>
      </c>
      <c r="B509" s="139" t="s">
        <v>1222</v>
      </c>
      <c r="C509" s="134">
        <f>_xlfn.IFERROR(VLOOKUP(A509,'งบทดลอง รพ.'!$A$2:$C$602,3,0),0)</f>
        <v>0</v>
      </c>
      <c r="E509" s="85" t="s">
        <v>1398</v>
      </c>
      <c r="F509" s="85" t="s">
        <v>734</v>
      </c>
      <c r="G509" s="81" t="s">
        <v>1407</v>
      </c>
      <c r="H509" s="81"/>
    </row>
    <row r="510" spans="1:8" ht="27.75">
      <c r="A510" s="139" t="s">
        <v>1223</v>
      </c>
      <c r="B510" s="139" t="s">
        <v>1224</v>
      </c>
      <c r="C510" s="134">
        <f>_xlfn.IFERROR(VLOOKUP(A510,'งบทดลอง รพ.'!$A$2:$C$602,3,0),0)</f>
        <v>0</v>
      </c>
      <c r="E510" s="85" t="s">
        <v>1398</v>
      </c>
      <c r="F510" s="85" t="s">
        <v>734</v>
      </c>
      <c r="G510" s="81" t="s">
        <v>1407</v>
      </c>
      <c r="H510" s="81"/>
    </row>
    <row r="511" spans="1:8" ht="27.75">
      <c r="A511" s="142" t="s">
        <v>540</v>
      </c>
      <c r="B511" s="142" t="s">
        <v>1524</v>
      </c>
      <c r="C511" s="134">
        <f>_xlfn.IFERROR(VLOOKUP(A511,'งบทดลอง รพ.'!$A$2:$C$602,3,0),0)</f>
        <v>0</v>
      </c>
      <c r="E511" s="85" t="s">
        <v>1398</v>
      </c>
      <c r="F511" s="85" t="s">
        <v>734</v>
      </c>
      <c r="G511" s="81" t="s">
        <v>1409</v>
      </c>
      <c r="H511" s="81"/>
    </row>
    <row r="512" spans="1:8" ht="27.75">
      <c r="A512" s="142" t="s">
        <v>541</v>
      </c>
      <c r="B512" s="142" t="s">
        <v>1525</v>
      </c>
      <c r="C512" s="134">
        <f>_xlfn.IFERROR(VLOOKUP(A512,'งบทดลอง รพ.'!$A$2:$C$602,3,0),0)</f>
        <v>0</v>
      </c>
      <c r="E512" s="85" t="s">
        <v>1398</v>
      </c>
      <c r="F512" s="85" t="s">
        <v>734</v>
      </c>
      <c r="G512" s="81" t="s">
        <v>1409</v>
      </c>
      <c r="H512" s="81"/>
    </row>
    <row r="513" spans="1:8" ht="27.75">
      <c r="A513" s="142" t="s">
        <v>542</v>
      </c>
      <c r="B513" s="142" t="s">
        <v>543</v>
      </c>
      <c r="C513" s="134">
        <f>_xlfn.IFERROR(VLOOKUP(A513,'งบทดลอง รพ.'!$A$2:$C$602,3,0),0)</f>
        <v>6069.6</v>
      </c>
      <c r="E513" s="85" t="s">
        <v>1398</v>
      </c>
      <c r="F513" s="85" t="s">
        <v>734</v>
      </c>
      <c r="G513" s="81" t="s">
        <v>1409</v>
      </c>
      <c r="H513" s="81"/>
    </row>
    <row r="514" spans="1:8" ht="27.75">
      <c r="A514" s="139" t="s">
        <v>1225</v>
      </c>
      <c r="B514" s="139" t="s">
        <v>1226</v>
      </c>
      <c r="C514" s="134">
        <f>_xlfn.IFERROR(VLOOKUP(A514,'งบทดลอง รพ.'!$A$2:$C$602,3,0),0)</f>
        <v>0</v>
      </c>
      <c r="E514" s="85" t="s">
        <v>1398</v>
      </c>
      <c r="F514" s="85" t="s">
        <v>734</v>
      </c>
      <c r="G514" s="81" t="s">
        <v>1407</v>
      </c>
      <c r="H514" s="81"/>
    </row>
    <row r="515" spans="1:8" ht="27.75">
      <c r="A515" s="142" t="s">
        <v>544</v>
      </c>
      <c r="B515" s="142" t="s">
        <v>545</v>
      </c>
      <c r="C515" s="134">
        <f>_xlfn.IFERROR(VLOOKUP(A515,'งบทดลอง รพ.'!$A$2:$C$602,3,0),0)</f>
        <v>0</v>
      </c>
      <c r="E515" s="85" t="s">
        <v>1398</v>
      </c>
      <c r="F515" s="85" t="s">
        <v>734</v>
      </c>
      <c r="G515" s="81" t="s">
        <v>1409</v>
      </c>
      <c r="H515" s="81"/>
    </row>
    <row r="516" spans="1:8" ht="27.75">
      <c r="A516" s="139" t="s">
        <v>1227</v>
      </c>
      <c r="B516" s="139" t="s">
        <v>1228</v>
      </c>
      <c r="C516" s="134">
        <f>_xlfn.IFERROR(VLOOKUP(A516,'งบทดลอง รพ.'!$A$2:$C$602,3,0),0)</f>
        <v>0</v>
      </c>
      <c r="E516" s="85" t="s">
        <v>1398</v>
      </c>
      <c r="F516" s="85" t="s">
        <v>734</v>
      </c>
      <c r="G516" s="81" t="s">
        <v>1407</v>
      </c>
      <c r="H516" s="81"/>
    </row>
    <row r="517" spans="1:8" ht="27.75">
      <c r="A517" s="139" t="s">
        <v>1229</v>
      </c>
      <c r="B517" s="139" t="s">
        <v>1230</v>
      </c>
      <c r="C517" s="134">
        <f>_xlfn.IFERROR(VLOOKUP(A517,'งบทดลอง รพ.'!$A$2:$C$602,3,0),0)</f>
        <v>0</v>
      </c>
      <c r="E517" s="85" t="s">
        <v>1398</v>
      </c>
      <c r="F517" s="85" t="s">
        <v>734</v>
      </c>
      <c r="G517" s="81" t="s">
        <v>1407</v>
      </c>
      <c r="H517" s="81"/>
    </row>
    <row r="518" spans="1:8" ht="27.75">
      <c r="A518" s="139" t="s">
        <v>1231</v>
      </c>
      <c r="B518" s="139" t="s">
        <v>1232</v>
      </c>
      <c r="C518" s="134">
        <f>_xlfn.IFERROR(VLOOKUP(A518,'งบทดลอง รพ.'!$A$2:$C$602,3,0),0)</f>
        <v>0</v>
      </c>
      <c r="E518" s="85" t="s">
        <v>1398</v>
      </c>
      <c r="F518" s="85" t="s">
        <v>734</v>
      </c>
      <c r="G518" s="81" t="s">
        <v>1407</v>
      </c>
      <c r="H518" s="81"/>
    </row>
    <row r="519" spans="1:8" ht="27.75">
      <c r="A519" s="139" t="s">
        <v>1233</v>
      </c>
      <c r="B519" s="139" t="s">
        <v>1234</v>
      </c>
      <c r="C519" s="134">
        <f>_xlfn.IFERROR(VLOOKUP(A519,'งบทดลอง รพ.'!$A$2:$C$602,3,0),0)</f>
        <v>0</v>
      </c>
      <c r="E519" s="85" t="s">
        <v>1398</v>
      </c>
      <c r="F519" s="85" t="s">
        <v>734</v>
      </c>
      <c r="G519" s="81" t="s">
        <v>1407</v>
      </c>
      <c r="H519" s="81"/>
    </row>
    <row r="520" spans="1:8" ht="27.75">
      <c r="A520" s="139" t="s">
        <v>1235</v>
      </c>
      <c r="B520" s="139" t="s">
        <v>1236</v>
      </c>
      <c r="C520" s="134">
        <f>_xlfn.IFERROR(VLOOKUP(A520,'งบทดลอง รพ.'!$A$2:$C$602,3,0),0)</f>
        <v>0</v>
      </c>
      <c r="E520" s="85" t="s">
        <v>1398</v>
      </c>
      <c r="F520" s="85" t="s">
        <v>734</v>
      </c>
      <c r="G520" s="81" t="s">
        <v>1407</v>
      </c>
      <c r="H520" s="81"/>
    </row>
    <row r="521" spans="1:8" ht="27.75">
      <c r="A521" s="139" t="s">
        <v>1237</v>
      </c>
      <c r="B521" s="139" t="s">
        <v>1238</v>
      </c>
      <c r="C521" s="134">
        <f>_xlfn.IFERROR(VLOOKUP(A521,'งบทดลอง รพ.'!$A$2:$C$602,3,0),0)</f>
        <v>0</v>
      </c>
      <c r="E521" s="85" t="s">
        <v>1398</v>
      </c>
      <c r="F521" s="85" t="s">
        <v>734</v>
      </c>
      <c r="G521" s="81" t="s">
        <v>1407</v>
      </c>
      <c r="H521" s="81"/>
    </row>
    <row r="522" spans="1:8" ht="27.75">
      <c r="A522" s="139" t="s">
        <v>1239</v>
      </c>
      <c r="B522" s="139" t="s">
        <v>1240</v>
      </c>
      <c r="C522" s="134">
        <f>_xlfn.IFERROR(VLOOKUP(A522,'งบทดลอง รพ.'!$A$2:$C$602,3,0),0)</f>
        <v>0</v>
      </c>
      <c r="E522" s="85" t="s">
        <v>1398</v>
      </c>
      <c r="F522" s="85" t="s">
        <v>734</v>
      </c>
      <c r="G522" s="81" t="s">
        <v>1407</v>
      </c>
      <c r="H522" s="81"/>
    </row>
    <row r="523" spans="1:8" ht="27.75">
      <c r="A523" s="139" t="s">
        <v>1241</v>
      </c>
      <c r="B523" s="139" t="s">
        <v>1242</v>
      </c>
      <c r="C523" s="134">
        <f>_xlfn.IFERROR(VLOOKUP(A523,'งบทดลอง รพ.'!$A$2:$C$602,3,0),0)</f>
        <v>0</v>
      </c>
      <c r="E523" s="85" t="s">
        <v>1398</v>
      </c>
      <c r="F523" s="85" t="s">
        <v>734</v>
      </c>
      <c r="G523" s="81" t="s">
        <v>1407</v>
      </c>
      <c r="H523" s="81"/>
    </row>
    <row r="524" spans="1:8" ht="27.75">
      <c r="A524" s="142" t="s">
        <v>546</v>
      </c>
      <c r="B524" s="142" t="s">
        <v>1526</v>
      </c>
      <c r="C524" s="134">
        <f>_xlfn.IFERROR(VLOOKUP(A524,'งบทดลอง รพ.'!$A$2:$C$602,3,0),0)</f>
        <v>1711930.5840000003</v>
      </c>
      <c r="E524" s="85" t="s">
        <v>1398</v>
      </c>
      <c r="F524" s="85" t="s">
        <v>734</v>
      </c>
      <c r="G524" s="81" t="s">
        <v>1409</v>
      </c>
      <c r="H524" s="81"/>
    </row>
    <row r="525" spans="1:8" ht="27.75">
      <c r="A525" s="142" t="s">
        <v>547</v>
      </c>
      <c r="B525" s="142" t="s">
        <v>1527</v>
      </c>
      <c r="C525" s="134">
        <f>_xlfn.IFERROR(VLOOKUP(A525,'งบทดลอง รพ.'!$A$2:$C$602,3,0),0)</f>
        <v>1063503.8399999999</v>
      </c>
      <c r="E525" s="85" t="s">
        <v>1398</v>
      </c>
      <c r="F525" s="85" t="s">
        <v>734</v>
      </c>
      <c r="G525" s="81" t="s">
        <v>1409</v>
      </c>
      <c r="H525" s="81"/>
    </row>
    <row r="526" spans="1:8" ht="27.75">
      <c r="A526" s="142" t="s">
        <v>982</v>
      </c>
      <c r="B526" s="142" t="s">
        <v>983</v>
      </c>
      <c r="C526" s="134">
        <f>_xlfn.IFERROR(VLOOKUP(A526,'งบทดลอง รพ.'!$A$2:$C$602,3,0),0)</f>
        <v>0</v>
      </c>
      <c r="E526" s="85" t="s">
        <v>1398</v>
      </c>
      <c r="F526" s="85" t="s">
        <v>734</v>
      </c>
      <c r="G526" s="81" t="s">
        <v>1409</v>
      </c>
      <c r="H526" s="81"/>
    </row>
    <row r="527" spans="1:8" ht="27.75">
      <c r="A527" s="139" t="s">
        <v>1243</v>
      </c>
      <c r="B527" s="139" t="s">
        <v>1244</v>
      </c>
      <c r="C527" s="134">
        <f>_xlfn.IFERROR(VLOOKUP(A527,'งบทดลอง รพ.'!$A$2:$C$602,3,0),0)</f>
        <v>0</v>
      </c>
      <c r="E527" s="85" t="s">
        <v>1398</v>
      </c>
      <c r="F527" s="85" t="s">
        <v>734</v>
      </c>
      <c r="G527" s="81" t="s">
        <v>1407</v>
      </c>
      <c r="H527" s="81"/>
    </row>
    <row r="528" spans="1:8" ht="27.75">
      <c r="A528" s="139" t="s">
        <v>1245</v>
      </c>
      <c r="B528" s="139" t="s">
        <v>1246</v>
      </c>
      <c r="C528" s="134">
        <f>_xlfn.IFERROR(VLOOKUP(A528,'งบทดลอง รพ.'!$A$2:$C$602,3,0),0)</f>
        <v>0</v>
      </c>
      <c r="E528" s="85" t="s">
        <v>1398</v>
      </c>
      <c r="F528" s="85" t="s">
        <v>734</v>
      </c>
      <c r="G528" s="81" t="s">
        <v>1407</v>
      </c>
      <c r="H528" s="81"/>
    </row>
    <row r="529" spans="1:8" ht="27.75">
      <c r="A529" s="139" t="s">
        <v>1247</v>
      </c>
      <c r="B529" s="139" t="s">
        <v>1248</v>
      </c>
      <c r="C529" s="134">
        <f>_xlfn.IFERROR(VLOOKUP(A529,'งบทดลอง รพ.'!$A$2:$C$602,3,0),0)</f>
        <v>0</v>
      </c>
      <c r="E529" s="85" t="s">
        <v>1398</v>
      </c>
      <c r="F529" s="85" t="s">
        <v>734</v>
      </c>
      <c r="G529" s="81" t="s">
        <v>1407</v>
      </c>
      <c r="H529" s="81"/>
    </row>
    <row r="530" spans="1:8" ht="27.75">
      <c r="A530" s="142" t="s">
        <v>548</v>
      </c>
      <c r="B530" s="142" t="s">
        <v>1528</v>
      </c>
      <c r="C530" s="134">
        <f>_xlfn.IFERROR(VLOOKUP(A530,'งบทดลอง รพ.'!$A$2:$C$602,3,0),0)</f>
        <v>6874.836</v>
      </c>
      <c r="E530" s="85" t="s">
        <v>1398</v>
      </c>
      <c r="F530" s="85" t="s">
        <v>734</v>
      </c>
      <c r="G530" s="81" t="s">
        <v>1409</v>
      </c>
      <c r="H530" s="81"/>
    </row>
    <row r="531" spans="1:8" ht="27.75">
      <c r="A531" s="142" t="s">
        <v>549</v>
      </c>
      <c r="B531" s="142" t="s">
        <v>1529</v>
      </c>
      <c r="C531" s="134">
        <f>_xlfn.IFERROR(VLOOKUP(A531,'งบทดลอง รพ.'!$A$2:$C$602,3,0),0)</f>
        <v>60483.564000000006</v>
      </c>
      <c r="E531" s="85" t="s">
        <v>1398</v>
      </c>
      <c r="F531" s="85" t="s">
        <v>734</v>
      </c>
      <c r="G531" s="81" t="s">
        <v>1409</v>
      </c>
      <c r="H531" s="81"/>
    </row>
    <row r="532" spans="1:8" ht="27.75">
      <c r="A532" s="142" t="s">
        <v>550</v>
      </c>
      <c r="B532" s="142" t="s">
        <v>1530</v>
      </c>
      <c r="C532" s="134">
        <f>_xlfn.IFERROR(VLOOKUP(A532,'งบทดลอง รพ.'!$A$2:$C$602,3,0),0)</f>
        <v>18033.96</v>
      </c>
      <c r="E532" s="85" t="s">
        <v>1398</v>
      </c>
      <c r="F532" s="85" t="s">
        <v>734</v>
      </c>
      <c r="G532" s="81" t="s">
        <v>1409</v>
      </c>
      <c r="H532" s="81"/>
    </row>
    <row r="533" spans="1:8" ht="27.75">
      <c r="A533" s="142" t="s">
        <v>551</v>
      </c>
      <c r="B533" s="142" t="s">
        <v>1531</v>
      </c>
      <c r="C533" s="134">
        <f>_xlfn.IFERROR(VLOOKUP(A533,'งบทดลอง รพ.'!$A$2:$C$602,3,0),0)</f>
        <v>58897.44</v>
      </c>
      <c r="E533" s="85" t="s">
        <v>1398</v>
      </c>
      <c r="F533" s="85" t="s">
        <v>734</v>
      </c>
      <c r="G533" s="81" t="s">
        <v>1409</v>
      </c>
      <c r="H533" s="81"/>
    </row>
    <row r="534" spans="1:8" ht="27.75">
      <c r="A534" s="142" t="s">
        <v>552</v>
      </c>
      <c r="B534" s="142" t="s">
        <v>1532</v>
      </c>
      <c r="C534" s="134">
        <f>_xlfn.IFERROR(VLOOKUP(A534,'งบทดลอง รพ.'!$A$2:$C$602,3,0),0)</f>
        <v>223024.08000000002</v>
      </c>
      <c r="E534" s="85" t="s">
        <v>1398</v>
      </c>
      <c r="F534" s="85" t="s">
        <v>734</v>
      </c>
      <c r="G534" s="81" t="s">
        <v>1409</v>
      </c>
      <c r="H534" s="81"/>
    </row>
    <row r="535" spans="1:8" ht="27.75">
      <c r="A535" s="142" t="s">
        <v>553</v>
      </c>
      <c r="B535" s="142" t="s">
        <v>1533</v>
      </c>
      <c r="C535" s="134">
        <f>_xlfn.IFERROR(VLOOKUP(A535,'งบทดลอง รพ.'!$A$2:$C$602,3,0),0)</f>
        <v>176275.668</v>
      </c>
      <c r="E535" s="85" t="s">
        <v>1398</v>
      </c>
      <c r="F535" s="85" t="s">
        <v>734</v>
      </c>
      <c r="G535" s="81" t="s">
        <v>1409</v>
      </c>
      <c r="H535" s="81"/>
    </row>
    <row r="536" spans="1:8" ht="27.75">
      <c r="A536" s="139" t="s">
        <v>1249</v>
      </c>
      <c r="B536" s="139" t="s">
        <v>1250</v>
      </c>
      <c r="C536" s="134">
        <f>_xlfn.IFERROR(VLOOKUP(A536,'งบทดลอง รพ.'!$A$2:$C$602,3,0),0)</f>
        <v>0</v>
      </c>
      <c r="E536" s="85" t="s">
        <v>1398</v>
      </c>
      <c r="F536" s="85" t="s">
        <v>734</v>
      </c>
      <c r="G536" s="81" t="s">
        <v>1407</v>
      </c>
      <c r="H536" s="81"/>
    </row>
    <row r="537" spans="1:8" ht="27.75">
      <c r="A537" s="139" t="s">
        <v>1251</v>
      </c>
      <c r="B537" s="139" t="s">
        <v>1252</v>
      </c>
      <c r="C537" s="134">
        <f>_xlfn.IFERROR(VLOOKUP(A537,'งบทดลอง รพ.'!$A$2:$C$602,3,0),0)</f>
        <v>0</v>
      </c>
      <c r="E537" s="85" t="s">
        <v>1398</v>
      </c>
      <c r="F537" s="85" t="s">
        <v>734</v>
      </c>
      <c r="G537" s="81" t="s">
        <v>1407</v>
      </c>
      <c r="H537" s="81"/>
    </row>
    <row r="538" spans="1:8" ht="27.75">
      <c r="A538" s="139" t="s">
        <v>1253</v>
      </c>
      <c r="B538" s="139" t="s">
        <v>1254</v>
      </c>
      <c r="C538" s="134">
        <f>_xlfn.IFERROR(VLOOKUP(A538,'งบทดลอง รพ.'!$A$2:$C$602,3,0),0)</f>
        <v>0</v>
      </c>
      <c r="E538" s="85" t="s">
        <v>1398</v>
      </c>
      <c r="F538" s="85" t="s">
        <v>734</v>
      </c>
      <c r="G538" s="81" t="s">
        <v>1407</v>
      </c>
      <c r="H538" s="81"/>
    </row>
    <row r="539" spans="1:8" ht="27.75">
      <c r="A539" s="139" t="s">
        <v>1255</v>
      </c>
      <c r="B539" s="139" t="s">
        <v>1256</v>
      </c>
      <c r="C539" s="134">
        <f>_xlfn.IFERROR(VLOOKUP(A539,'งบทดลอง รพ.'!$A$2:$C$602,3,0),0)</f>
        <v>0</v>
      </c>
      <c r="E539" s="85" t="s">
        <v>1398</v>
      </c>
      <c r="F539" s="85" t="s">
        <v>734</v>
      </c>
      <c r="G539" s="81" t="s">
        <v>1407</v>
      </c>
      <c r="H539" s="81"/>
    </row>
    <row r="540" spans="1:8" ht="27.75">
      <c r="A540" s="139" t="s">
        <v>1257</v>
      </c>
      <c r="B540" s="139" t="s">
        <v>1258</v>
      </c>
      <c r="C540" s="134">
        <f>_xlfn.IFERROR(VLOOKUP(A540,'งบทดลอง รพ.'!$A$2:$C$602,3,0),0)</f>
        <v>0</v>
      </c>
      <c r="E540" s="85" t="s">
        <v>1398</v>
      </c>
      <c r="F540" s="85" t="s">
        <v>734</v>
      </c>
      <c r="G540" s="81" t="s">
        <v>1407</v>
      </c>
      <c r="H540" s="81"/>
    </row>
    <row r="541" spans="1:8" ht="27.75">
      <c r="A541" s="139" t="s">
        <v>1259</v>
      </c>
      <c r="B541" s="139" t="s">
        <v>1260</v>
      </c>
      <c r="C541" s="134">
        <f>_xlfn.IFERROR(VLOOKUP(A541,'งบทดลอง รพ.'!$A$2:$C$602,3,0),0)</f>
        <v>0</v>
      </c>
      <c r="E541" s="85" t="s">
        <v>1398</v>
      </c>
      <c r="F541" s="85" t="s">
        <v>734</v>
      </c>
      <c r="G541" s="81" t="s">
        <v>1407</v>
      </c>
      <c r="H541" s="81"/>
    </row>
    <row r="542" spans="1:8" ht="27.75">
      <c r="A542" s="139" t="s">
        <v>1261</v>
      </c>
      <c r="B542" s="139" t="s">
        <v>1262</v>
      </c>
      <c r="C542" s="134">
        <f>_xlfn.IFERROR(VLOOKUP(A542,'งบทดลอง รพ.'!$A$2:$C$602,3,0),0)</f>
        <v>0</v>
      </c>
      <c r="E542" s="85" t="s">
        <v>1398</v>
      </c>
      <c r="F542" s="85" t="s">
        <v>734</v>
      </c>
      <c r="G542" s="81" t="s">
        <v>1407</v>
      </c>
      <c r="H542" s="81"/>
    </row>
    <row r="543" spans="1:8" ht="27.75">
      <c r="A543" s="139" t="s">
        <v>1263</v>
      </c>
      <c r="B543" s="139" t="s">
        <v>1264</v>
      </c>
      <c r="C543" s="134">
        <f>_xlfn.IFERROR(VLOOKUP(A543,'งบทดลอง รพ.'!$A$2:$C$602,3,0),0)</f>
        <v>0</v>
      </c>
      <c r="E543" s="85" t="s">
        <v>1398</v>
      </c>
      <c r="F543" s="85" t="s">
        <v>734</v>
      </c>
      <c r="G543" s="81" t="s">
        <v>1407</v>
      </c>
      <c r="H543" s="81"/>
    </row>
    <row r="544" spans="1:8" ht="27.75">
      <c r="A544" s="139" t="s">
        <v>1265</v>
      </c>
      <c r="B544" s="139" t="s">
        <v>1266</v>
      </c>
      <c r="C544" s="134">
        <f>_xlfn.IFERROR(VLOOKUP(A544,'งบทดลอง รพ.'!$A$2:$C$602,3,0),0)</f>
        <v>0</v>
      </c>
      <c r="E544" s="85" t="s">
        <v>1398</v>
      </c>
      <c r="F544" s="85" t="s">
        <v>734</v>
      </c>
      <c r="G544" s="81" t="s">
        <v>1407</v>
      </c>
      <c r="H544" s="81"/>
    </row>
    <row r="545" spans="1:8" ht="27.75">
      <c r="A545" s="139" t="s">
        <v>1267</v>
      </c>
      <c r="B545" s="139" t="s">
        <v>1268</v>
      </c>
      <c r="C545" s="134">
        <f>_xlfn.IFERROR(VLOOKUP(A545,'งบทดลอง รพ.'!$A$2:$C$602,3,0),0)</f>
        <v>0</v>
      </c>
      <c r="E545" s="85" t="s">
        <v>1398</v>
      </c>
      <c r="F545" s="85" t="s">
        <v>734</v>
      </c>
      <c r="G545" s="81" t="s">
        <v>1407</v>
      </c>
      <c r="H545" s="81"/>
    </row>
    <row r="546" spans="1:8" ht="27.75">
      <c r="A546" s="139" t="s">
        <v>1269</v>
      </c>
      <c r="B546" s="139" t="s">
        <v>1270</v>
      </c>
      <c r="C546" s="134">
        <f>_xlfn.IFERROR(VLOOKUP(A546,'งบทดลอง รพ.'!$A$2:$C$602,3,0),0)</f>
        <v>0</v>
      </c>
      <c r="E546" s="85" t="s">
        <v>1398</v>
      </c>
      <c r="F546" s="85" t="s">
        <v>734</v>
      </c>
      <c r="G546" s="81" t="s">
        <v>1407</v>
      </c>
      <c r="H546" s="81"/>
    </row>
    <row r="547" spans="1:8" ht="27.75">
      <c r="A547" s="142" t="s">
        <v>554</v>
      </c>
      <c r="B547" s="142" t="s">
        <v>555</v>
      </c>
      <c r="C547" s="134">
        <f>_xlfn.IFERROR(VLOOKUP(A547,'งบทดลอง รพ.'!$A$2:$C$602,3,0),0)</f>
        <v>0</v>
      </c>
      <c r="E547" s="85" t="s">
        <v>1396</v>
      </c>
      <c r="F547" s="85" t="s">
        <v>41</v>
      </c>
      <c r="G547" s="81" t="s">
        <v>1409</v>
      </c>
      <c r="H547" s="81"/>
    </row>
    <row r="548" spans="1:8" ht="27.75">
      <c r="A548" s="142" t="s">
        <v>556</v>
      </c>
      <c r="B548" s="142" t="s">
        <v>557</v>
      </c>
      <c r="C548" s="134">
        <f>_xlfn.IFERROR(VLOOKUP(A548,'งบทดลอง รพ.'!$A$2:$C$602,3,0),0)</f>
        <v>0</v>
      </c>
      <c r="E548" s="85" t="s">
        <v>1396</v>
      </c>
      <c r="F548" s="85" t="s">
        <v>41</v>
      </c>
      <c r="G548" s="81" t="s">
        <v>1409</v>
      </c>
      <c r="H548" s="81"/>
    </row>
    <row r="549" spans="1:8" ht="27.75">
      <c r="A549" s="142" t="s">
        <v>558</v>
      </c>
      <c r="B549" s="142" t="s">
        <v>559</v>
      </c>
      <c r="C549" s="134">
        <f>_xlfn.IFERROR(VLOOKUP(A549,'งบทดลอง รพ.'!$A$2:$C$602,3,0),0)</f>
        <v>0</v>
      </c>
      <c r="E549" s="85" t="s">
        <v>1396</v>
      </c>
      <c r="F549" s="85" t="s">
        <v>41</v>
      </c>
      <c r="G549" s="81" t="s">
        <v>1409</v>
      </c>
      <c r="H549" s="81"/>
    </row>
    <row r="550" spans="1:8" ht="27.75">
      <c r="A550" s="142" t="s">
        <v>560</v>
      </c>
      <c r="B550" s="142" t="s">
        <v>561</v>
      </c>
      <c r="C550" s="134">
        <f>_xlfn.IFERROR(VLOOKUP(A550,'งบทดลอง รพ.'!$A$2:$C$602,3,0),0)</f>
        <v>0</v>
      </c>
      <c r="E550" s="85" t="s">
        <v>1396</v>
      </c>
      <c r="F550" s="85" t="s">
        <v>41</v>
      </c>
      <c r="G550" s="81" t="s">
        <v>1409</v>
      </c>
      <c r="H550" s="81"/>
    </row>
    <row r="551" spans="1:8" ht="27.75">
      <c r="A551" s="142" t="s">
        <v>562</v>
      </c>
      <c r="B551" s="142" t="s">
        <v>563</v>
      </c>
      <c r="C551" s="134">
        <f>_xlfn.IFERROR(VLOOKUP(A551,'งบทดลอง รพ.'!$A$2:$C$602,3,0),0)</f>
        <v>0</v>
      </c>
      <c r="E551" s="85" t="s">
        <v>1396</v>
      </c>
      <c r="F551" s="85" t="s">
        <v>41</v>
      </c>
      <c r="G551" s="81" t="s">
        <v>1409</v>
      </c>
      <c r="H551" s="81"/>
    </row>
    <row r="552" spans="1:8" ht="27.75">
      <c r="A552" s="142" t="s">
        <v>564</v>
      </c>
      <c r="B552" s="142" t="s">
        <v>565</v>
      </c>
      <c r="C552" s="134">
        <f>_xlfn.IFERROR(VLOOKUP(A552,'งบทดลอง รพ.'!$A$2:$C$602,3,0),0)</f>
        <v>0</v>
      </c>
      <c r="E552" s="85" t="s">
        <v>1396</v>
      </c>
      <c r="F552" s="85" t="s">
        <v>41</v>
      </c>
      <c r="G552" s="81" t="s">
        <v>1409</v>
      </c>
      <c r="H552" s="81"/>
    </row>
    <row r="553" spans="1:8" ht="27.75">
      <c r="A553" s="142" t="s">
        <v>566</v>
      </c>
      <c r="B553" s="142" t="s">
        <v>567</v>
      </c>
      <c r="C553" s="134">
        <f>_xlfn.IFERROR(VLOOKUP(A553,'งบทดลอง รพ.'!$A$2:$C$602,3,0),0)</f>
        <v>0</v>
      </c>
      <c r="E553" s="85" t="s">
        <v>1396</v>
      </c>
      <c r="F553" s="85" t="s">
        <v>41</v>
      </c>
      <c r="G553" s="81" t="s">
        <v>1409</v>
      </c>
      <c r="H553" s="81"/>
    </row>
    <row r="554" spans="1:8" ht="27.75">
      <c r="A554" s="142" t="s">
        <v>568</v>
      </c>
      <c r="B554" s="142" t="s">
        <v>569</v>
      </c>
      <c r="C554" s="134">
        <f>_xlfn.IFERROR(VLOOKUP(A554,'งบทดลอง รพ.'!$A$2:$C$602,3,0),0)</f>
        <v>0</v>
      </c>
      <c r="E554" s="85" t="s">
        <v>1396</v>
      </c>
      <c r="F554" s="85" t="s">
        <v>41</v>
      </c>
      <c r="G554" s="81" t="s">
        <v>1409</v>
      </c>
      <c r="H554" s="81"/>
    </row>
    <row r="555" spans="1:8" ht="27.75">
      <c r="A555" s="142" t="s">
        <v>570</v>
      </c>
      <c r="B555" s="142" t="s">
        <v>571</v>
      </c>
      <c r="C555" s="134">
        <f>_xlfn.IFERROR(VLOOKUP(A555,'งบทดลอง รพ.'!$A$2:$C$602,3,0),0)</f>
        <v>0</v>
      </c>
      <c r="E555" s="85" t="s">
        <v>1396</v>
      </c>
      <c r="F555" s="85" t="s">
        <v>41</v>
      </c>
      <c r="G555" s="81" t="s">
        <v>1409</v>
      </c>
      <c r="H555" s="81"/>
    </row>
    <row r="556" spans="1:8" ht="27.75">
      <c r="A556" s="142" t="s">
        <v>572</v>
      </c>
      <c r="B556" s="142" t="s">
        <v>573</v>
      </c>
      <c r="C556" s="134">
        <f>_xlfn.IFERROR(VLOOKUP(A556,'งบทดลอง รพ.'!$A$2:$C$602,3,0),0)</f>
        <v>0</v>
      </c>
      <c r="E556" s="85" t="s">
        <v>1396</v>
      </c>
      <c r="F556" s="85" t="s">
        <v>41</v>
      </c>
      <c r="G556" s="81" t="s">
        <v>1409</v>
      </c>
      <c r="H556" s="81"/>
    </row>
    <row r="557" spans="1:8" ht="27.75">
      <c r="A557" s="142" t="s">
        <v>574</v>
      </c>
      <c r="B557" s="142" t="s">
        <v>575</v>
      </c>
      <c r="C557" s="134">
        <f>_xlfn.IFERROR(VLOOKUP(A557,'งบทดลอง รพ.'!$A$2:$C$602,3,0),0)</f>
        <v>0</v>
      </c>
      <c r="E557" s="85" t="s">
        <v>1396</v>
      </c>
      <c r="F557" s="85" t="s">
        <v>41</v>
      </c>
      <c r="G557" s="81" t="s">
        <v>1409</v>
      </c>
      <c r="H557" s="81"/>
    </row>
    <row r="558" spans="1:8" ht="27.75">
      <c r="A558" s="142" t="s">
        <v>576</v>
      </c>
      <c r="B558" s="142" t="s">
        <v>577</v>
      </c>
      <c r="C558" s="134">
        <f>_xlfn.IFERROR(VLOOKUP(A558,'งบทดลอง รพ.'!$A$2:$C$602,3,0),0)</f>
        <v>0</v>
      </c>
      <c r="E558" s="85" t="s">
        <v>1396</v>
      </c>
      <c r="F558" s="85" t="s">
        <v>41</v>
      </c>
      <c r="G558" s="81" t="s">
        <v>1409</v>
      </c>
      <c r="H558" s="81"/>
    </row>
    <row r="559" spans="1:8" ht="27.75">
      <c r="A559" s="142" t="s">
        <v>578</v>
      </c>
      <c r="B559" s="142" t="s">
        <v>579</v>
      </c>
      <c r="C559" s="134">
        <f>_xlfn.IFERROR(VLOOKUP(A559,'งบทดลอง รพ.'!$A$2:$C$602,3,0),0)</f>
        <v>0</v>
      </c>
      <c r="E559" s="85" t="s">
        <v>1396</v>
      </c>
      <c r="F559" s="85" t="s">
        <v>41</v>
      </c>
      <c r="G559" s="81" t="s">
        <v>1409</v>
      </c>
      <c r="H559" s="81"/>
    </row>
    <row r="560" spans="1:8" ht="27.75">
      <c r="A560" s="142" t="s">
        <v>580</v>
      </c>
      <c r="B560" s="142" t="s">
        <v>581</v>
      </c>
      <c r="C560" s="134">
        <f>_xlfn.IFERROR(VLOOKUP(A560,'งบทดลอง รพ.'!$A$2:$C$602,3,0),0)</f>
        <v>0</v>
      </c>
      <c r="E560" s="85" t="s">
        <v>1396</v>
      </c>
      <c r="F560" s="85" t="s">
        <v>41</v>
      </c>
      <c r="G560" s="81" t="s">
        <v>1409</v>
      </c>
      <c r="H560" s="81"/>
    </row>
    <row r="561" spans="1:8" ht="27.75">
      <c r="A561" s="142" t="s">
        <v>582</v>
      </c>
      <c r="B561" s="142" t="s">
        <v>583</v>
      </c>
      <c r="C561" s="134">
        <f>_xlfn.IFERROR(VLOOKUP(A561,'งบทดลอง รพ.'!$A$2:$C$602,3,0),0)</f>
        <v>0</v>
      </c>
      <c r="E561" s="85" t="s">
        <v>1396</v>
      </c>
      <c r="F561" s="85" t="s">
        <v>41</v>
      </c>
      <c r="G561" s="81" t="s">
        <v>1409</v>
      </c>
      <c r="H561" s="81"/>
    </row>
    <row r="562" spans="1:8" ht="27.75">
      <c r="A562" s="139" t="s">
        <v>1271</v>
      </c>
      <c r="B562" s="139" t="s">
        <v>1272</v>
      </c>
      <c r="C562" s="134">
        <f>_xlfn.IFERROR(VLOOKUP(A562,'งบทดลอง รพ.'!$A$2:$C$602,3,0),0)</f>
        <v>0</v>
      </c>
      <c r="E562" s="85" t="s">
        <v>1396</v>
      </c>
      <c r="F562" s="85" t="s">
        <v>41</v>
      </c>
      <c r="G562" s="81" t="s">
        <v>1407</v>
      </c>
      <c r="H562" s="81"/>
    </row>
    <row r="563" spans="1:8" ht="27.75">
      <c r="A563" s="139" t="s">
        <v>1273</v>
      </c>
      <c r="B563" s="139" t="s">
        <v>1274</v>
      </c>
      <c r="C563" s="134">
        <f>_xlfn.IFERROR(VLOOKUP(A563,'งบทดลอง รพ.'!$A$2:$C$602,3,0),0)</f>
        <v>0</v>
      </c>
      <c r="E563" s="85" t="s">
        <v>1396</v>
      </c>
      <c r="F563" s="85" t="s">
        <v>41</v>
      </c>
      <c r="G563" s="81" t="s">
        <v>1407</v>
      </c>
      <c r="H563" s="81"/>
    </row>
    <row r="564" spans="1:8" ht="27.75">
      <c r="A564" s="139" t="s">
        <v>1275</v>
      </c>
      <c r="B564" s="139" t="s">
        <v>1276</v>
      </c>
      <c r="C564" s="134">
        <f>_xlfn.IFERROR(VLOOKUP(A564,'งบทดลอง รพ.'!$A$2:$C$602,3,0),0)</f>
        <v>0</v>
      </c>
      <c r="E564" s="85" t="s">
        <v>1396</v>
      </c>
      <c r="F564" s="85" t="s">
        <v>41</v>
      </c>
      <c r="G564" s="81" t="s">
        <v>1407</v>
      </c>
      <c r="H564" s="81"/>
    </row>
    <row r="565" spans="1:8" ht="27.75">
      <c r="A565" s="142" t="s">
        <v>584</v>
      </c>
      <c r="B565" s="142" t="s">
        <v>585</v>
      </c>
      <c r="C565" s="134">
        <f>_xlfn.IFERROR(VLOOKUP(A565,'งบทดลอง รพ.'!$A$2:$C$602,3,0),0)</f>
        <v>0</v>
      </c>
      <c r="E565" s="85" t="s">
        <v>1396</v>
      </c>
      <c r="F565" s="85" t="s">
        <v>41</v>
      </c>
      <c r="G565" s="81" t="s">
        <v>1409</v>
      </c>
      <c r="H565" s="81"/>
    </row>
    <row r="566" spans="1:8" ht="27.75">
      <c r="A566" s="142" t="s">
        <v>586</v>
      </c>
      <c r="B566" s="142" t="s">
        <v>587</v>
      </c>
      <c r="C566" s="134">
        <f>_xlfn.IFERROR(VLOOKUP(A566,'งบทดลอง รพ.'!$A$2:$C$602,3,0),0)</f>
        <v>0</v>
      </c>
      <c r="E566" s="85" t="s">
        <v>1396</v>
      </c>
      <c r="F566" s="85" t="s">
        <v>41</v>
      </c>
      <c r="G566" s="81" t="s">
        <v>1409</v>
      </c>
      <c r="H566" s="81"/>
    </row>
    <row r="567" spans="1:8" ht="27.75">
      <c r="A567" s="139" t="s">
        <v>1277</v>
      </c>
      <c r="B567" s="139" t="s">
        <v>1278</v>
      </c>
      <c r="C567" s="134">
        <f>_xlfn.IFERROR(VLOOKUP(A567,'งบทดลอง รพ.'!$A$2:$C$602,3,0),0)</f>
        <v>0</v>
      </c>
      <c r="E567" s="85" t="s">
        <v>1396</v>
      </c>
      <c r="F567" s="85" t="s">
        <v>41</v>
      </c>
      <c r="G567" s="81" t="s">
        <v>1407</v>
      </c>
      <c r="H567" s="81"/>
    </row>
    <row r="568" spans="1:8" ht="27.75">
      <c r="A568" s="142" t="s">
        <v>588</v>
      </c>
      <c r="B568" s="142" t="s">
        <v>589</v>
      </c>
      <c r="C568" s="134">
        <f>_xlfn.IFERROR(VLOOKUP(A568,'งบทดลอง รพ.'!$A$2:$C$602,3,0),0)</f>
        <v>0</v>
      </c>
      <c r="E568" s="85" t="s">
        <v>1396</v>
      </c>
      <c r="F568" s="85" t="s">
        <v>41</v>
      </c>
      <c r="G568" s="81" t="s">
        <v>1409</v>
      </c>
      <c r="H568" s="81"/>
    </row>
    <row r="569" spans="1:8" ht="27.75">
      <c r="A569" s="142" t="s">
        <v>590</v>
      </c>
      <c r="B569" s="142" t="s">
        <v>591</v>
      </c>
      <c r="C569" s="134">
        <f>_xlfn.IFERROR(VLOOKUP(A569,'งบทดลอง รพ.'!$A$2:$C$602,3,0),0)</f>
        <v>0</v>
      </c>
      <c r="E569" s="85" t="s">
        <v>1396</v>
      </c>
      <c r="F569" s="85" t="s">
        <v>41</v>
      </c>
      <c r="G569" s="81" t="s">
        <v>1409</v>
      </c>
      <c r="H569" s="81"/>
    </row>
    <row r="570" spans="1:8" ht="27.75">
      <c r="A570" s="142" t="s">
        <v>592</v>
      </c>
      <c r="B570" s="142" t="s">
        <v>593</v>
      </c>
      <c r="C570" s="134">
        <f>_xlfn.IFERROR(VLOOKUP(A570,'งบทดลอง รพ.'!$A$2:$C$602,3,0),0)</f>
        <v>0</v>
      </c>
      <c r="E570" s="85" t="s">
        <v>1396</v>
      </c>
      <c r="F570" s="85" t="s">
        <v>41</v>
      </c>
      <c r="G570" s="81" t="s">
        <v>1409</v>
      </c>
      <c r="H570" s="81"/>
    </row>
    <row r="571" spans="1:8" ht="27.75">
      <c r="A571" s="142" t="s">
        <v>984</v>
      </c>
      <c r="B571" s="142" t="s">
        <v>985</v>
      </c>
      <c r="C571" s="134">
        <f>_xlfn.IFERROR(VLOOKUP(A571,'งบทดลอง รพ.'!$A$2:$C$602,3,0),0)</f>
        <v>0</v>
      </c>
      <c r="E571" s="85" t="s">
        <v>1396</v>
      </c>
      <c r="F571" s="85" t="s">
        <v>41</v>
      </c>
      <c r="G571" s="81" t="s">
        <v>1409</v>
      </c>
      <c r="H571" s="81"/>
    </row>
    <row r="572" spans="1:8" ht="27.75">
      <c r="A572" s="142" t="s">
        <v>986</v>
      </c>
      <c r="B572" s="142" t="s">
        <v>987</v>
      </c>
      <c r="C572" s="134">
        <f>_xlfn.IFERROR(VLOOKUP(A572,'งบทดลอง รพ.'!$A$2:$C$602,3,0),0)</f>
        <v>0</v>
      </c>
      <c r="E572" s="85" t="s">
        <v>1396</v>
      </c>
      <c r="F572" s="85" t="s">
        <v>41</v>
      </c>
      <c r="G572" s="81" t="s">
        <v>1409</v>
      </c>
      <c r="H572" s="81"/>
    </row>
    <row r="573" spans="1:8" ht="27.75">
      <c r="A573" s="142" t="s">
        <v>988</v>
      </c>
      <c r="B573" s="142" t="s">
        <v>989</v>
      </c>
      <c r="C573" s="134">
        <f>_xlfn.IFERROR(VLOOKUP(A573,'งบทดลอง รพ.'!$A$2:$C$602,3,0),0)</f>
        <v>0</v>
      </c>
      <c r="E573" s="85" t="s">
        <v>1396</v>
      </c>
      <c r="F573" s="85" t="s">
        <v>41</v>
      </c>
      <c r="G573" s="81" t="s">
        <v>1409</v>
      </c>
      <c r="H573" s="81"/>
    </row>
    <row r="574" spans="1:8" ht="27.75">
      <c r="A574" s="142" t="s">
        <v>594</v>
      </c>
      <c r="B574" s="142" t="s">
        <v>1534</v>
      </c>
      <c r="C574" s="134">
        <f>_xlfn.IFERROR(VLOOKUP(A574,'งบทดลอง รพ.'!$A$2:$C$602,3,0),0)</f>
        <v>0</v>
      </c>
      <c r="E574" s="85" t="s">
        <v>1396</v>
      </c>
      <c r="F574" s="85" t="s">
        <v>41</v>
      </c>
      <c r="G574" s="81" t="s">
        <v>1409</v>
      </c>
      <c r="H574" s="81"/>
    </row>
    <row r="575" spans="1:8" ht="27.75">
      <c r="A575" s="142" t="s">
        <v>990</v>
      </c>
      <c r="B575" s="142" t="s">
        <v>991</v>
      </c>
      <c r="C575" s="134">
        <f>_xlfn.IFERROR(VLOOKUP(A575,'งบทดลอง รพ.'!$A$2:$C$602,3,0),0)</f>
        <v>0</v>
      </c>
      <c r="E575" s="85" t="s">
        <v>1396</v>
      </c>
      <c r="F575" s="85" t="s">
        <v>41</v>
      </c>
      <c r="G575" s="81" t="s">
        <v>1409</v>
      </c>
      <c r="H575" s="81"/>
    </row>
    <row r="576" spans="1:8" ht="27.75">
      <c r="A576" s="142" t="s">
        <v>992</v>
      </c>
      <c r="B576" s="142" t="s">
        <v>993</v>
      </c>
      <c r="C576" s="134">
        <f>_xlfn.IFERROR(VLOOKUP(A576,'งบทดลอง รพ.'!$A$2:$C$602,3,0),0)</f>
        <v>0</v>
      </c>
      <c r="E576" s="85" t="s">
        <v>1396</v>
      </c>
      <c r="F576" s="85" t="s">
        <v>41</v>
      </c>
      <c r="G576" s="81" t="s">
        <v>1409</v>
      </c>
      <c r="H576" s="81"/>
    </row>
    <row r="577" spans="1:8" ht="27.75">
      <c r="A577" s="142" t="s">
        <v>595</v>
      </c>
      <c r="B577" s="142" t="s">
        <v>1535</v>
      </c>
      <c r="C577" s="134">
        <f>_xlfn.IFERROR(VLOOKUP(A577,'งบทดลอง รพ.'!$A$2:$C$602,3,0),0)</f>
        <v>0</v>
      </c>
      <c r="E577" s="85" t="s">
        <v>1396</v>
      </c>
      <c r="F577" s="85" t="s">
        <v>41</v>
      </c>
      <c r="G577" s="81" t="s">
        <v>1409</v>
      </c>
      <c r="H577" s="81"/>
    </row>
    <row r="578" spans="1:8" ht="27.75">
      <c r="A578" s="139" t="s">
        <v>1279</v>
      </c>
      <c r="B578" s="139" t="s">
        <v>1280</v>
      </c>
      <c r="C578" s="134">
        <f>_xlfn.IFERROR(VLOOKUP(A578,'งบทดลอง รพ.'!$A$2:$C$602,3,0),0)</f>
        <v>0</v>
      </c>
      <c r="E578" s="85" t="s">
        <v>1396</v>
      </c>
      <c r="F578" s="85" t="s">
        <v>41</v>
      </c>
      <c r="G578" s="81" t="s">
        <v>1407</v>
      </c>
      <c r="H578" s="81"/>
    </row>
    <row r="579" spans="1:8" ht="27.75">
      <c r="A579" s="139" t="s">
        <v>1281</v>
      </c>
      <c r="B579" s="139" t="s">
        <v>1282</v>
      </c>
      <c r="C579" s="134">
        <f>_xlfn.IFERROR(VLOOKUP(A579,'งบทดลอง รพ.'!$A$2:$C$602,3,0),0)</f>
        <v>0</v>
      </c>
      <c r="E579" s="85" t="s">
        <v>1396</v>
      </c>
      <c r="F579" s="85" t="s">
        <v>41</v>
      </c>
      <c r="G579" s="81" t="s">
        <v>1407</v>
      </c>
      <c r="H579" s="81"/>
    </row>
    <row r="580" spans="1:8" ht="27.75">
      <c r="A580" s="139" t="s">
        <v>1283</v>
      </c>
      <c r="B580" s="139" t="s">
        <v>1284</v>
      </c>
      <c r="C580" s="134">
        <f>_xlfn.IFERROR(VLOOKUP(A580,'งบทดลอง รพ.'!$A$2:$C$602,3,0),0)</f>
        <v>0</v>
      </c>
      <c r="E580" s="85" t="s">
        <v>1396</v>
      </c>
      <c r="F580" s="85" t="s">
        <v>41</v>
      </c>
      <c r="G580" s="81" t="s">
        <v>1407</v>
      </c>
      <c r="H580" s="81"/>
    </row>
    <row r="581" spans="1:8" ht="27.75">
      <c r="A581" s="139" t="s">
        <v>1285</v>
      </c>
      <c r="B581" s="139" t="s">
        <v>1286</v>
      </c>
      <c r="C581" s="134">
        <f>_xlfn.IFERROR(VLOOKUP(A581,'งบทดลอง รพ.'!$A$2:$C$602,3,0),0)</f>
        <v>0</v>
      </c>
      <c r="E581" s="85" t="s">
        <v>1396</v>
      </c>
      <c r="F581" s="85" t="s">
        <v>41</v>
      </c>
      <c r="G581" s="81" t="s">
        <v>1407</v>
      </c>
      <c r="H581" s="81"/>
    </row>
    <row r="582" spans="1:8" ht="27.75">
      <c r="A582" s="139" t="s">
        <v>1287</v>
      </c>
      <c r="B582" s="139" t="s">
        <v>1288</v>
      </c>
      <c r="C582" s="134">
        <f>_xlfn.IFERROR(VLOOKUP(A582,'งบทดลอง รพ.'!$A$2:$C$602,3,0),0)</f>
        <v>0</v>
      </c>
      <c r="E582" s="85" t="s">
        <v>1396</v>
      </c>
      <c r="F582" s="85" t="s">
        <v>41</v>
      </c>
      <c r="G582" s="81" t="s">
        <v>1407</v>
      </c>
      <c r="H582" s="81"/>
    </row>
    <row r="583" spans="1:8" ht="27.75">
      <c r="A583" s="139" t="s">
        <v>1289</v>
      </c>
      <c r="B583" s="139" t="s">
        <v>596</v>
      </c>
      <c r="C583" s="134">
        <f>_xlfn.IFERROR(VLOOKUP(A583,'งบทดลอง รพ.'!$A$2:$C$602,3,0),0)</f>
        <v>0</v>
      </c>
      <c r="E583" s="85" t="s">
        <v>1396</v>
      </c>
      <c r="F583" s="85" t="s">
        <v>41</v>
      </c>
      <c r="G583" s="81" t="s">
        <v>1407</v>
      </c>
      <c r="H583" s="81"/>
    </row>
    <row r="584" spans="1:8" ht="27.75">
      <c r="A584" s="142" t="s">
        <v>994</v>
      </c>
      <c r="B584" s="142" t="s">
        <v>596</v>
      </c>
      <c r="C584" s="134">
        <f>_xlfn.IFERROR(VLOOKUP(A584,'งบทดลอง รพ.'!$A$2:$C$602,3,0),0)</f>
        <v>0</v>
      </c>
      <c r="E584" s="85" t="s">
        <v>1396</v>
      </c>
      <c r="F584" s="85" t="s">
        <v>41</v>
      </c>
      <c r="G584" s="81" t="s">
        <v>1409</v>
      </c>
      <c r="H584" s="81"/>
    </row>
    <row r="585" spans="1:8" ht="27.75">
      <c r="A585" s="142" t="s">
        <v>597</v>
      </c>
      <c r="B585" s="142" t="s">
        <v>598</v>
      </c>
      <c r="C585" s="134">
        <f>_xlfn.IFERROR(VLOOKUP(A585,'งบทดลอง รพ.'!$A$2:$C$602,3,0),0)</f>
        <v>0</v>
      </c>
      <c r="E585" s="85" t="s">
        <v>1396</v>
      </c>
      <c r="F585" s="85" t="s">
        <v>41</v>
      </c>
      <c r="G585" s="81" t="s">
        <v>1409</v>
      </c>
      <c r="H585" s="81"/>
    </row>
    <row r="586" spans="1:8" ht="27.75">
      <c r="A586" s="142" t="s">
        <v>599</v>
      </c>
      <c r="B586" s="142" t="s">
        <v>600</v>
      </c>
      <c r="C586" s="134">
        <f>_xlfn.IFERROR(VLOOKUP(A586,'งบทดลอง รพ.'!$A$2:$C$602,3,0),0)</f>
        <v>1860000</v>
      </c>
      <c r="E586" s="85" t="s">
        <v>1396</v>
      </c>
      <c r="F586" s="85" t="s">
        <v>41</v>
      </c>
      <c r="G586" s="81" t="s">
        <v>1409</v>
      </c>
      <c r="H586" s="81"/>
    </row>
    <row r="587" spans="1:8" ht="27.75">
      <c r="A587" s="139" t="s">
        <v>1290</v>
      </c>
      <c r="B587" s="139" t="s">
        <v>1291</v>
      </c>
      <c r="C587" s="134">
        <f>_xlfn.IFERROR(VLOOKUP(A587,'งบทดลอง รพ.'!$A$2:$C$602,3,0),0)</f>
        <v>0</v>
      </c>
      <c r="E587" s="85" t="s">
        <v>1396</v>
      </c>
      <c r="F587" s="85" t="s">
        <v>41</v>
      </c>
      <c r="G587" s="81" t="s">
        <v>1407</v>
      </c>
      <c r="H587" s="81"/>
    </row>
    <row r="588" spans="1:8" ht="27.75">
      <c r="A588" s="142" t="s">
        <v>601</v>
      </c>
      <c r="B588" s="142" t="s">
        <v>602</v>
      </c>
      <c r="C588" s="134">
        <f>_xlfn.IFERROR(VLOOKUP(A588,'งบทดลอง รพ.'!$A$2:$C$602,3,0),0)</f>
        <v>0</v>
      </c>
      <c r="E588" s="85" t="s">
        <v>1396</v>
      </c>
      <c r="F588" s="85" t="s">
        <v>41</v>
      </c>
      <c r="G588" s="81" t="s">
        <v>1409</v>
      </c>
      <c r="H588" s="81"/>
    </row>
    <row r="589" spans="1:8" ht="27.75">
      <c r="A589" s="142" t="s">
        <v>603</v>
      </c>
      <c r="B589" s="142" t="s">
        <v>604</v>
      </c>
      <c r="C589" s="134">
        <f>_xlfn.IFERROR(VLOOKUP(A589,'งบทดลอง รพ.'!$A$2:$C$602,3,0),0)</f>
        <v>0</v>
      </c>
      <c r="E589" s="85" t="s">
        <v>1396</v>
      </c>
      <c r="F589" s="85" t="s">
        <v>41</v>
      </c>
      <c r="G589" s="81" t="s">
        <v>1409</v>
      </c>
      <c r="H589" s="81"/>
    </row>
    <row r="590" spans="1:8" ht="27.75">
      <c r="A590" s="142" t="s">
        <v>605</v>
      </c>
      <c r="B590" s="142" t="s">
        <v>1536</v>
      </c>
      <c r="C590" s="134">
        <f>_xlfn.IFERROR(VLOOKUP(A590,'งบทดลอง รพ.'!$A$2:$C$602,3,0),0)</f>
        <v>0</v>
      </c>
      <c r="E590" s="85" t="s">
        <v>1396</v>
      </c>
      <c r="F590" s="85" t="s">
        <v>41</v>
      </c>
      <c r="G590" s="81" t="s">
        <v>1409</v>
      </c>
      <c r="H590" s="81"/>
    </row>
    <row r="591" spans="1:8" ht="27.75">
      <c r="A591" s="142" t="s">
        <v>606</v>
      </c>
      <c r="B591" s="142" t="s">
        <v>1537</v>
      </c>
      <c r="C591" s="134">
        <f>_xlfn.IFERROR(VLOOKUP(A591,'งบทดลอง รพ.'!$A$2:$C$602,3,0),0)</f>
        <v>0</v>
      </c>
      <c r="E591" s="85" t="s">
        <v>1396</v>
      </c>
      <c r="F591" s="85" t="s">
        <v>41</v>
      </c>
      <c r="G591" s="81" t="s">
        <v>1409</v>
      </c>
      <c r="H591" s="81"/>
    </row>
    <row r="592" spans="1:8" ht="27.75">
      <c r="A592" s="142" t="s">
        <v>607</v>
      </c>
      <c r="B592" s="142" t="s">
        <v>608</v>
      </c>
      <c r="C592" s="134">
        <f>_xlfn.IFERROR(VLOOKUP(A592,'งบทดลอง รพ.'!$A$2:$C$602,3,0),0)</f>
        <v>0</v>
      </c>
      <c r="E592" s="85" t="s">
        <v>1396</v>
      </c>
      <c r="F592" s="85" t="s">
        <v>41</v>
      </c>
      <c r="G592" s="81" t="s">
        <v>1409</v>
      </c>
      <c r="H592" s="81"/>
    </row>
    <row r="593" spans="1:8" ht="27.75">
      <c r="A593" s="142" t="s">
        <v>609</v>
      </c>
      <c r="B593" s="142" t="s">
        <v>610</v>
      </c>
      <c r="C593" s="134">
        <f>_xlfn.IFERROR(VLOOKUP(A593,'งบทดลอง รพ.'!$A$2:$C$602,3,0),0)</f>
        <v>0</v>
      </c>
      <c r="E593" s="85" t="s">
        <v>1396</v>
      </c>
      <c r="F593" s="85" t="s">
        <v>41</v>
      </c>
      <c r="G593" s="81" t="s">
        <v>1409</v>
      </c>
      <c r="H593" s="81"/>
    </row>
    <row r="594" spans="1:8" ht="27.75">
      <c r="A594" s="142" t="s">
        <v>611</v>
      </c>
      <c r="B594" s="142" t="s">
        <v>612</v>
      </c>
      <c r="C594" s="134">
        <f>_xlfn.IFERROR(VLOOKUP(A594,'งบทดลอง รพ.'!$A$2:$C$602,3,0),0)</f>
        <v>0</v>
      </c>
      <c r="E594" s="85" t="s">
        <v>1396</v>
      </c>
      <c r="F594" s="85" t="s">
        <v>41</v>
      </c>
      <c r="G594" s="81" t="s">
        <v>1409</v>
      </c>
      <c r="H594" s="81"/>
    </row>
    <row r="595" spans="1:8" ht="27.75">
      <c r="A595" s="142" t="s">
        <v>613</v>
      </c>
      <c r="B595" s="142" t="s">
        <v>614</v>
      </c>
      <c r="C595" s="134">
        <f>_xlfn.IFERROR(VLOOKUP(A595,'งบทดลอง รพ.'!$A$2:$C$602,3,0),0)</f>
        <v>0</v>
      </c>
      <c r="E595" s="85" t="s">
        <v>1396</v>
      </c>
      <c r="F595" s="85" t="s">
        <v>41</v>
      </c>
      <c r="G595" s="81" t="s">
        <v>1409</v>
      </c>
      <c r="H595" s="81"/>
    </row>
    <row r="596" spans="1:8" ht="27.75">
      <c r="A596" s="142" t="s">
        <v>615</v>
      </c>
      <c r="B596" s="142" t="s">
        <v>616</v>
      </c>
      <c r="C596" s="134">
        <f>_xlfn.IFERROR(VLOOKUP(A596,'งบทดลอง รพ.'!$A$2:$C$602,3,0),0)</f>
        <v>0</v>
      </c>
      <c r="E596" s="85" t="s">
        <v>1396</v>
      </c>
      <c r="F596" s="85" t="s">
        <v>41</v>
      </c>
      <c r="G596" s="81" t="s">
        <v>1409</v>
      </c>
      <c r="H596" s="81"/>
    </row>
    <row r="597" spans="1:8" ht="27.75">
      <c r="A597" s="142" t="s">
        <v>617</v>
      </c>
      <c r="B597" s="142" t="s">
        <v>618</v>
      </c>
      <c r="C597" s="134">
        <f>_xlfn.IFERROR(VLOOKUP(A597,'งบทดลอง รพ.'!$A$2:$C$602,3,0),0)</f>
        <v>0</v>
      </c>
      <c r="E597" s="85" t="s">
        <v>1396</v>
      </c>
      <c r="F597" s="85" t="s">
        <v>41</v>
      </c>
      <c r="G597" s="81" t="s">
        <v>1409</v>
      </c>
      <c r="H597" s="81"/>
    </row>
    <row r="598" spans="1:8" ht="27.75">
      <c r="A598" s="142" t="s">
        <v>619</v>
      </c>
      <c r="B598" s="142" t="s">
        <v>620</v>
      </c>
      <c r="C598" s="134">
        <f>_xlfn.IFERROR(VLOOKUP(A598,'งบทดลอง รพ.'!$A$2:$C$602,3,0),0)</f>
        <v>0</v>
      </c>
      <c r="E598" s="85" t="s">
        <v>1396</v>
      </c>
      <c r="F598" s="85" t="s">
        <v>41</v>
      </c>
      <c r="G598" s="81" t="s">
        <v>1409</v>
      </c>
      <c r="H598" s="81"/>
    </row>
    <row r="599" spans="1:8" ht="27.75">
      <c r="A599" s="142" t="s">
        <v>621</v>
      </c>
      <c r="B599" s="142" t="s">
        <v>622</v>
      </c>
      <c r="C599" s="134">
        <f>_xlfn.IFERROR(VLOOKUP(A599,'งบทดลอง รพ.'!$A$2:$C$602,3,0),0)</f>
        <v>0</v>
      </c>
      <c r="E599" s="85" t="s">
        <v>1396</v>
      </c>
      <c r="F599" s="85" t="s">
        <v>41</v>
      </c>
      <c r="G599" s="81" t="s">
        <v>1409</v>
      </c>
      <c r="H599" s="81"/>
    </row>
  </sheetData>
  <sheetProtection/>
  <autoFilter ref="A2:G599"/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Footer>&amp;LWorksheet 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900"/>
  <sheetViews>
    <sheetView zoomScale="120" zoomScaleNormal="120" zoomScalePageLayoutView="0" workbookViewId="0" topLeftCell="A134">
      <selection activeCell="C147" sqref="C147"/>
    </sheetView>
  </sheetViews>
  <sheetFormatPr defaultColWidth="9.140625" defaultRowHeight="15"/>
  <cols>
    <col min="1" max="1" width="16.00390625" style="25" customWidth="1"/>
    <col min="2" max="2" width="72.57421875" style="126" bestFit="1" customWidth="1"/>
    <col min="3" max="3" width="14.140625" style="126" bestFit="1" customWidth="1"/>
    <col min="4" max="5" width="13.28125" style="25" bestFit="1" customWidth="1"/>
    <col min="6" max="6" width="22.57421875" style="25" bestFit="1" customWidth="1"/>
    <col min="7" max="7" width="12.28125" style="25" bestFit="1" customWidth="1"/>
    <col min="8" max="16384" width="9.00390625" style="25" customWidth="1"/>
  </cols>
  <sheetData>
    <row r="1" spans="1:3" ht="24">
      <c r="A1" s="145" t="s">
        <v>736</v>
      </c>
      <c r="B1" s="31" t="s">
        <v>737</v>
      </c>
      <c r="C1" s="292" t="s">
        <v>707</v>
      </c>
    </row>
    <row r="2" spans="1:3" ht="24">
      <c r="A2" s="293" t="s">
        <v>148</v>
      </c>
      <c r="B2" s="294" t="s">
        <v>149</v>
      </c>
      <c r="C2" s="295">
        <v>1550</v>
      </c>
    </row>
    <row r="3" spans="1:3" ht="24">
      <c r="A3" s="293" t="s">
        <v>126</v>
      </c>
      <c r="B3" s="294" t="s">
        <v>127</v>
      </c>
      <c r="C3" s="295">
        <v>0</v>
      </c>
    </row>
    <row r="4" spans="1:3" ht="24">
      <c r="A4" s="293" t="s">
        <v>839</v>
      </c>
      <c r="B4" s="296" t="s">
        <v>121</v>
      </c>
      <c r="C4" s="295">
        <v>104625</v>
      </c>
    </row>
    <row r="5" spans="1:3" ht="24">
      <c r="A5" s="293" t="s">
        <v>841</v>
      </c>
      <c r="B5" s="294" t="s">
        <v>842</v>
      </c>
      <c r="C5" s="295">
        <v>218000</v>
      </c>
    </row>
    <row r="6" spans="1:3" ht="24">
      <c r="A6" s="293" t="s">
        <v>77</v>
      </c>
      <c r="B6" s="294" t="s">
        <v>1413</v>
      </c>
      <c r="C6" s="295">
        <f>788266.8-74462.8</f>
        <v>713804</v>
      </c>
    </row>
    <row r="7" spans="1:3" ht="24">
      <c r="A7" s="293" t="s">
        <v>128</v>
      </c>
      <c r="B7" s="294" t="s">
        <v>1414</v>
      </c>
      <c r="C7" s="295">
        <v>14894257.2</v>
      </c>
    </row>
    <row r="8" spans="1:3" ht="24">
      <c r="A8" s="293" t="s">
        <v>129</v>
      </c>
      <c r="B8" s="294" t="s">
        <v>1415</v>
      </c>
      <c r="C8" s="295">
        <v>18515704</v>
      </c>
    </row>
    <row r="9" spans="1:3" ht="24">
      <c r="A9" s="293" t="s">
        <v>85</v>
      </c>
      <c r="B9" s="294" t="s">
        <v>1416</v>
      </c>
      <c r="C9" s="295">
        <v>19240130.28</v>
      </c>
    </row>
    <row r="10" spans="1:3" ht="24">
      <c r="A10" s="293" t="s">
        <v>86</v>
      </c>
      <c r="B10" s="294" t="s">
        <v>1417</v>
      </c>
      <c r="C10" s="295">
        <v>11554968.17</v>
      </c>
    </row>
    <row r="11" spans="1:3" ht="24">
      <c r="A11" s="297" t="s">
        <v>130</v>
      </c>
      <c r="B11" s="37" t="s">
        <v>1418</v>
      </c>
      <c r="C11" s="295">
        <v>116977.2</v>
      </c>
    </row>
    <row r="12" spans="1:3" ht="24">
      <c r="A12" s="297" t="s">
        <v>131</v>
      </c>
      <c r="B12" s="37" t="s">
        <v>1419</v>
      </c>
      <c r="C12" s="295">
        <v>2572920</v>
      </c>
    </row>
    <row r="13" spans="1:3" ht="24">
      <c r="A13" s="297" t="s">
        <v>78</v>
      </c>
      <c r="B13" s="37" t="s">
        <v>1420</v>
      </c>
      <c r="C13" s="295">
        <v>2286697.62</v>
      </c>
    </row>
    <row r="14" spans="1:3" ht="24">
      <c r="A14" s="293" t="s">
        <v>79</v>
      </c>
      <c r="B14" s="294" t="s">
        <v>1421</v>
      </c>
      <c r="C14" s="295">
        <v>1581029.86</v>
      </c>
    </row>
    <row r="15" spans="1:3" ht="24">
      <c r="A15" s="297" t="s">
        <v>845</v>
      </c>
      <c r="B15" s="37" t="s">
        <v>846</v>
      </c>
      <c r="C15" s="295">
        <v>39350</v>
      </c>
    </row>
    <row r="16" spans="1:3" ht="24">
      <c r="A16" s="297" t="s">
        <v>847</v>
      </c>
      <c r="B16" s="37" t="s">
        <v>848</v>
      </c>
      <c r="C16" s="295">
        <v>22190.34</v>
      </c>
    </row>
    <row r="17" spans="1:3" ht="24">
      <c r="A17" s="297" t="s">
        <v>45</v>
      </c>
      <c r="B17" s="37" t="s">
        <v>1422</v>
      </c>
      <c r="C17" s="295">
        <f>48373406.7-9165444.61+1105390.84-857916.11</f>
        <v>39455436.82000001</v>
      </c>
    </row>
    <row r="18" spans="1:3" ht="24">
      <c r="A18" s="293" t="s">
        <v>46</v>
      </c>
      <c r="B18" s="294" t="s">
        <v>1423</v>
      </c>
      <c r="C18" s="295">
        <f>73874764-857916.12</f>
        <v>73016847.88</v>
      </c>
    </row>
    <row r="19" spans="1:3" ht="24">
      <c r="A19" s="293" t="s">
        <v>47</v>
      </c>
      <c r="B19" s="294" t="s">
        <v>1424</v>
      </c>
      <c r="C19" s="295">
        <v>8697238.45581032</v>
      </c>
    </row>
    <row r="20" spans="1:3" ht="24">
      <c r="A20" s="293" t="s">
        <v>48</v>
      </c>
      <c r="B20" s="294" t="s">
        <v>1425</v>
      </c>
      <c r="C20" s="295">
        <v>1057320</v>
      </c>
    </row>
    <row r="21" spans="1:3" ht="24">
      <c r="A21" s="293" t="s">
        <v>49</v>
      </c>
      <c r="B21" s="294" t="s">
        <v>1426</v>
      </c>
      <c r="C21" s="295">
        <v>100000</v>
      </c>
    </row>
    <row r="22" spans="1:3" ht="24">
      <c r="A22" s="293" t="s">
        <v>215</v>
      </c>
      <c r="B22" s="294" t="s">
        <v>216</v>
      </c>
      <c r="C22" s="295">
        <v>110073400</v>
      </c>
    </row>
    <row r="23" spans="1:3" ht="24">
      <c r="A23" s="293" t="s">
        <v>50</v>
      </c>
      <c r="B23" s="294" t="s">
        <v>1427</v>
      </c>
      <c r="C23" s="295">
        <v>13518063.89</v>
      </c>
    </row>
    <row r="24" spans="1:3" ht="24">
      <c r="A24" s="293" t="s">
        <v>51</v>
      </c>
      <c r="B24" s="294" t="s">
        <v>1428</v>
      </c>
      <c r="C24" s="295">
        <v>225549.01</v>
      </c>
    </row>
    <row r="25" spans="1:3" ht="24">
      <c r="A25" s="293" t="s">
        <v>52</v>
      </c>
      <c r="B25" s="294" t="s">
        <v>1429</v>
      </c>
      <c r="C25" s="295">
        <f>12954192.6-7963354.08</f>
        <v>4990838.52</v>
      </c>
    </row>
    <row r="26" spans="1:3" ht="24">
      <c r="A26" s="293" t="s">
        <v>53</v>
      </c>
      <c r="B26" s="294" t="s">
        <v>54</v>
      </c>
      <c r="C26" s="295">
        <v>1516043.7</v>
      </c>
    </row>
    <row r="27" spans="1:3" ht="24">
      <c r="A27" s="293" t="s">
        <v>55</v>
      </c>
      <c r="B27" s="294" t="s">
        <v>1430</v>
      </c>
      <c r="C27" s="295"/>
    </row>
    <row r="28" spans="1:3" ht="24">
      <c r="A28" s="293" t="s">
        <v>56</v>
      </c>
      <c r="B28" s="294" t="s">
        <v>57</v>
      </c>
      <c r="C28" s="295">
        <v>1229020.36</v>
      </c>
    </row>
    <row r="29" spans="1:3" ht="24">
      <c r="A29" s="293" t="s">
        <v>58</v>
      </c>
      <c r="B29" s="294" t="s">
        <v>1431</v>
      </c>
      <c r="C29" s="295"/>
    </row>
    <row r="30" spans="1:3" ht="24">
      <c r="A30" s="293" t="s">
        <v>59</v>
      </c>
      <c r="B30" s="294" t="s">
        <v>1432</v>
      </c>
      <c r="C30" s="295">
        <f>-13206236.8-729574.67</f>
        <v>-13935811.47</v>
      </c>
    </row>
    <row r="31" spans="1:3" ht="24">
      <c r="A31" s="293" t="s">
        <v>60</v>
      </c>
      <c r="B31" s="294" t="s">
        <v>1433</v>
      </c>
      <c r="C31" s="295">
        <v>0</v>
      </c>
    </row>
    <row r="32" spans="1:3" ht="24">
      <c r="A32" s="293" t="s">
        <v>61</v>
      </c>
      <c r="B32" s="294" t="s">
        <v>1434</v>
      </c>
      <c r="C32" s="295">
        <f>-1662951-182393.7</f>
        <v>-1845344.7</v>
      </c>
    </row>
    <row r="33" spans="1:3" ht="24">
      <c r="A33" s="293" t="s">
        <v>62</v>
      </c>
      <c r="B33" s="294" t="s">
        <v>1435</v>
      </c>
      <c r="C33" s="295"/>
    </row>
    <row r="34" spans="1:3" ht="24">
      <c r="A34" s="293" t="s">
        <v>64</v>
      </c>
      <c r="B34" s="294" t="s">
        <v>65</v>
      </c>
      <c r="C34" s="295">
        <v>6402396.77</v>
      </c>
    </row>
    <row r="35" spans="1:3" ht="24">
      <c r="A35" s="293" t="s">
        <v>66</v>
      </c>
      <c r="B35" s="294" t="s">
        <v>67</v>
      </c>
      <c r="C35" s="295">
        <v>8000000</v>
      </c>
    </row>
    <row r="36" spans="1:3" ht="24">
      <c r="A36" s="293" t="s">
        <v>68</v>
      </c>
      <c r="B36" s="294" t="s">
        <v>1437</v>
      </c>
      <c r="C36" s="295">
        <v>603867.66</v>
      </c>
    </row>
    <row r="37" spans="1:3" ht="24">
      <c r="A37" s="293" t="s">
        <v>69</v>
      </c>
      <c r="B37" s="294" t="s">
        <v>1438</v>
      </c>
      <c r="C37" s="295">
        <v>1043035.61</v>
      </c>
    </row>
    <row r="38" spans="1:5" ht="24">
      <c r="A38" s="293" t="s">
        <v>70</v>
      </c>
      <c r="B38" s="294" t="s">
        <v>1439</v>
      </c>
      <c r="C38" s="295">
        <f>8000000+728092.8</f>
        <v>8728092.8</v>
      </c>
      <c r="E38" s="25" t="s">
        <v>1773</v>
      </c>
    </row>
    <row r="39" spans="1:3" ht="24">
      <c r="A39" s="297" t="s">
        <v>71</v>
      </c>
      <c r="B39" s="37" t="s">
        <v>1440</v>
      </c>
      <c r="C39" s="295">
        <f>2361608.4+1000000</f>
        <v>3361608.4</v>
      </c>
    </row>
    <row r="40" spans="1:3" ht="24">
      <c r="A40" s="297" t="s">
        <v>72</v>
      </c>
      <c r="B40" s="37" t="s">
        <v>1441</v>
      </c>
      <c r="C40" s="295">
        <v>5441220</v>
      </c>
    </row>
    <row r="41" spans="1:3" ht="24">
      <c r="A41" s="297" t="s">
        <v>73</v>
      </c>
      <c r="B41" s="37" t="s">
        <v>1442</v>
      </c>
      <c r="C41" s="295">
        <v>3025197.43</v>
      </c>
    </row>
    <row r="42" spans="1:3" ht="24">
      <c r="A42" s="297" t="s">
        <v>75</v>
      </c>
      <c r="B42" s="37" t="s">
        <v>1444</v>
      </c>
      <c r="C42" s="295"/>
    </row>
    <row r="43" spans="1:3" ht="24">
      <c r="A43" s="297" t="s">
        <v>827</v>
      </c>
      <c r="B43" s="37" t="s">
        <v>828</v>
      </c>
      <c r="C43" s="295"/>
    </row>
    <row r="44" spans="1:3" ht="24">
      <c r="A44" s="297" t="s">
        <v>829</v>
      </c>
      <c r="B44" s="37" t="s">
        <v>830</v>
      </c>
      <c r="C44" s="295">
        <v>-29420629.27</v>
      </c>
    </row>
    <row r="45" spans="1:3" ht="24">
      <c r="A45" s="293" t="s">
        <v>831</v>
      </c>
      <c r="B45" s="294" t="s">
        <v>832</v>
      </c>
      <c r="C45" s="295">
        <v>-19974651.72</v>
      </c>
    </row>
    <row r="46" spans="1:3" ht="24">
      <c r="A46" s="293" t="s">
        <v>833</v>
      </c>
      <c r="B46" s="294" t="s">
        <v>834</v>
      </c>
      <c r="C46" s="295">
        <v>-5844343.32</v>
      </c>
    </row>
    <row r="47" spans="1:3" ht="24">
      <c r="A47" s="293" t="s">
        <v>93</v>
      </c>
      <c r="B47" s="294" t="s">
        <v>1446</v>
      </c>
      <c r="C47" s="295">
        <v>3679977.68</v>
      </c>
    </row>
    <row r="48" spans="1:3" ht="24">
      <c r="A48" s="293" t="s">
        <v>94</v>
      </c>
      <c r="B48" s="294" t="s">
        <v>1447</v>
      </c>
      <c r="C48" s="295">
        <v>2522061.6</v>
      </c>
    </row>
    <row r="49" spans="1:3" ht="24">
      <c r="A49" s="293" t="s">
        <v>96</v>
      </c>
      <c r="B49" s="294" t="s">
        <v>1449</v>
      </c>
      <c r="C49" s="295">
        <v>49606</v>
      </c>
    </row>
    <row r="50" spans="1:3" ht="24">
      <c r="A50" s="293" t="s">
        <v>97</v>
      </c>
      <c r="B50" s="294" t="s">
        <v>98</v>
      </c>
      <c r="C50" s="295">
        <f>30405+38808</f>
        <v>69213</v>
      </c>
    </row>
    <row r="51" spans="1:3" ht="24">
      <c r="A51" s="293" t="s">
        <v>99</v>
      </c>
      <c r="B51" s="294" t="s">
        <v>100</v>
      </c>
      <c r="C51" s="295">
        <v>454834.8</v>
      </c>
    </row>
    <row r="52" spans="1:3" ht="24">
      <c r="A52" s="293" t="s">
        <v>101</v>
      </c>
      <c r="B52" s="294" t="s">
        <v>1450</v>
      </c>
      <c r="C52" s="295">
        <v>1621104</v>
      </c>
    </row>
    <row r="53" spans="1:3" ht="24">
      <c r="A53" s="293" t="s">
        <v>102</v>
      </c>
      <c r="B53" s="294" t="s">
        <v>1451</v>
      </c>
      <c r="C53" s="295">
        <v>114029.4</v>
      </c>
    </row>
    <row r="54" spans="1:3" ht="24">
      <c r="A54" s="293" t="s">
        <v>103</v>
      </c>
      <c r="B54" s="294" t="s">
        <v>1452</v>
      </c>
      <c r="C54" s="295">
        <v>-732998.66</v>
      </c>
    </row>
    <row r="55" spans="1:3" ht="24">
      <c r="A55" s="293" t="s">
        <v>104</v>
      </c>
      <c r="B55" s="294" t="s">
        <v>1453</v>
      </c>
      <c r="C55" s="295">
        <v>-1099946.1</v>
      </c>
    </row>
    <row r="56" spans="1:3" ht="24">
      <c r="A56" s="293" t="s">
        <v>109</v>
      </c>
      <c r="B56" s="294" t="s">
        <v>1456</v>
      </c>
      <c r="C56" s="295">
        <v>1569412.86</v>
      </c>
    </row>
    <row r="57" spans="1:3" ht="24">
      <c r="A57" s="293" t="s">
        <v>110</v>
      </c>
      <c r="B57" s="294" t="s">
        <v>1457</v>
      </c>
      <c r="C57" s="295">
        <v>726265.43</v>
      </c>
    </row>
    <row r="58" spans="1:3" ht="24">
      <c r="A58" s="293" t="s">
        <v>885</v>
      </c>
      <c r="B58" s="294" t="s">
        <v>886</v>
      </c>
      <c r="C58" s="609">
        <v>3200000</v>
      </c>
    </row>
    <row r="59" spans="1:3" ht="24">
      <c r="A59" s="293" t="s">
        <v>133</v>
      </c>
      <c r="B59" s="294" t="s">
        <v>1464</v>
      </c>
      <c r="C59" s="295">
        <v>116879</v>
      </c>
    </row>
    <row r="60" spans="1:3" ht="48">
      <c r="A60" s="293" t="s">
        <v>134</v>
      </c>
      <c r="B60" s="294" t="s">
        <v>1465</v>
      </c>
      <c r="C60" s="295">
        <v>-122460.29</v>
      </c>
    </row>
    <row r="61" spans="1:3" ht="24">
      <c r="A61" s="293" t="s">
        <v>137</v>
      </c>
      <c r="B61" s="294" t="s">
        <v>138</v>
      </c>
      <c r="C61" s="295"/>
    </row>
    <row r="62" spans="1:3" ht="24">
      <c r="A62" s="293" t="s">
        <v>896</v>
      </c>
      <c r="B62" s="294" t="s">
        <v>897</v>
      </c>
      <c r="C62" s="295">
        <v>2000000</v>
      </c>
    </row>
    <row r="63" spans="1:3" ht="24">
      <c r="A63" s="293" t="s">
        <v>174</v>
      </c>
      <c r="B63" s="294" t="s">
        <v>1469</v>
      </c>
      <c r="C63" s="295"/>
    </row>
    <row r="64" spans="1:3" ht="24">
      <c r="A64" s="293" t="s">
        <v>175</v>
      </c>
      <c r="B64" s="294" t="s">
        <v>1470</v>
      </c>
      <c r="C64" s="295">
        <v>152940.22</v>
      </c>
    </row>
    <row r="65" spans="1:3" ht="24">
      <c r="A65" s="293" t="s">
        <v>178</v>
      </c>
      <c r="B65" s="296" t="s">
        <v>179</v>
      </c>
      <c r="C65" s="295">
        <v>0</v>
      </c>
    </row>
    <row r="66" spans="1:3" ht="24">
      <c r="A66" s="293" t="s">
        <v>143</v>
      </c>
      <c r="B66" s="296" t="s">
        <v>1471</v>
      </c>
      <c r="C66" s="295">
        <v>75183740</v>
      </c>
    </row>
    <row r="67" spans="1:3" ht="24">
      <c r="A67" s="293" t="s">
        <v>180</v>
      </c>
      <c r="B67" s="294" t="s">
        <v>1473</v>
      </c>
      <c r="C67" s="295"/>
    </row>
    <row r="68" spans="1:3" ht="24">
      <c r="A68" s="293" t="s">
        <v>183</v>
      </c>
      <c r="B68" s="294" t="s">
        <v>1476</v>
      </c>
      <c r="C68" s="295">
        <f>2254906.4+200000</f>
        <v>2454906.4</v>
      </c>
    </row>
    <row r="69" spans="1:3" ht="24">
      <c r="A69" s="293" t="s">
        <v>197</v>
      </c>
      <c r="B69" s="294" t="s">
        <v>198</v>
      </c>
      <c r="C69" s="295">
        <v>76694</v>
      </c>
    </row>
    <row r="70" spans="1:3" ht="24">
      <c r="A70" s="293" t="s">
        <v>199</v>
      </c>
      <c r="B70" s="294" t="s">
        <v>200</v>
      </c>
      <c r="C70" s="295">
        <v>39271</v>
      </c>
    </row>
    <row r="71" spans="1:3" ht="24">
      <c r="A71" s="293" t="s">
        <v>205</v>
      </c>
      <c r="B71" s="294" t="s">
        <v>206</v>
      </c>
      <c r="C71" s="295"/>
    </row>
    <row r="72" spans="1:3" ht="24">
      <c r="A72" s="293" t="s">
        <v>207</v>
      </c>
      <c r="B72" s="294" t="s">
        <v>1482</v>
      </c>
      <c r="C72" s="295">
        <f>4546890+355000+355000+1500000-2756700</f>
        <v>4000190</v>
      </c>
    </row>
    <row r="73" spans="1:3" ht="24">
      <c r="A73" s="297" t="s">
        <v>211</v>
      </c>
      <c r="B73" s="37" t="s">
        <v>212</v>
      </c>
      <c r="C73" s="295">
        <v>450000</v>
      </c>
    </row>
    <row r="74" spans="1:3" ht="24">
      <c r="A74" s="297" t="s">
        <v>213</v>
      </c>
      <c r="B74" s="37" t="s">
        <v>214</v>
      </c>
      <c r="C74" s="295">
        <v>900000</v>
      </c>
    </row>
    <row r="75" spans="1:3" ht="24">
      <c r="A75" s="293" t="s">
        <v>229</v>
      </c>
      <c r="B75" s="294" t="s">
        <v>230</v>
      </c>
      <c r="C75" s="295">
        <f>59494336.54+702325.15</f>
        <v>60196661.69</v>
      </c>
    </row>
    <row r="76" spans="1:3" ht="24">
      <c r="A76" s="293" t="s">
        <v>231</v>
      </c>
      <c r="B76" s="294" t="s">
        <v>232</v>
      </c>
      <c r="C76" s="295">
        <v>4538095.31</v>
      </c>
    </row>
    <row r="77" spans="1:3" ht="24">
      <c r="A77" s="293" t="s">
        <v>235</v>
      </c>
      <c r="B77" s="294" t="s">
        <v>236</v>
      </c>
      <c r="C77" s="295">
        <v>2755134.99</v>
      </c>
    </row>
    <row r="78" spans="1:3" ht="24">
      <c r="A78" s="293" t="s">
        <v>237</v>
      </c>
      <c r="B78" s="294" t="s">
        <v>238</v>
      </c>
      <c r="C78" s="295">
        <v>237600</v>
      </c>
    </row>
    <row r="79" spans="1:3" ht="24">
      <c r="A79" s="293" t="s">
        <v>245</v>
      </c>
      <c r="B79" s="294" t="s">
        <v>246</v>
      </c>
      <c r="C79" s="295"/>
    </row>
    <row r="80" spans="1:3" ht="24">
      <c r="A80" s="293" t="s">
        <v>249</v>
      </c>
      <c r="B80" s="294" t="s">
        <v>250</v>
      </c>
      <c r="C80" s="295">
        <v>3257246</v>
      </c>
    </row>
    <row r="81" spans="1:3" ht="24">
      <c r="A81" s="293" t="s">
        <v>251</v>
      </c>
      <c r="B81" s="294" t="s">
        <v>252</v>
      </c>
      <c r="C81" s="295">
        <v>415960</v>
      </c>
    </row>
    <row r="82" spans="1:3" ht="24">
      <c r="A82" s="293" t="s">
        <v>261</v>
      </c>
      <c r="B82" s="294" t="s">
        <v>262</v>
      </c>
      <c r="C82" s="609">
        <f>9016610.3+2333416.26+2736200</f>
        <v>14086226.56</v>
      </c>
    </row>
    <row r="83" spans="1:3" ht="24">
      <c r="A83" s="293" t="s">
        <v>263</v>
      </c>
      <c r="B83" s="294" t="s">
        <v>264</v>
      </c>
      <c r="C83" s="295">
        <f>968765+183000</f>
        <v>1151765</v>
      </c>
    </row>
    <row r="84" spans="1:3" ht="24">
      <c r="A84" s="293" t="s">
        <v>265</v>
      </c>
      <c r="B84" s="294" t="s">
        <v>1484</v>
      </c>
      <c r="C84" s="295">
        <f>7245848.78+1340120+336000</f>
        <v>8921968.780000001</v>
      </c>
    </row>
    <row r="85" spans="1:6" ht="24">
      <c r="A85" s="293" t="s">
        <v>266</v>
      </c>
      <c r="B85" s="294" t="s">
        <v>267</v>
      </c>
      <c r="C85" s="295">
        <f>1914087+366000</f>
        <v>2280087</v>
      </c>
      <c r="E85" s="400">
        <f>SUM(C82:C85)</f>
        <v>26440047.340000004</v>
      </c>
      <c r="F85" s="291">
        <f>+E85*0.05</f>
        <v>1322002.3670000003</v>
      </c>
    </row>
    <row r="86" spans="1:3" ht="24">
      <c r="A86" s="293" t="s">
        <v>254</v>
      </c>
      <c r="B86" s="294" t="s">
        <v>1486</v>
      </c>
      <c r="C86" s="295">
        <f>597600+2712240</f>
        <v>3309840</v>
      </c>
    </row>
    <row r="87" spans="1:3" ht="24">
      <c r="A87" s="293" t="s">
        <v>255</v>
      </c>
      <c r="B87" s="294" t="s">
        <v>1487</v>
      </c>
      <c r="C87" s="295">
        <v>20696.9</v>
      </c>
    </row>
    <row r="88" spans="1:3" ht="24">
      <c r="A88" s="293" t="s">
        <v>256</v>
      </c>
      <c r="B88" s="294" t="s">
        <v>1488</v>
      </c>
      <c r="C88" s="295">
        <v>19824</v>
      </c>
    </row>
    <row r="89" spans="1:3" ht="24">
      <c r="A89" s="293" t="s">
        <v>913</v>
      </c>
      <c r="B89" s="294" t="s">
        <v>914</v>
      </c>
      <c r="C89" s="295">
        <v>432681.11</v>
      </c>
    </row>
    <row r="90" spans="1:3" ht="24">
      <c r="A90" s="293" t="s">
        <v>917</v>
      </c>
      <c r="B90" s="294" t="s">
        <v>918</v>
      </c>
      <c r="C90" s="295">
        <v>3600000</v>
      </c>
    </row>
    <row r="91" spans="1:3" ht="24">
      <c r="A91" s="293" t="s">
        <v>289</v>
      </c>
      <c r="B91" s="294" t="s">
        <v>290</v>
      </c>
      <c r="C91" s="295">
        <f>717398.18+20846.55</f>
        <v>738244.7300000001</v>
      </c>
    </row>
    <row r="92" spans="1:3" ht="24">
      <c r="A92" s="293" t="s">
        <v>291</v>
      </c>
      <c r="B92" s="294" t="s">
        <v>292</v>
      </c>
      <c r="C92" s="295">
        <f>4380+1076097.26</f>
        <v>1080477.26</v>
      </c>
    </row>
    <row r="93" spans="1:3" ht="24">
      <c r="A93" s="297" t="s">
        <v>293</v>
      </c>
      <c r="B93" s="37" t="s">
        <v>294</v>
      </c>
      <c r="C93" s="295">
        <v>110196.18</v>
      </c>
    </row>
    <row r="94" spans="1:3" ht="24">
      <c r="A94" s="297" t="s">
        <v>295</v>
      </c>
      <c r="B94" s="37" t="s">
        <v>1493</v>
      </c>
      <c r="C94" s="295">
        <v>1185192.37</v>
      </c>
    </row>
    <row r="95" spans="1:3" ht="24">
      <c r="A95" s="297" t="s">
        <v>298</v>
      </c>
      <c r="B95" s="37" t="s">
        <v>299</v>
      </c>
      <c r="C95" s="295">
        <v>224041.12</v>
      </c>
    </row>
    <row r="96" spans="1:3" ht="24">
      <c r="A96" s="297" t="s">
        <v>274</v>
      </c>
      <c r="B96" s="37" t="s">
        <v>275</v>
      </c>
      <c r="C96" s="295">
        <v>3600000</v>
      </c>
    </row>
    <row r="97" spans="1:3" ht="24">
      <c r="A97" s="297" t="s">
        <v>277</v>
      </c>
      <c r="B97" s="37" t="s">
        <v>278</v>
      </c>
      <c r="C97" s="295">
        <v>420000</v>
      </c>
    </row>
    <row r="98" spans="1:3" ht="24">
      <c r="A98" s="297" t="s">
        <v>279</v>
      </c>
      <c r="B98" s="37" t="s">
        <v>1498</v>
      </c>
      <c r="C98" s="295">
        <v>0</v>
      </c>
    </row>
    <row r="99" spans="1:3" ht="24">
      <c r="A99" s="297" t="s">
        <v>280</v>
      </c>
      <c r="B99" s="37" t="s">
        <v>1499</v>
      </c>
      <c r="C99" s="295">
        <v>0</v>
      </c>
    </row>
    <row r="100" spans="1:3" ht="24">
      <c r="A100" s="297" t="s">
        <v>919</v>
      </c>
      <c r="B100" s="37" t="s">
        <v>920</v>
      </c>
      <c r="C100" s="295">
        <v>8880000</v>
      </c>
    </row>
    <row r="101" spans="1:3" ht="24">
      <c r="A101" s="293" t="s">
        <v>300</v>
      </c>
      <c r="B101" s="294" t="s">
        <v>301</v>
      </c>
      <c r="C101" s="295">
        <v>210460</v>
      </c>
    </row>
    <row r="102" spans="1:3" ht="48">
      <c r="A102" s="293" t="s">
        <v>302</v>
      </c>
      <c r="B102" s="294" t="s">
        <v>303</v>
      </c>
      <c r="C102" s="295">
        <v>112001</v>
      </c>
    </row>
    <row r="103" spans="1:3" ht="24">
      <c r="A103" s="293" t="s">
        <v>315</v>
      </c>
      <c r="B103" s="294" t="s">
        <v>301</v>
      </c>
      <c r="C103" s="295">
        <v>0</v>
      </c>
    </row>
    <row r="104" spans="1:3" ht="24">
      <c r="A104" s="293" t="s">
        <v>316</v>
      </c>
      <c r="B104" s="294" t="s">
        <v>317</v>
      </c>
      <c r="C104" s="295">
        <v>0</v>
      </c>
    </row>
    <row r="105" spans="1:3" ht="24">
      <c r="A105" s="293" t="s">
        <v>324</v>
      </c>
      <c r="B105" s="294" t="s">
        <v>325</v>
      </c>
      <c r="C105" s="295">
        <v>3000000</v>
      </c>
    </row>
    <row r="106" spans="1:3" ht="24">
      <c r="A106" s="293" t="s">
        <v>328</v>
      </c>
      <c r="B106" s="294" t="s">
        <v>329</v>
      </c>
      <c r="C106" s="295">
        <v>188240</v>
      </c>
    </row>
    <row r="107" spans="1:3" ht="24">
      <c r="A107" s="293" t="s">
        <v>330</v>
      </c>
      <c r="B107" s="294" t="s">
        <v>331</v>
      </c>
      <c r="C107" s="295">
        <v>290466</v>
      </c>
    </row>
    <row r="108" spans="1:3" ht="24">
      <c r="A108" s="293" t="s">
        <v>332</v>
      </c>
      <c r="B108" s="294" t="s">
        <v>333</v>
      </c>
      <c r="C108" s="295">
        <v>243587.5</v>
      </c>
    </row>
    <row r="109" spans="1:3" ht="24">
      <c r="A109" s="293" t="s">
        <v>933</v>
      </c>
      <c r="B109" s="294" t="s">
        <v>399</v>
      </c>
      <c r="C109" s="295">
        <v>1827449</v>
      </c>
    </row>
    <row r="110" spans="1:3" ht="24">
      <c r="A110" s="293" t="s">
        <v>934</v>
      </c>
      <c r="B110" s="294" t="s">
        <v>400</v>
      </c>
      <c r="C110" s="295">
        <v>412100</v>
      </c>
    </row>
    <row r="111" spans="1:3" ht="24">
      <c r="A111" s="293" t="s">
        <v>935</v>
      </c>
      <c r="B111" s="294" t="s">
        <v>401</v>
      </c>
      <c r="C111" s="295">
        <v>1311472</v>
      </c>
    </row>
    <row r="112" spans="1:3" ht="24">
      <c r="A112" s="293" t="s">
        <v>936</v>
      </c>
      <c r="B112" s="294" t="s">
        <v>402</v>
      </c>
      <c r="C112" s="295">
        <v>27950</v>
      </c>
    </row>
    <row r="113" spans="1:3" ht="24">
      <c r="A113" s="293" t="s">
        <v>937</v>
      </c>
      <c r="B113" s="294" t="s">
        <v>403</v>
      </c>
      <c r="C113" s="295">
        <v>564180</v>
      </c>
    </row>
    <row r="114" spans="1:3" ht="24">
      <c r="A114" s="293" t="s">
        <v>938</v>
      </c>
      <c r="B114" s="294" t="s">
        <v>404</v>
      </c>
      <c r="C114" s="295">
        <v>2702995</v>
      </c>
    </row>
    <row r="115" spans="1:3" ht="24">
      <c r="A115" s="293" t="s">
        <v>939</v>
      </c>
      <c r="B115" s="294" t="s">
        <v>409</v>
      </c>
      <c r="C115" s="295">
        <v>1112975</v>
      </c>
    </row>
    <row r="116" spans="1:3" ht="24">
      <c r="A116" s="293" t="s">
        <v>940</v>
      </c>
      <c r="B116" s="294" t="s">
        <v>410</v>
      </c>
      <c r="C116" s="295">
        <f>1155+806249</f>
        <v>807404</v>
      </c>
    </row>
    <row r="117" spans="1:3" ht="24">
      <c r="A117" s="293" t="s">
        <v>334</v>
      </c>
      <c r="B117" s="298" t="s">
        <v>335</v>
      </c>
      <c r="C117" s="295">
        <v>10000</v>
      </c>
    </row>
    <row r="118" spans="1:3" ht="24">
      <c r="A118" s="293" t="s">
        <v>336</v>
      </c>
      <c r="B118" s="294" t="s">
        <v>337</v>
      </c>
      <c r="C118" s="295">
        <v>12000</v>
      </c>
    </row>
    <row r="119" spans="1:3" ht="24">
      <c r="A119" s="293" t="s">
        <v>338</v>
      </c>
      <c r="B119" s="294" t="s">
        <v>339</v>
      </c>
      <c r="C119" s="295">
        <v>200000</v>
      </c>
    </row>
    <row r="120" spans="1:3" ht="24">
      <c r="A120" s="293" t="s">
        <v>340</v>
      </c>
      <c r="B120" s="294" t="s">
        <v>341</v>
      </c>
      <c r="C120" s="295">
        <v>50000</v>
      </c>
    </row>
    <row r="121" spans="1:3" ht="24">
      <c r="A121" s="317" t="s">
        <v>342</v>
      </c>
      <c r="B121" s="294" t="s">
        <v>1724</v>
      </c>
      <c r="C121" s="295">
        <v>50000</v>
      </c>
    </row>
    <row r="122" spans="1:3" ht="24">
      <c r="A122" s="293" t="s">
        <v>344</v>
      </c>
      <c r="B122" s="294" t="s">
        <v>345</v>
      </c>
      <c r="C122" s="295">
        <v>1000000</v>
      </c>
    </row>
    <row r="123" spans="1:3" ht="24">
      <c r="A123" s="293" t="s">
        <v>348</v>
      </c>
      <c r="B123" s="294" t="s">
        <v>349</v>
      </c>
      <c r="C123" s="295">
        <v>150000</v>
      </c>
    </row>
    <row r="124" spans="1:3" ht="24">
      <c r="A124" s="293" t="s">
        <v>1680</v>
      </c>
      <c r="B124" s="294" t="s">
        <v>1681</v>
      </c>
      <c r="C124" s="295">
        <v>0</v>
      </c>
    </row>
    <row r="125" spans="1:3" ht="24">
      <c r="A125" s="293" t="s">
        <v>350</v>
      </c>
      <c r="B125" s="294" t="s">
        <v>351</v>
      </c>
      <c r="C125" s="609">
        <f>1300000-650000</f>
        <v>650000</v>
      </c>
    </row>
    <row r="126" spans="1:3" ht="24">
      <c r="A126" s="293" t="s">
        <v>355</v>
      </c>
      <c r="B126" s="294" t="s">
        <v>356</v>
      </c>
      <c r="C126" s="609">
        <v>0</v>
      </c>
    </row>
    <row r="127" spans="1:3" ht="24">
      <c r="A127" s="293" t="s">
        <v>357</v>
      </c>
      <c r="B127" s="294" t="s">
        <v>358</v>
      </c>
      <c r="C127" s="295">
        <v>5000</v>
      </c>
    </row>
    <row r="128" spans="1:3" ht="24">
      <c r="A128" s="293" t="s">
        <v>942</v>
      </c>
      <c r="B128" s="294" t="s">
        <v>943</v>
      </c>
      <c r="C128" s="295">
        <v>1739600</v>
      </c>
    </row>
    <row r="129" spans="1:3" ht="24">
      <c r="A129" s="293" t="s">
        <v>363</v>
      </c>
      <c r="B129" s="294" t="s">
        <v>364</v>
      </c>
      <c r="C129" s="295">
        <v>5000</v>
      </c>
    </row>
    <row r="130" spans="1:3" ht="24">
      <c r="A130" s="293" t="s">
        <v>365</v>
      </c>
      <c r="B130" s="294" t="s">
        <v>366</v>
      </c>
      <c r="C130" s="295">
        <v>5000</v>
      </c>
    </row>
    <row r="131" spans="1:3" ht="24">
      <c r="A131" s="293" t="s">
        <v>369</v>
      </c>
      <c r="B131" s="294" t="s">
        <v>370</v>
      </c>
      <c r="C131" s="295">
        <v>350000</v>
      </c>
    </row>
    <row r="132" spans="1:3" ht="24">
      <c r="A132" s="293" t="s">
        <v>371</v>
      </c>
      <c r="B132" s="294" t="s">
        <v>1502</v>
      </c>
      <c r="C132" s="295">
        <v>12000000</v>
      </c>
    </row>
    <row r="133" spans="1:3" ht="24">
      <c r="A133" s="293" t="s">
        <v>373</v>
      </c>
      <c r="B133" s="294" t="s">
        <v>1503</v>
      </c>
      <c r="C133" s="295">
        <v>700000</v>
      </c>
    </row>
    <row r="134" spans="1:3" ht="24">
      <c r="A134" s="293" t="s">
        <v>374</v>
      </c>
      <c r="B134" s="294" t="s">
        <v>375</v>
      </c>
      <c r="C134" s="295">
        <v>4000000</v>
      </c>
    </row>
    <row r="135" spans="1:3" ht="24">
      <c r="A135" s="293" t="s">
        <v>376</v>
      </c>
      <c r="B135" s="294" t="s">
        <v>377</v>
      </c>
      <c r="C135" s="609">
        <f>5000000-1000000</f>
        <v>4000000</v>
      </c>
    </row>
    <row r="136" spans="1:3" ht="24">
      <c r="A136" s="293" t="s">
        <v>380</v>
      </c>
      <c r="B136" s="294" t="s">
        <v>381</v>
      </c>
      <c r="C136" s="295">
        <v>1000</v>
      </c>
    </row>
    <row r="137" spans="1:3" ht="24">
      <c r="A137" s="293" t="s">
        <v>390</v>
      </c>
      <c r="B137" s="294" t="s">
        <v>391</v>
      </c>
      <c r="C137" s="295">
        <f>5200471.77+1210981.45+120000</f>
        <v>6531453.22</v>
      </c>
    </row>
    <row r="138" spans="1:3" ht="24">
      <c r="A138" s="293" t="s">
        <v>392</v>
      </c>
      <c r="B138" s="294" t="s">
        <v>1504</v>
      </c>
      <c r="C138" s="295">
        <f>1529429.73+306000+50000</f>
        <v>1885429.73</v>
      </c>
    </row>
    <row r="139" spans="1:3" ht="24">
      <c r="A139" s="293" t="s">
        <v>393</v>
      </c>
      <c r="B139" s="294" t="s">
        <v>394</v>
      </c>
      <c r="C139" s="295">
        <v>100104.02</v>
      </c>
    </row>
    <row r="140" spans="1:3" ht="24">
      <c r="A140" s="293" t="s">
        <v>395</v>
      </c>
      <c r="B140" s="294" t="s">
        <v>396</v>
      </c>
      <c r="C140" s="295">
        <v>81097.22</v>
      </c>
    </row>
    <row r="141" spans="1:3" ht="24">
      <c r="A141" s="293" t="s">
        <v>397</v>
      </c>
      <c r="B141" s="294" t="s">
        <v>398</v>
      </c>
      <c r="C141" s="295">
        <v>35923.2</v>
      </c>
    </row>
    <row r="142" spans="1:3" ht="24">
      <c r="A142" s="317" t="s">
        <v>384</v>
      </c>
      <c r="B142" s="294" t="s">
        <v>385</v>
      </c>
      <c r="C142" s="295">
        <v>200000</v>
      </c>
    </row>
    <row r="143" spans="1:3" ht="24">
      <c r="A143" s="293" t="s">
        <v>220</v>
      </c>
      <c r="B143" s="294" t="s">
        <v>221</v>
      </c>
      <c r="C143" s="295">
        <v>31362076.79</v>
      </c>
    </row>
    <row r="144" spans="1:3" ht="24">
      <c r="A144" s="293" t="s">
        <v>222</v>
      </c>
      <c r="B144" s="294" t="s">
        <v>1505</v>
      </c>
      <c r="C144" s="295">
        <v>593184</v>
      </c>
    </row>
    <row r="145" spans="1:3" ht="24">
      <c r="A145" s="293" t="s">
        <v>224</v>
      </c>
      <c r="B145" s="294" t="s">
        <v>1506</v>
      </c>
      <c r="C145" s="295">
        <f>12263955.47+600000</f>
        <v>12863955.47</v>
      </c>
    </row>
    <row r="146" spans="1:3" ht="24">
      <c r="A146" s="293" t="s">
        <v>227</v>
      </c>
      <c r="B146" s="294" t="s">
        <v>228</v>
      </c>
      <c r="C146" s="295">
        <f>14915168.86+239080</f>
        <v>15154248.86</v>
      </c>
    </row>
    <row r="147" spans="1:3" ht="24">
      <c r="A147" s="293" t="s">
        <v>225</v>
      </c>
      <c r="B147" s="294" t="s">
        <v>226</v>
      </c>
      <c r="C147" s="295">
        <v>590047.2</v>
      </c>
    </row>
    <row r="148" spans="1:3" ht="24">
      <c r="A148" s="293" t="s">
        <v>944</v>
      </c>
      <c r="B148" s="294" t="s">
        <v>945</v>
      </c>
      <c r="C148" s="295">
        <v>89340</v>
      </c>
    </row>
    <row r="149" spans="1:3" ht="24">
      <c r="A149" s="293" t="s">
        <v>405</v>
      </c>
      <c r="B149" s="294" t="s">
        <v>406</v>
      </c>
      <c r="C149" s="295">
        <v>2652471.02</v>
      </c>
    </row>
    <row r="150" spans="1:3" ht="24">
      <c r="A150" s="293" t="s">
        <v>407</v>
      </c>
      <c r="B150" s="294" t="s">
        <v>408</v>
      </c>
      <c r="C150" s="295">
        <v>1328680</v>
      </c>
    </row>
    <row r="151" spans="1:3" ht="24">
      <c r="A151" s="293" t="s">
        <v>412</v>
      </c>
      <c r="B151" s="294" t="s">
        <v>1508</v>
      </c>
      <c r="C151" s="295">
        <v>128110</v>
      </c>
    </row>
    <row r="152" spans="1:3" ht="24">
      <c r="A152" s="293" t="s">
        <v>510</v>
      </c>
      <c r="B152" s="294" t="s">
        <v>511</v>
      </c>
      <c r="C152" s="295">
        <v>0</v>
      </c>
    </row>
    <row r="153" spans="1:3" ht="24">
      <c r="A153" s="293" t="s">
        <v>512</v>
      </c>
      <c r="B153" s="294" t="s">
        <v>1510</v>
      </c>
      <c r="C153" s="295">
        <v>3181975</v>
      </c>
    </row>
    <row r="154" spans="1:3" ht="24">
      <c r="A154" s="293" t="s">
        <v>513</v>
      </c>
      <c r="B154" s="294" t="s">
        <v>514</v>
      </c>
      <c r="C154" s="295">
        <v>559000</v>
      </c>
    </row>
    <row r="155" spans="1:3" ht="24">
      <c r="A155" s="293" t="s">
        <v>515</v>
      </c>
      <c r="B155" s="294" t="s">
        <v>1511</v>
      </c>
      <c r="C155" s="295">
        <v>4716462.79</v>
      </c>
    </row>
    <row r="156" spans="1:3" ht="24">
      <c r="A156" s="293" t="s">
        <v>516</v>
      </c>
      <c r="B156" s="294" t="s">
        <v>1512</v>
      </c>
      <c r="C156" s="295">
        <v>1179858.36</v>
      </c>
    </row>
    <row r="157" spans="1:3" ht="24">
      <c r="A157" s="293" t="s">
        <v>519</v>
      </c>
      <c r="B157" s="294" t="s">
        <v>520</v>
      </c>
      <c r="C157" s="295">
        <v>115272.49</v>
      </c>
    </row>
    <row r="158" spans="1:3" ht="24">
      <c r="A158" s="293" t="s">
        <v>946</v>
      </c>
      <c r="B158" s="298" t="s">
        <v>947</v>
      </c>
      <c r="C158" s="295">
        <v>0</v>
      </c>
    </row>
    <row r="159" spans="1:3" ht="24">
      <c r="A159" s="293" t="s">
        <v>954</v>
      </c>
      <c r="B159" s="294" t="s">
        <v>955</v>
      </c>
      <c r="C159" s="295">
        <v>24400000</v>
      </c>
    </row>
    <row r="160" spans="1:3" ht="24">
      <c r="A160" s="293" t="s">
        <v>956</v>
      </c>
      <c r="B160" s="294" t="s">
        <v>957</v>
      </c>
      <c r="C160" s="295">
        <v>1200000</v>
      </c>
    </row>
    <row r="161" spans="1:3" ht="24">
      <c r="A161" s="293" t="s">
        <v>960</v>
      </c>
      <c r="B161" s="294" t="s">
        <v>961</v>
      </c>
      <c r="C161" s="295">
        <v>50000</v>
      </c>
    </row>
    <row r="162" spans="1:3" ht="24">
      <c r="A162" s="293" t="s">
        <v>964</v>
      </c>
      <c r="B162" s="294" t="s">
        <v>271</v>
      </c>
      <c r="C162" s="295">
        <v>1800000</v>
      </c>
    </row>
    <row r="163" spans="1:3" ht="24">
      <c r="A163" s="293" t="s">
        <v>965</v>
      </c>
      <c r="B163" s="294" t="s">
        <v>272</v>
      </c>
      <c r="C163" s="295">
        <v>840000</v>
      </c>
    </row>
    <row r="164" spans="1:3" ht="24">
      <c r="A164" s="293" t="s">
        <v>966</v>
      </c>
      <c r="B164" s="294" t="s">
        <v>273</v>
      </c>
      <c r="C164" s="295">
        <v>660000</v>
      </c>
    </row>
    <row r="165" spans="1:3" ht="24">
      <c r="A165" s="293" t="s">
        <v>969</v>
      </c>
      <c r="B165" s="294" t="s">
        <v>276</v>
      </c>
      <c r="C165" s="295">
        <v>126000</v>
      </c>
    </row>
    <row r="166" spans="1:3" ht="24">
      <c r="A166" s="293" t="s">
        <v>413</v>
      </c>
      <c r="B166" s="294" t="s">
        <v>414</v>
      </c>
      <c r="C166" s="315">
        <f>2979519.96+1002951.84</f>
        <v>3982471.8</v>
      </c>
    </row>
    <row r="167" spans="1:3" ht="24">
      <c r="A167" s="293" t="s">
        <v>415</v>
      </c>
      <c r="B167" s="294" t="s">
        <v>416</v>
      </c>
      <c r="C167" s="315">
        <v>2581996.08</v>
      </c>
    </row>
    <row r="168" spans="1:3" ht="24">
      <c r="A168" s="297" t="s">
        <v>417</v>
      </c>
      <c r="B168" s="37" t="s">
        <v>418</v>
      </c>
      <c r="C168" s="315">
        <v>64883.16</v>
      </c>
    </row>
    <row r="169" spans="1:3" ht="24">
      <c r="A169" s="297" t="s">
        <v>419</v>
      </c>
      <c r="B169" s="37" t="s">
        <v>420</v>
      </c>
      <c r="C169" s="315">
        <v>0</v>
      </c>
    </row>
    <row r="170" spans="1:3" ht="24">
      <c r="A170" s="297" t="s">
        <v>421</v>
      </c>
      <c r="B170" s="37" t="s">
        <v>422</v>
      </c>
      <c r="C170" s="315">
        <v>12062.16</v>
      </c>
    </row>
    <row r="171" spans="1:3" ht="24">
      <c r="A171" s="293" t="s">
        <v>423</v>
      </c>
      <c r="B171" s="294" t="s">
        <v>424</v>
      </c>
      <c r="C171" s="315">
        <v>553141.596</v>
      </c>
    </row>
    <row r="172" spans="1:3" ht="24">
      <c r="A172" s="293" t="s">
        <v>425</v>
      </c>
      <c r="B172" s="294" t="s">
        <v>426</v>
      </c>
      <c r="C172" s="315">
        <v>1126.7640000000001</v>
      </c>
    </row>
    <row r="173" spans="1:3" ht="24">
      <c r="A173" s="293" t="s">
        <v>431</v>
      </c>
      <c r="B173" s="294" t="s">
        <v>432</v>
      </c>
      <c r="C173" s="315">
        <v>2161.764</v>
      </c>
    </row>
    <row r="174" spans="1:3" ht="24">
      <c r="A174" s="293" t="s">
        <v>433</v>
      </c>
      <c r="B174" s="294" t="s">
        <v>434</v>
      </c>
      <c r="C174" s="315">
        <v>400942.32</v>
      </c>
    </row>
    <row r="175" spans="1:3" ht="24">
      <c r="A175" s="293" t="s">
        <v>435</v>
      </c>
      <c r="B175" s="294" t="s">
        <v>436</v>
      </c>
      <c r="C175" s="315">
        <v>781422.648</v>
      </c>
    </row>
    <row r="176" spans="1:3" ht="24">
      <c r="A176" s="293" t="s">
        <v>437</v>
      </c>
      <c r="B176" s="294" t="s">
        <v>438</v>
      </c>
      <c r="C176" s="315">
        <v>28110.852</v>
      </c>
    </row>
    <row r="177" spans="1:3" ht="24">
      <c r="A177" s="293" t="s">
        <v>439</v>
      </c>
      <c r="B177" s="294" t="s">
        <v>440</v>
      </c>
      <c r="C177" s="315">
        <v>792.78</v>
      </c>
    </row>
    <row r="178" spans="1:3" ht="24">
      <c r="A178" s="293" t="s">
        <v>443</v>
      </c>
      <c r="B178" s="294" t="s">
        <v>444</v>
      </c>
      <c r="C178" s="315">
        <v>1875230.5200000003</v>
      </c>
    </row>
    <row r="179" spans="1:3" ht="24">
      <c r="A179" s="293" t="s">
        <v>445</v>
      </c>
      <c r="B179" s="294" t="s">
        <v>446</v>
      </c>
      <c r="C179" s="315">
        <v>185298.696</v>
      </c>
    </row>
    <row r="180" spans="1:3" ht="24">
      <c r="A180" s="293" t="s">
        <v>447</v>
      </c>
      <c r="B180" s="294" t="s">
        <v>448</v>
      </c>
      <c r="C180" s="315">
        <v>571.7040000000001</v>
      </c>
    </row>
    <row r="181" spans="1:3" ht="24">
      <c r="A181" s="293" t="s">
        <v>449</v>
      </c>
      <c r="B181" s="294" t="s">
        <v>450</v>
      </c>
      <c r="C181" s="315">
        <v>3975071.0760000004</v>
      </c>
    </row>
    <row r="182" spans="1:3" ht="24">
      <c r="A182" s="293" t="s">
        <v>457</v>
      </c>
      <c r="B182" s="294" t="s">
        <v>458</v>
      </c>
      <c r="C182" s="315">
        <v>894255.6000000001</v>
      </c>
    </row>
    <row r="183" spans="1:3" ht="24">
      <c r="A183" s="293" t="s">
        <v>459</v>
      </c>
      <c r="B183" s="294" t="s">
        <v>460</v>
      </c>
      <c r="C183" s="315">
        <v>4276157.640000001</v>
      </c>
    </row>
    <row r="184" spans="1:3" ht="24">
      <c r="A184" s="293" t="s">
        <v>461</v>
      </c>
      <c r="B184" s="294" t="s">
        <v>462</v>
      </c>
      <c r="C184" s="315">
        <v>98018.76000000001</v>
      </c>
    </row>
    <row r="185" spans="1:3" ht="24">
      <c r="A185" s="293" t="s">
        <v>463</v>
      </c>
      <c r="B185" s="294" t="s">
        <v>464</v>
      </c>
      <c r="C185" s="315">
        <v>115722.84</v>
      </c>
    </row>
    <row r="186" spans="1:3" ht="24">
      <c r="A186" s="293" t="s">
        <v>465</v>
      </c>
      <c r="B186" s="294" t="s">
        <v>466</v>
      </c>
      <c r="C186" s="315">
        <v>0</v>
      </c>
    </row>
    <row r="187" spans="1:3" ht="24">
      <c r="A187" s="293" t="s">
        <v>469</v>
      </c>
      <c r="B187" s="294" t="s">
        <v>470</v>
      </c>
      <c r="C187" s="315">
        <v>44559.84</v>
      </c>
    </row>
    <row r="188" spans="1:3" ht="24">
      <c r="A188" s="293" t="s">
        <v>475</v>
      </c>
      <c r="B188" s="294" t="s">
        <v>476</v>
      </c>
      <c r="C188" s="315">
        <v>825266.6160000002</v>
      </c>
    </row>
    <row r="189" spans="1:3" ht="24">
      <c r="A189" s="293" t="s">
        <v>477</v>
      </c>
      <c r="B189" s="294" t="s">
        <v>478</v>
      </c>
      <c r="C189" s="315">
        <v>0</v>
      </c>
    </row>
    <row r="190" spans="1:3" ht="24">
      <c r="A190" s="293" t="s">
        <v>479</v>
      </c>
      <c r="B190" s="294" t="s">
        <v>480</v>
      </c>
      <c r="C190" s="315">
        <v>146557.704</v>
      </c>
    </row>
    <row r="191" spans="1:3" ht="24">
      <c r="A191" s="293" t="s">
        <v>481</v>
      </c>
      <c r="B191" s="294" t="s">
        <v>482</v>
      </c>
      <c r="C191" s="315">
        <v>50651.04</v>
      </c>
    </row>
    <row r="192" spans="1:3" ht="24">
      <c r="A192" s="293" t="s">
        <v>483</v>
      </c>
      <c r="B192" s="294" t="s">
        <v>484</v>
      </c>
      <c r="C192" s="315">
        <v>67028.63999999998</v>
      </c>
    </row>
    <row r="193" spans="1:3" ht="24">
      <c r="A193" s="293" t="s">
        <v>485</v>
      </c>
      <c r="B193" s="294" t="s">
        <v>486</v>
      </c>
      <c r="C193" s="315">
        <v>6027.732</v>
      </c>
    </row>
    <row r="194" spans="1:3" ht="24">
      <c r="A194" s="293" t="s">
        <v>487</v>
      </c>
      <c r="B194" s="294" t="s">
        <v>488</v>
      </c>
      <c r="C194" s="315">
        <v>15512164.428</v>
      </c>
    </row>
    <row r="195" spans="1:3" ht="24">
      <c r="A195" s="293" t="s">
        <v>489</v>
      </c>
      <c r="B195" s="294" t="s">
        <v>490</v>
      </c>
      <c r="C195" s="315">
        <v>379817.68799999997</v>
      </c>
    </row>
    <row r="196" spans="1:3" ht="24">
      <c r="A196" s="293" t="s">
        <v>491</v>
      </c>
      <c r="B196" s="294" t="s">
        <v>492</v>
      </c>
      <c r="C196" s="315">
        <v>850975.6799999999</v>
      </c>
    </row>
    <row r="197" spans="1:3" ht="24">
      <c r="A197" s="293" t="s">
        <v>493</v>
      </c>
      <c r="B197" s="294" t="s">
        <v>494</v>
      </c>
      <c r="C197" s="315">
        <v>246758.40000000002</v>
      </c>
    </row>
    <row r="198" spans="1:3" ht="24">
      <c r="A198" s="293" t="s">
        <v>495</v>
      </c>
      <c r="B198" s="298" t="s">
        <v>496</v>
      </c>
      <c r="C198" s="315">
        <v>7309.4400000000005</v>
      </c>
    </row>
    <row r="199" spans="1:3" ht="24">
      <c r="A199" s="293" t="s">
        <v>532</v>
      </c>
      <c r="B199" s="294" t="s">
        <v>1516</v>
      </c>
      <c r="C199" s="315">
        <v>0</v>
      </c>
    </row>
    <row r="200" spans="1:3" ht="24">
      <c r="A200" s="293" t="s">
        <v>537</v>
      </c>
      <c r="B200" s="294" t="s">
        <v>1521</v>
      </c>
      <c r="C200" s="315">
        <v>0</v>
      </c>
    </row>
    <row r="201" spans="1:3" ht="24">
      <c r="A201" s="293" t="s">
        <v>542</v>
      </c>
      <c r="B201" s="294" t="s">
        <v>543</v>
      </c>
      <c r="C201" s="315">
        <v>6069.6</v>
      </c>
    </row>
    <row r="202" spans="1:3" ht="24">
      <c r="A202" s="293" t="s">
        <v>546</v>
      </c>
      <c r="B202" s="294" t="s">
        <v>1526</v>
      </c>
      <c r="C202" s="315">
        <v>1711930.5840000003</v>
      </c>
    </row>
    <row r="203" spans="1:3" ht="24">
      <c r="A203" s="293" t="s">
        <v>547</v>
      </c>
      <c r="B203" s="294" t="s">
        <v>1527</v>
      </c>
      <c r="C203" s="315">
        <v>1063503.8399999999</v>
      </c>
    </row>
    <row r="204" spans="1:3" ht="24">
      <c r="A204" s="293" t="s">
        <v>548</v>
      </c>
      <c r="B204" s="294" t="s">
        <v>1528</v>
      </c>
      <c r="C204" s="315">
        <v>6874.836</v>
      </c>
    </row>
    <row r="205" spans="1:3" ht="24">
      <c r="A205" s="293" t="s">
        <v>549</v>
      </c>
      <c r="B205" s="294" t="s">
        <v>1529</v>
      </c>
      <c r="C205" s="315">
        <v>60483.564000000006</v>
      </c>
    </row>
    <row r="206" spans="1:3" ht="24">
      <c r="A206" s="293" t="s">
        <v>550</v>
      </c>
      <c r="B206" s="294" t="s">
        <v>1530</v>
      </c>
      <c r="C206" s="315">
        <v>18033.96</v>
      </c>
    </row>
    <row r="207" spans="1:3" ht="24">
      <c r="A207" s="293" t="s">
        <v>551</v>
      </c>
      <c r="B207" s="294" t="s">
        <v>1531</v>
      </c>
      <c r="C207" s="315">
        <v>58897.44</v>
      </c>
    </row>
    <row r="208" spans="1:3" ht="24">
      <c r="A208" s="293" t="s">
        <v>552</v>
      </c>
      <c r="B208" s="294" t="s">
        <v>1532</v>
      </c>
      <c r="C208" s="315">
        <v>223024.08000000002</v>
      </c>
    </row>
    <row r="209" spans="1:3" ht="24">
      <c r="A209" s="293" t="s">
        <v>553</v>
      </c>
      <c r="B209" s="294" t="s">
        <v>1533</v>
      </c>
      <c r="C209" s="315">
        <v>176275.668</v>
      </c>
    </row>
    <row r="210" spans="1:3" ht="24">
      <c r="A210" s="293" t="s">
        <v>554</v>
      </c>
      <c r="B210" s="294" t="s">
        <v>555</v>
      </c>
      <c r="C210" s="295"/>
    </row>
    <row r="211" spans="1:3" ht="24">
      <c r="A211" s="293" t="s">
        <v>566</v>
      </c>
      <c r="B211" s="294" t="s">
        <v>567</v>
      </c>
      <c r="C211" s="295"/>
    </row>
    <row r="212" spans="1:3" ht="24">
      <c r="A212" s="293" t="s">
        <v>576</v>
      </c>
      <c r="B212" s="294" t="s">
        <v>577</v>
      </c>
      <c r="C212" s="295"/>
    </row>
    <row r="213" spans="1:3" ht="24">
      <c r="A213" s="293" t="s">
        <v>599</v>
      </c>
      <c r="B213" s="294" t="s">
        <v>600</v>
      </c>
      <c r="C213" s="295">
        <v>1860000</v>
      </c>
    </row>
    <row r="214" spans="1:3" ht="24">
      <c r="A214" s="293" t="s">
        <v>603</v>
      </c>
      <c r="B214" s="294" t="s">
        <v>604</v>
      </c>
      <c r="C214" s="295">
        <v>0</v>
      </c>
    </row>
    <row r="215" spans="1:3" ht="24">
      <c r="A215" s="293" t="s">
        <v>606</v>
      </c>
      <c r="B215" s="294" t="s">
        <v>1537</v>
      </c>
      <c r="C215" s="295"/>
    </row>
    <row r="216" spans="1:3" ht="24">
      <c r="A216" s="293" t="s">
        <v>619</v>
      </c>
      <c r="B216" s="294" t="s">
        <v>620</v>
      </c>
      <c r="C216" s="295"/>
    </row>
    <row r="217" spans="1:3" ht="24">
      <c r="A217" s="293"/>
      <c r="B217" s="294"/>
      <c r="C217" s="295">
        <f>SUM(C2:C216)</f>
        <v>703529478.2458106</v>
      </c>
    </row>
    <row r="218" spans="1:3" ht="24">
      <c r="A218" s="293"/>
      <c r="B218" s="294"/>
      <c r="C218" s="295"/>
    </row>
    <row r="219" spans="1:3" ht="24">
      <c r="A219" s="293"/>
      <c r="B219" s="294"/>
      <c r="C219" s="295"/>
    </row>
    <row r="220" spans="1:3" ht="24">
      <c r="A220" s="293"/>
      <c r="B220" s="294"/>
      <c r="C220" s="295"/>
    </row>
    <row r="221" spans="1:3" ht="24">
      <c r="A221" s="293"/>
      <c r="B221" s="294"/>
      <c r="C221" s="295"/>
    </row>
    <row r="222" spans="1:3" ht="24">
      <c r="A222" s="293"/>
      <c r="B222" s="294"/>
      <c r="C222" s="295"/>
    </row>
    <row r="223" spans="1:3" ht="24">
      <c r="A223" s="293"/>
      <c r="B223" s="294"/>
      <c r="C223" s="295"/>
    </row>
    <row r="224" spans="1:3" ht="24">
      <c r="A224" s="293"/>
      <c r="B224" s="294"/>
      <c r="C224" s="295"/>
    </row>
    <row r="225" spans="1:3" ht="24">
      <c r="A225" s="293"/>
      <c r="B225" s="294"/>
      <c r="C225" s="295"/>
    </row>
    <row r="226" spans="1:3" ht="24">
      <c r="A226" s="293"/>
      <c r="B226" s="294"/>
      <c r="C226" s="295"/>
    </row>
    <row r="227" spans="1:3" ht="24">
      <c r="A227" s="293"/>
      <c r="B227" s="294"/>
      <c r="C227" s="295"/>
    </row>
    <row r="228" spans="1:3" ht="24">
      <c r="A228" s="293"/>
      <c r="B228" s="294"/>
      <c r="C228" s="295"/>
    </row>
    <row r="229" spans="1:3" ht="24">
      <c r="A229" s="293"/>
      <c r="B229" s="294"/>
      <c r="C229" s="295"/>
    </row>
    <row r="230" spans="1:3" ht="24">
      <c r="A230" s="293"/>
      <c r="B230" s="294"/>
      <c r="C230" s="295"/>
    </row>
    <row r="231" spans="1:3" ht="24">
      <c r="A231" s="293"/>
      <c r="B231" s="294"/>
      <c r="C231" s="295"/>
    </row>
    <row r="232" spans="1:3" ht="24">
      <c r="A232" s="293"/>
      <c r="B232" s="294"/>
      <c r="C232" s="295"/>
    </row>
    <row r="233" spans="1:3" ht="24">
      <c r="A233" s="293"/>
      <c r="B233" s="294"/>
      <c r="C233" s="295"/>
    </row>
    <row r="234" spans="1:3" ht="24">
      <c r="A234" s="293"/>
      <c r="B234" s="294"/>
      <c r="C234" s="295"/>
    </row>
    <row r="235" spans="1:3" ht="24">
      <c r="A235" s="293"/>
      <c r="B235" s="294"/>
      <c r="C235" s="295"/>
    </row>
    <row r="236" spans="1:3" ht="24">
      <c r="A236" s="293"/>
      <c r="B236" s="294"/>
      <c r="C236" s="295"/>
    </row>
    <row r="237" spans="1:3" ht="24">
      <c r="A237" s="293"/>
      <c r="B237" s="294"/>
      <c r="C237" s="295"/>
    </row>
    <row r="238" spans="1:3" ht="24">
      <c r="A238" s="293"/>
      <c r="B238" s="294"/>
      <c r="C238" s="295"/>
    </row>
    <row r="239" spans="1:3" ht="24">
      <c r="A239" s="293"/>
      <c r="B239" s="294"/>
      <c r="C239" s="295"/>
    </row>
    <row r="240" spans="1:3" ht="24">
      <c r="A240" s="293"/>
      <c r="B240" s="294"/>
      <c r="C240" s="295"/>
    </row>
    <row r="241" spans="1:3" ht="24">
      <c r="A241" s="293"/>
      <c r="B241" s="294"/>
      <c r="C241" s="295"/>
    </row>
    <row r="242" spans="1:3" ht="24">
      <c r="A242" s="293"/>
      <c r="B242" s="294"/>
      <c r="C242" s="295"/>
    </row>
    <row r="243" spans="1:3" ht="24">
      <c r="A243" s="293"/>
      <c r="B243" s="294"/>
      <c r="C243" s="295"/>
    </row>
    <row r="244" spans="1:3" ht="24">
      <c r="A244" s="293"/>
      <c r="B244" s="294"/>
      <c r="C244" s="295"/>
    </row>
    <row r="245" spans="1:3" ht="24">
      <c r="A245" s="293"/>
      <c r="B245" s="294"/>
      <c r="C245" s="295"/>
    </row>
    <row r="246" spans="1:3" ht="24">
      <c r="A246" s="293"/>
      <c r="B246" s="294"/>
      <c r="C246" s="295"/>
    </row>
    <row r="247" spans="1:3" ht="24">
      <c r="A247" s="293"/>
      <c r="B247" s="294"/>
      <c r="C247" s="295"/>
    </row>
    <row r="248" spans="1:3" ht="24">
      <c r="A248" s="293"/>
      <c r="B248" s="294"/>
      <c r="C248" s="295"/>
    </row>
    <row r="249" spans="1:3" ht="24">
      <c r="A249" s="293"/>
      <c r="B249" s="294"/>
      <c r="C249" s="295"/>
    </row>
    <row r="250" spans="1:3" ht="24">
      <c r="A250" s="293"/>
      <c r="B250" s="294"/>
      <c r="C250" s="295"/>
    </row>
    <row r="251" spans="1:3" ht="24">
      <c r="A251" s="293"/>
      <c r="B251" s="294"/>
      <c r="C251" s="295"/>
    </row>
    <row r="252" spans="1:3" ht="24">
      <c r="A252" s="293"/>
      <c r="B252" s="294"/>
      <c r="C252" s="295"/>
    </row>
    <row r="253" spans="1:3" ht="24">
      <c r="A253" s="293"/>
      <c r="B253" s="294"/>
      <c r="C253" s="295"/>
    </row>
    <row r="254" spans="1:3" ht="24">
      <c r="A254" s="293"/>
      <c r="B254" s="294"/>
      <c r="C254" s="295"/>
    </row>
    <row r="255" spans="1:3" ht="24">
      <c r="A255" s="293"/>
      <c r="B255" s="294"/>
      <c r="C255" s="295"/>
    </row>
    <row r="256" spans="1:3" ht="24">
      <c r="A256" s="293"/>
      <c r="B256" s="294"/>
      <c r="C256" s="295"/>
    </row>
    <row r="257" spans="1:3" ht="24">
      <c r="A257" s="293"/>
      <c r="B257" s="294"/>
      <c r="C257" s="295"/>
    </row>
    <row r="258" spans="1:3" ht="24">
      <c r="A258" s="293"/>
      <c r="B258" s="294"/>
      <c r="C258" s="295"/>
    </row>
    <row r="259" spans="1:3" ht="24">
      <c r="A259" s="293"/>
      <c r="B259" s="294"/>
      <c r="C259" s="295"/>
    </row>
    <row r="260" spans="1:3" ht="24">
      <c r="A260" s="293"/>
      <c r="B260" s="294"/>
      <c r="C260" s="295"/>
    </row>
    <row r="261" spans="1:3" ht="24">
      <c r="A261" s="293"/>
      <c r="B261" s="294"/>
      <c r="C261" s="295"/>
    </row>
    <row r="262" spans="1:3" ht="24">
      <c r="A262" s="293"/>
      <c r="B262" s="294"/>
      <c r="C262" s="295"/>
    </row>
    <row r="263" spans="1:3" ht="24">
      <c r="A263" s="293"/>
      <c r="B263" s="294"/>
      <c r="C263" s="295"/>
    </row>
    <row r="264" spans="1:3" ht="24">
      <c r="A264" s="293"/>
      <c r="B264" s="294"/>
      <c r="C264" s="295"/>
    </row>
    <row r="265" spans="1:3" ht="24">
      <c r="A265" s="293"/>
      <c r="B265" s="294"/>
      <c r="C265" s="295"/>
    </row>
    <row r="266" spans="1:3" ht="24">
      <c r="A266" s="293"/>
      <c r="B266" s="294"/>
      <c r="C266" s="295"/>
    </row>
    <row r="267" spans="1:3" ht="24">
      <c r="A267" s="293"/>
      <c r="B267" s="294"/>
      <c r="C267" s="295"/>
    </row>
    <row r="268" spans="1:3" ht="24">
      <c r="A268" s="293"/>
      <c r="B268" s="294"/>
      <c r="C268" s="295"/>
    </row>
    <row r="269" spans="1:3" ht="24">
      <c r="A269" s="293"/>
      <c r="B269" s="294"/>
      <c r="C269" s="295"/>
    </row>
    <row r="270" spans="1:3" ht="24">
      <c r="A270" s="293"/>
      <c r="B270" s="294"/>
      <c r="C270" s="295"/>
    </row>
    <row r="271" spans="1:3" ht="24">
      <c r="A271" s="293"/>
      <c r="B271" s="294"/>
      <c r="C271" s="295"/>
    </row>
    <row r="272" spans="1:3" ht="24">
      <c r="A272" s="293"/>
      <c r="B272" s="299"/>
      <c r="C272" s="295"/>
    </row>
    <row r="273" spans="1:3" ht="24">
      <c r="A273" s="293"/>
      <c r="B273" s="298"/>
      <c r="C273" s="295"/>
    </row>
    <row r="274" spans="1:3" ht="24">
      <c r="A274" s="293"/>
      <c r="B274" s="298"/>
      <c r="C274" s="295"/>
    </row>
    <row r="275" spans="1:3" ht="24">
      <c r="A275" s="293"/>
      <c r="B275" s="299"/>
      <c r="C275" s="295"/>
    </row>
    <row r="276" spans="1:3" ht="24">
      <c r="A276" s="293"/>
      <c r="B276" s="298"/>
      <c r="C276" s="295"/>
    </row>
    <row r="277" spans="1:3" ht="24">
      <c r="A277" s="293"/>
      <c r="B277" s="294"/>
      <c r="C277" s="295"/>
    </row>
    <row r="278" spans="1:3" ht="24">
      <c r="A278" s="293"/>
      <c r="B278" s="294"/>
      <c r="C278" s="295"/>
    </row>
    <row r="279" spans="1:3" ht="24">
      <c r="A279" s="293"/>
      <c r="B279" s="294"/>
      <c r="C279" s="295"/>
    </row>
    <row r="280" spans="1:3" ht="24">
      <c r="A280" s="293"/>
      <c r="B280" s="294"/>
      <c r="C280" s="295"/>
    </row>
    <row r="281" spans="1:3" ht="24">
      <c r="A281" s="293"/>
      <c r="B281" s="294"/>
      <c r="C281" s="295"/>
    </row>
    <row r="282" spans="1:3" ht="24">
      <c r="A282" s="293"/>
      <c r="B282" s="294"/>
      <c r="C282" s="295"/>
    </row>
    <row r="283" spans="1:3" ht="24">
      <c r="A283" s="293"/>
      <c r="B283" s="294"/>
      <c r="C283" s="295"/>
    </row>
    <row r="284" spans="1:3" ht="24">
      <c r="A284" s="293"/>
      <c r="B284" s="294"/>
      <c r="C284" s="295"/>
    </row>
    <row r="285" spans="1:3" ht="24">
      <c r="A285" s="293"/>
      <c r="B285" s="294"/>
      <c r="C285" s="295"/>
    </row>
    <row r="286" spans="1:3" ht="24">
      <c r="A286" s="293"/>
      <c r="B286" s="294"/>
      <c r="C286" s="295"/>
    </row>
    <row r="287" spans="1:3" ht="24">
      <c r="A287" s="293"/>
      <c r="B287" s="294"/>
      <c r="C287" s="295"/>
    </row>
    <row r="288" spans="1:3" ht="24">
      <c r="A288" s="293"/>
      <c r="B288" s="294"/>
      <c r="C288" s="295"/>
    </row>
    <row r="289" spans="1:3" ht="24">
      <c r="A289" s="293"/>
      <c r="B289" s="294"/>
      <c r="C289" s="295"/>
    </row>
    <row r="290" spans="1:3" ht="24">
      <c r="A290" s="293"/>
      <c r="B290" s="294"/>
      <c r="C290" s="295"/>
    </row>
    <row r="291" spans="1:3" ht="24">
      <c r="A291" s="293"/>
      <c r="B291" s="294"/>
      <c r="C291" s="295"/>
    </row>
    <row r="292" spans="1:3" ht="24">
      <c r="A292" s="293"/>
      <c r="B292" s="294"/>
      <c r="C292" s="295"/>
    </row>
    <row r="293" spans="1:3" ht="24">
      <c r="A293" s="293"/>
      <c r="B293" s="294"/>
      <c r="C293" s="295"/>
    </row>
    <row r="294" spans="1:3" ht="24">
      <c r="A294" s="293"/>
      <c r="B294" s="294"/>
      <c r="C294" s="295"/>
    </row>
    <row r="295" spans="1:3" ht="24">
      <c r="A295" s="293"/>
      <c r="B295" s="294"/>
      <c r="C295" s="295"/>
    </row>
    <row r="296" spans="1:3" ht="24">
      <c r="A296" s="293"/>
      <c r="B296" s="294"/>
      <c r="C296" s="295"/>
    </row>
    <row r="297" spans="1:3" ht="24">
      <c r="A297" s="293"/>
      <c r="B297" s="294"/>
      <c r="C297" s="295"/>
    </row>
    <row r="298" spans="1:3" ht="24">
      <c r="A298" s="293"/>
      <c r="B298" s="294"/>
      <c r="C298" s="295"/>
    </row>
    <row r="299" spans="1:3" ht="24">
      <c r="A299" s="293"/>
      <c r="B299" s="294"/>
      <c r="C299" s="295"/>
    </row>
    <row r="300" spans="1:3" ht="24">
      <c r="A300" s="293"/>
      <c r="B300" s="300"/>
      <c r="C300" s="295"/>
    </row>
    <row r="301" spans="1:3" ht="24">
      <c r="A301" s="293"/>
      <c r="B301" s="294"/>
      <c r="C301" s="295"/>
    </row>
    <row r="302" spans="1:3" ht="24">
      <c r="A302" s="293"/>
      <c r="B302" s="294"/>
      <c r="C302" s="295"/>
    </row>
    <row r="303" spans="1:3" ht="24">
      <c r="A303" s="293"/>
      <c r="B303" s="294"/>
      <c r="C303" s="295"/>
    </row>
    <row r="304" spans="1:3" ht="24">
      <c r="A304" s="293"/>
      <c r="B304" s="294"/>
      <c r="C304" s="295"/>
    </row>
    <row r="305" spans="1:3" ht="24">
      <c r="A305" s="293"/>
      <c r="B305" s="294"/>
      <c r="C305" s="295"/>
    </row>
    <row r="306" spans="1:3" ht="24">
      <c r="A306" s="293"/>
      <c r="B306" s="294"/>
      <c r="C306" s="295"/>
    </row>
    <row r="307" spans="1:3" ht="24">
      <c r="A307" s="293"/>
      <c r="B307" s="294"/>
      <c r="C307" s="295"/>
    </row>
    <row r="308" spans="1:3" ht="24">
      <c r="A308" s="293"/>
      <c r="B308" s="294"/>
      <c r="C308" s="295"/>
    </row>
    <row r="309" spans="1:3" ht="24">
      <c r="A309" s="293"/>
      <c r="B309" s="294"/>
      <c r="C309" s="295"/>
    </row>
    <row r="310" spans="1:3" ht="24">
      <c r="A310" s="293"/>
      <c r="B310" s="294"/>
      <c r="C310" s="295"/>
    </row>
    <row r="311" spans="1:3" ht="24">
      <c r="A311" s="293"/>
      <c r="B311" s="294"/>
      <c r="C311" s="295"/>
    </row>
    <row r="312" spans="1:3" ht="24">
      <c r="A312" s="293"/>
      <c r="B312" s="294"/>
      <c r="C312" s="295"/>
    </row>
    <row r="313" spans="1:3" ht="24">
      <c r="A313" s="293"/>
      <c r="B313" s="294"/>
      <c r="C313" s="295"/>
    </row>
    <row r="314" spans="1:3" ht="24">
      <c r="A314" s="293"/>
      <c r="B314" s="294"/>
      <c r="C314" s="295"/>
    </row>
    <row r="315" spans="1:3" ht="24">
      <c r="A315" s="293"/>
      <c r="B315" s="294"/>
      <c r="C315" s="295"/>
    </row>
    <row r="316" spans="1:3" ht="24">
      <c r="A316" s="293"/>
      <c r="B316" s="294"/>
      <c r="C316" s="295"/>
    </row>
    <row r="317" spans="1:3" ht="24">
      <c r="A317" s="293"/>
      <c r="B317" s="294"/>
      <c r="C317" s="295"/>
    </row>
    <row r="318" spans="1:3" ht="24">
      <c r="A318" s="293"/>
      <c r="B318" s="294"/>
      <c r="C318" s="295"/>
    </row>
    <row r="319" spans="1:3" ht="24">
      <c r="A319" s="293"/>
      <c r="B319" s="294"/>
      <c r="C319" s="295"/>
    </row>
    <row r="320" spans="1:3" ht="24">
      <c r="A320" s="293"/>
      <c r="B320" s="294"/>
      <c r="C320" s="295"/>
    </row>
    <row r="321" spans="1:3" ht="24">
      <c r="A321" s="293"/>
      <c r="B321" s="294"/>
      <c r="C321" s="295"/>
    </row>
    <row r="322" spans="1:3" ht="24">
      <c r="A322" s="293"/>
      <c r="B322" s="294"/>
      <c r="C322" s="295"/>
    </row>
    <row r="323" spans="1:3" ht="24">
      <c r="A323" s="293"/>
      <c r="B323" s="294"/>
      <c r="C323" s="295"/>
    </row>
    <row r="324" spans="1:3" ht="24">
      <c r="A324" s="301"/>
      <c r="B324" s="302"/>
      <c r="C324" s="295"/>
    </row>
    <row r="325" spans="1:3" ht="24">
      <c r="A325" s="301"/>
      <c r="B325" s="302"/>
      <c r="C325" s="295"/>
    </row>
    <row r="326" spans="1:3" ht="24">
      <c r="A326" s="301"/>
      <c r="B326" s="302"/>
      <c r="C326" s="295"/>
    </row>
    <row r="327" spans="1:3" ht="24">
      <c r="A327" s="301"/>
      <c r="B327" s="302"/>
      <c r="C327" s="295"/>
    </row>
    <row r="328" spans="1:3" ht="24">
      <c r="A328" s="301"/>
      <c r="B328" s="302"/>
      <c r="C328" s="295"/>
    </row>
    <row r="329" spans="1:3" ht="24">
      <c r="A329" s="301"/>
      <c r="B329" s="302"/>
      <c r="C329" s="295"/>
    </row>
    <row r="330" spans="1:3" ht="24">
      <c r="A330" s="301"/>
      <c r="B330" s="302"/>
      <c r="C330" s="295"/>
    </row>
    <row r="331" spans="1:3" ht="24">
      <c r="A331" s="301"/>
      <c r="B331" s="303"/>
      <c r="C331" s="295"/>
    </row>
    <row r="332" spans="1:3" ht="24">
      <c r="A332" s="301"/>
      <c r="B332" s="304"/>
      <c r="C332" s="295"/>
    </row>
    <row r="333" spans="1:3" ht="24">
      <c r="A333" s="301"/>
      <c r="B333" s="304"/>
      <c r="C333" s="295"/>
    </row>
    <row r="334" spans="1:3" ht="24">
      <c r="A334" s="301"/>
      <c r="B334" s="304"/>
      <c r="C334" s="295"/>
    </row>
    <row r="335" spans="1:3" ht="24">
      <c r="A335" s="293"/>
      <c r="B335" s="294"/>
      <c r="C335" s="295"/>
    </row>
    <row r="336" spans="1:3" ht="24">
      <c r="A336" s="293"/>
      <c r="B336" s="294"/>
      <c r="C336" s="295"/>
    </row>
    <row r="337" spans="1:3" ht="24">
      <c r="A337" s="293"/>
      <c r="B337" s="294"/>
      <c r="C337" s="295"/>
    </row>
    <row r="338" spans="1:3" ht="24">
      <c r="A338" s="293"/>
      <c r="B338" s="294"/>
      <c r="C338" s="295"/>
    </row>
    <row r="339" spans="1:3" ht="24">
      <c r="A339" s="293"/>
      <c r="B339" s="294"/>
      <c r="C339" s="295"/>
    </row>
    <row r="340" spans="1:3" ht="24">
      <c r="A340" s="293"/>
      <c r="B340" s="294"/>
      <c r="C340" s="295"/>
    </row>
    <row r="341" spans="1:3" ht="24">
      <c r="A341" s="293"/>
      <c r="B341" s="294"/>
      <c r="C341" s="295"/>
    </row>
    <row r="342" spans="1:3" ht="24">
      <c r="A342" s="293"/>
      <c r="B342" s="294"/>
      <c r="C342" s="295"/>
    </row>
    <row r="343" spans="1:3" ht="24">
      <c r="A343" s="293"/>
      <c r="B343" s="294"/>
      <c r="C343" s="295"/>
    </row>
    <row r="344" spans="1:3" ht="24">
      <c r="A344" s="293"/>
      <c r="B344" s="305"/>
      <c r="C344" s="295"/>
    </row>
    <row r="345" spans="1:3" ht="24">
      <c r="A345" s="293"/>
      <c r="B345" s="294"/>
      <c r="C345" s="295"/>
    </row>
    <row r="346" spans="1:3" ht="24">
      <c r="A346" s="293"/>
      <c r="B346" s="294"/>
      <c r="C346" s="295"/>
    </row>
    <row r="347" spans="1:3" ht="24">
      <c r="A347" s="293"/>
      <c r="B347" s="294"/>
      <c r="C347" s="295"/>
    </row>
    <row r="348" spans="1:3" ht="24">
      <c r="A348" s="293"/>
      <c r="B348" s="294"/>
      <c r="C348" s="295"/>
    </row>
    <row r="349" spans="1:3" ht="24">
      <c r="A349" s="293"/>
      <c r="B349" s="294"/>
      <c r="C349" s="295"/>
    </row>
    <row r="350" spans="1:3" ht="24">
      <c r="A350" s="293"/>
      <c r="B350" s="294"/>
      <c r="C350" s="295"/>
    </row>
    <row r="351" spans="1:3" ht="24">
      <c r="A351" s="293"/>
      <c r="B351" s="294"/>
      <c r="C351" s="295"/>
    </row>
    <row r="352" spans="1:3" ht="24">
      <c r="A352" s="297"/>
      <c r="B352" s="37"/>
      <c r="C352" s="295"/>
    </row>
    <row r="353" spans="1:3" ht="24">
      <c r="A353" s="293"/>
      <c r="B353" s="294"/>
      <c r="C353" s="295"/>
    </row>
    <row r="354" spans="1:3" ht="24">
      <c r="A354" s="293"/>
      <c r="B354" s="294"/>
      <c r="C354" s="295"/>
    </row>
    <row r="355" spans="1:3" ht="24">
      <c r="A355" s="293"/>
      <c r="B355" s="294"/>
      <c r="C355" s="295"/>
    </row>
    <row r="356" spans="1:3" ht="24">
      <c r="A356" s="293"/>
      <c r="B356" s="294"/>
      <c r="C356" s="295"/>
    </row>
    <row r="357" spans="1:3" ht="24">
      <c r="A357" s="293"/>
      <c r="B357" s="294"/>
      <c r="C357" s="295"/>
    </row>
    <row r="358" spans="1:3" ht="24">
      <c r="A358" s="293"/>
      <c r="B358" s="294"/>
      <c r="C358" s="295"/>
    </row>
    <row r="359" spans="1:3" ht="24">
      <c r="A359" s="293"/>
      <c r="B359" s="294"/>
      <c r="C359" s="295"/>
    </row>
    <row r="360" spans="1:3" ht="24">
      <c r="A360" s="293"/>
      <c r="B360" s="294"/>
      <c r="C360" s="295"/>
    </row>
    <row r="361" spans="1:3" ht="24">
      <c r="A361" s="293"/>
      <c r="B361" s="294"/>
      <c r="C361" s="295"/>
    </row>
    <row r="362" spans="1:3" ht="24">
      <c r="A362" s="293"/>
      <c r="B362" s="294"/>
      <c r="C362" s="295"/>
    </row>
    <row r="363" spans="1:3" ht="24">
      <c r="A363" s="293"/>
      <c r="B363" s="294"/>
      <c r="C363" s="295"/>
    </row>
    <row r="364" spans="1:3" ht="24">
      <c r="A364" s="293"/>
      <c r="B364" s="294"/>
      <c r="C364" s="295"/>
    </row>
    <row r="365" spans="1:3" ht="24">
      <c r="A365" s="293"/>
      <c r="B365" s="294"/>
      <c r="C365" s="295"/>
    </row>
    <row r="366" spans="1:3" ht="24">
      <c r="A366" s="293"/>
      <c r="B366" s="294"/>
      <c r="C366" s="295"/>
    </row>
    <row r="367" spans="1:3" ht="24">
      <c r="A367" s="293"/>
      <c r="B367" s="294"/>
      <c r="C367" s="295"/>
    </row>
    <row r="368" spans="1:3" ht="24">
      <c r="A368" s="293"/>
      <c r="B368" s="294"/>
      <c r="C368" s="295"/>
    </row>
    <row r="369" spans="1:3" ht="24">
      <c r="A369" s="293"/>
      <c r="B369" s="294"/>
      <c r="C369" s="295"/>
    </row>
    <row r="370" spans="1:3" ht="24">
      <c r="A370" s="293"/>
      <c r="B370" s="294"/>
      <c r="C370" s="295"/>
    </row>
    <row r="371" spans="1:3" ht="24">
      <c r="A371" s="293"/>
      <c r="B371" s="294"/>
      <c r="C371" s="295"/>
    </row>
    <row r="372" spans="1:3" ht="24">
      <c r="A372" s="293"/>
      <c r="B372" s="294"/>
      <c r="C372" s="295"/>
    </row>
    <row r="373" spans="1:3" ht="24">
      <c r="A373" s="293"/>
      <c r="B373" s="294"/>
      <c r="C373" s="295"/>
    </row>
    <row r="374" spans="1:3" ht="24">
      <c r="A374" s="293"/>
      <c r="B374" s="294"/>
      <c r="C374" s="295"/>
    </row>
    <row r="375" spans="1:3" ht="24">
      <c r="A375" s="293"/>
      <c r="B375" s="294"/>
      <c r="C375" s="295"/>
    </row>
    <row r="376" spans="1:3" ht="24">
      <c r="A376" s="293"/>
      <c r="B376" s="294"/>
      <c r="C376" s="295"/>
    </row>
    <row r="377" spans="1:3" ht="24">
      <c r="A377" s="293"/>
      <c r="B377" s="294"/>
      <c r="C377" s="295"/>
    </row>
    <row r="378" spans="1:3" ht="24">
      <c r="A378" s="293"/>
      <c r="B378" s="294"/>
      <c r="C378" s="295"/>
    </row>
    <row r="379" spans="1:3" ht="24">
      <c r="A379" s="293"/>
      <c r="B379" s="294"/>
      <c r="C379" s="295"/>
    </row>
    <row r="380" spans="1:3" ht="24">
      <c r="A380" s="293"/>
      <c r="B380" s="294"/>
      <c r="C380" s="295"/>
    </row>
    <row r="381" spans="1:3" ht="24">
      <c r="A381" s="293"/>
      <c r="B381" s="294"/>
      <c r="C381" s="295"/>
    </row>
    <row r="382" spans="1:3" ht="24">
      <c r="A382" s="293"/>
      <c r="B382" s="294"/>
      <c r="C382" s="295"/>
    </row>
    <row r="383" spans="1:3" ht="24">
      <c r="A383" s="293"/>
      <c r="B383" s="294"/>
      <c r="C383" s="295"/>
    </row>
    <row r="384" spans="1:3" ht="24">
      <c r="A384" s="293"/>
      <c r="B384" s="294"/>
      <c r="C384" s="295"/>
    </row>
    <row r="385" spans="1:3" ht="24">
      <c r="A385" s="293"/>
      <c r="B385" s="294"/>
      <c r="C385" s="295"/>
    </row>
    <row r="386" spans="1:3" ht="24">
      <c r="A386" s="293"/>
      <c r="B386" s="294"/>
      <c r="C386" s="295"/>
    </row>
    <row r="387" spans="1:3" ht="24">
      <c r="A387" s="293"/>
      <c r="B387" s="294"/>
      <c r="C387" s="295"/>
    </row>
    <row r="388" spans="1:3" ht="24">
      <c r="A388" s="293"/>
      <c r="B388" s="294"/>
      <c r="C388" s="295"/>
    </row>
    <row r="389" spans="1:3" ht="24">
      <c r="A389" s="293"/>
      <c r="B389" s="294"/>
      <c r="C389" s="295"/>
    </row>
    <row r="390" spans="1:3" ht="24">
      <c r="A390" s="293"/>
      <c r="B390" s="294"/>
      <c r="C390" s="295"/>
    </row>
    <row r="391" spans="1:3" ht="24">
      <c r="A391" s="293"/>
      <c r="B391" s="294"/>
      <c r="C391" s="295"/>
    </row>
    <row r="392" spans="1:3" ht="24">
      <c r="A392" s="293"/>
      <c r="B392" s="294"/>
      <c r="C392" s="295"/>
    </row>
    <row r="393" spans="1:3" ht="24">
      <c r="A393" s="293"/>
      <c r="B393" s="294"/>
      <c r="C393" s="295"/>
    </row>
    <row r="394" spans="1:3" ht="24">
      <c r="A394" s="293"/>
      <c r="B394" s="294"/>
      <c r="C394" s="295"/>
    </row>
    <row r="395" spans="1:3" ht="24">
      <c r="A395" s="293"/>
      <c r="B395" s="294"/>
      <c r="C395" s="295"/>
    </row>
    <row r="396" spans="1:3" ht="24">
      <c r="A396" s="293"/>
      <c r="B396" s="298"/>
      <c r="C396" s="295"/>
    </row>
    <row r="397" spans="1:3" ht="24">
      <c r="A397" s="301"/>
      <c r="B397" s="302"/>
      <c r="C397" s="295"/>
    </row>
    <row r="398" spans="1:3" ht="24">
      <c r="A398" s="301"/>
      <c r="B398" s="302"/>
      <c r="C398" s="295"/>
    </row>
    <row r="399" spans="1:3" ht="24">
      <c r="A399" s="293"/>
      <c r="B399" s="298"/>
      <c r="C399" s="295"/>
    </row>
    <row r="400" spans="1:3" ht="24">
      <c r="A400" s="293"/>
      <c r="B400" s="294"/>
      <c r="C400" s="295"/>
    </row>
    <row r="401" spans="1:3" ht="24">
      <c r="A401" s="293"/>
      <c r="B401" s="294"/>
      <c r="C401" s="295"/>
    </row>
    <row r="402" spans="1:3" ht="24">
      <c r="A402" s="293"/>
      <c r="B402" s="294"/>
      <c r="C402" s="295"/>
    </row>
    <row r="403" spans="1:3" ht="24">
      <c r="A403" s="293"/>
      <c r="B403" s="294"/>
      <c r="C403" s="295"/>
    </row>
    <row r="404" spans="1:3" ht="24">
      <c r="A404" s="293"/>
      <c r="B404" s="294"/>
      <c r="C404" s="295"/>
    </row>
    <row r="405" spans="1:3" ht="24">
      <c r="A405" s="293"/>
      <c r="B405" s="294"/>
      <c r="C405" s="295"/>
    </row>
    <row r="406" spans="1:3" ht="24">
      <c r="A406" s="293"/>
      <c r="B406" s="294"/>
      <c r="C406" s="295"/>
    </row>
    <row r="407" spans="1:3" ht="24">
      <c r="A407" s="293"/>
      <c r="B407" s="294"/>
      <c r="C407" s="295"/>
    </row>
    <row r="408" spans="1:3" ht="24">
      <c r="A408" s="293"/>
      <c r="B408" s="294"/>
      <c r="C408" s="295"/>
    </row>
    <row r="409" spans="1:3" ht="24">
      <c r="A409" s="293"/>
      <c r="B409" s="294"/>
      <c r="C409" s="295"/>
    </row>
    <row r="410" spans="1:3" ht="24">
      <c r="A410" s="293"/>
      <c r="B410" s="294"/>
      <c r="C410" s="295"/>
    </row>
    <row r="411" spans="1:3" ht="24">
      <c r="A411" s="293"/>
      <c r="B411" s="294"/>
      <c r="C411" s="295"/>
    </row>
    <row r="412" spans="1:3" ht="24">
      <c r="A412" s="293"/>
      <c r="B412" s="298"/>
      <c r="C412" s="295"/>
    </row>
    <row r="413" spans="1:3" ht="24">
      <c r="A413" s="293"/>
      <c r="B413" s="298"/>
      <c r="C413" s="295"/>
    </row>
    <row r="414" spans="1:3" ht="24">
      <c r="A414" s="293"/>
      <c r="B414" s="294"/>
      <c r="C414" s="295"/>
    </row>
    <row r="415" spans="1:3" ht="24">
      <c r="A415" s="293"/>
      <c r="B415" s="294"/>
      <c r="C415" s="295"/>
    </row>
    <row r="416" spans="1:3" ht="24">
      <c r="A416" s="293"/>
      <c r="B416" s="294"/>
      <c r="C416" s="295"/>
    </row>
    <row r="417" spans="1:3" ht="24">
      <c r="A417" s="293"/>
      <c r="B417" s="294"/>
      <c r="C417" s="295"/>
    </row>
    <row r="418" spans="1:3" ht="24">
      <c r="A418" s="293"/>
      <c r="B418" s="294"/>
      <c r="C418" s="295"/>
    </row>
    <row r="419" spans="1:3" ht="24">
      <c r="A419" s="293"/>
      <c r="B419" s="294"/>
      <c r="C419" s="295"/>
    </row>
    <row r="420" spans="1:3" ht="24">
      <c r="A420" s="293"/>
      <c r="B420" s="294"/>
      <c r="C420" s="295"/>
    </row>
    <row r="421" spans="1:3" ht="24">
      <c r="A421" s="293"/>
      <c r="B421" s="294"/>
      <c r="C421" s="295"/>
    </row>
    <row r="422" spans="1:3" ht="24">
      <c r="A422" s="293"/>
      <c r="B422" s="294"/>
      <c r="C422" s="295"/>
    </row>
    <row r="423" spans="1:3" ht="24">
      <c r="A423" s="293"/>
      <c r="B423" s="294"/>
      <c r="C423" s="295"/>
    </row>
    <row r="424" spans="1:3" ht="24">
      <c r="A424" s="293"/>
      <c r="B424" s="294"/>
      <c r="C424" s="295"/>
    </row>
    <row r="425" spans="1:3" ht="24">
      <c r="A425" s="293"/>
      <c r="B425" s="294"/>
      <c r="C425" s="295"/>
    </row>
    <row r="426" spans="1:3" ht="24">
      <c r="A426" s="293"/>
      <c r="B426" s="294"/>
      <c r="C426" s="295"/>
    </row>
    <row r="427" spans="1:3" ht="24">
      <c r="A427" s="293"/>
      <c r="B427" s="294"/>
      <c r="C427" s="295"/>
    </row>
    <row r="428" spans="1:3" ht="24">
      <c r="A428" s="293"/>
      <c r="B428" s="294"/>
      <c r="C428" s="295"/>
    </row>
    <row r="429" spans="1:3" ht="24">
      <c r="A429" s="297"/>
      <c r="B429" s="37"/>
      <c r="C429" s="295"/>
    </row>
    <row r="430" spans="1:3" ht="24">
      <c r="A430" s="297"/>
      <c r="B430" s="37"/>
      <c r="C430" s="295"/>
    </row>
    <row r="431" spans="1:3" ht="24">
      <c r="A431" s="293"/>
      <c r="B431" s="294"/>
      <c r="C431" s="295"/>
    </row>
    <row r="432" spans="1:3" ht="24">
      <c r="A432" s="293"/>
      <c r="B432" s="294"/>
      <c r="C432" s="295"/>
    </row>
    <row r="433" spans="1:3" ht="24">
      <c r="A433" s="293"/>
      <c r="B433" s="294"/>
      <c r="C433" s="295"/>
    </row>
    <row r="434" spans="1:3" ht="24">
      <c r="A434" s="293"/>
      <c r="B434" s="294"/>
      <c r="C434" s="295"/>
    </row>
    <row r="435" spans="1:3" ht="24">
      <c r="A435" s="293"/>
      <c r="B435" s="294"/>
      <c r="C435" s="295"/>
    </row>
    <row r="436" spans="1:3" ht="24">
      <c r="A436" s="293"/>
      <c r="B436" s="294"/>
      <c r="C436" s="295"/>
    </row>
    <row r="437" spans="1:3" ht="24">
      <c r="A437" s="293"/>
      <c r="B437" s="294"/>
      <c r="C437" s="295"/>
    </row>
    <row r="438" spans="1:3" ht="24">
      <c r="A438" s="293"/>
      <c r="B438" s="294"/>
      <c r="C438" s="295"/>
    </row>
    <row r="439" spans="1:3" ht="24">
      <c r="A439" s="293"/>
      <c r="B439" s="294"/>
      <c r="C439" s="295"/>
    </row>
    <row r="440" spans="1:3" ht="24">
      <c r="A440" s="293"/>
      <c r="B440" s="294"/>
      <c r="C440" s="295"/>
    </row>
    <row r="441" spans="1:3" ht="24">
      <c r="A441" s="293"/>
      <c r="B441" s="294"/>
      <c r="C441" s="295"/>
    </row>
    <row r="442" spans="1:3" ht="24">
      <c r="A442" s="293"/>
      <c r="B442" s="294"/>
      <c r="C442" s="295"/>
    </row>
    <row r="443" spans="1:3" ht="24">
      <c r="A443" s="293"/>
      <c r="B443" s="294"/>
      <c r="C443" s="295"/>
    </row>
    <row r="444" spans="1:3" ht="24">
      <c r="A444" s="293"/>
      <c r="B444" s="294"/>
      <c r="C444" s="295"/>
    </row>
    <row r="445" spans="1:3" ht="24">
      <c r="A445" s="293"/>
      <c r="B445" s="294"/>
      <c r="C445" s="295"/>
    </row>
    <row r="446" spans="1:3" ht="24">
      <c r="A446" s="293"/>
      <c r="B446" s="294"/>
      <c r="C446" s="295"/>
    </row>
    <row r="447" spans="1:3" ht="24">
      <c r="A447" s="293"/>
      <c r="B447" s="294"/>
      <c r="C447" s="295"/>
    </row>
    <row r="448" spans="1:3" ht="24">
      <c r="A448" s="293"/>
      <c r="B448" s="294"/>
      <c r="C448" s="295"/>
    </row>
    <row r="449" spans="1:3" ht="24">
      <c r="A449" s="293"/>
      <c r="B449" s="294"/>
      <c r="C449" s="295"/>
    </row>
    <row r="450" spans="1:3" ht="24">
      <c r="A450" s="293"/>
      <c r="B450" s="294"/>
      <c r="C450" s="295"/>
    </row>
    <row r="451" spans="1:3" ht="24">
      <c r="A451" s="306"/>
      <c r="B451" s="294"/>
      <c r="C451" s="295"/>
    </row>
    <row r="452" spans="1:3" ht="24">
      <c r="A452" s="293"/>
      <c r="B452" s="294"/>
      <c r="C452" s="295"/>
    </row>
    <row r="453" spans="1:3" ht="24">
      <c r="A453" s="306"/>
      <c r="B453" s="294"/>
      <c r="C453" s="295"/>
    </row>
    <row r="454" spans="1:3" ht="24">
      <c r="A454" s="293"/>
      <c r="B454" s="294"/>
      <c r="C454" s="295"/>
    </row>
    <row r="455" spans="1:3" ht="24">
      <c r="A455" s="293"/>
      <c r="B455" s="294"/>
      <c r="C455" s="295"/>
    </row>
    <row r="456" spans="1:3" ht="24">
      <c r="A456" s="293"/>
      <c r="B456" s="294"/>
      <c r="C456" s="295"/>
    </row>
    <row r="457" spans="1:3" ht="24">
      <c r="A457" s="293"/>
      <c r="B457" s="294"/>
      <c r="C457" s="295"/>
    </row>
    <row r="458" spans="1:3" ht="24">
      <c r="A458" s="293"/>
      <c r="B458" s="294"/>
      <c r="C458" s="295"/>
    </row>
    <row r="459" spans="1:3" ht="24">
      <c r="A459" s="293"/>
      <c r="B459" s="294"/>
      <c r="C459" s="295"/>
    </row>
    <row r="460" spans="1:3" ht="24">
      <c r="A460" s="293"/>
      <c r="B460" s="294"/>
      <c r="C460" s="295"/>
    </row>
    <row r="461" spans="1:3" ht="24">
      <c r="A461" s="293"/>
      <c r="B461" s="294"/>
      <c r="C461" s="295"/>
    </row>
    <row r="462" spans="1:3" ht="24">
      <c r="A462" s="293"/>
      <c r="B462" s="294"/>
      <c r="C462" s="295"/>
    </row>
    <row r="463" spans="1:3" ht="24">
      <c r="A463" s="293"/>
      <c r="B463" s="294"/>
      <c r="C463" s="295"/>
    </row>
    <row r="464" spans="1:3" ht="24">
      <c r="A464" s="293"/>
      <c r="B464" s="294"/>
      <c r="C464" s="295"/>
    </row>
    <row r="465" spans="1:3" ht="24">
      <c r="A465" s="293"/>
      <c r="B465" s="294"/>
      <c r="C465" s="295"/>
    </row>
    <row r="466" spans="1:3" ht="24">
      <c r="A466" s="293"/>
      <c r="B466" s="294"/>
      <c r="C466" s="295"/>
    </row>
    <row r="467" spans="1:3" ht="24">
      <c r="A467" s="293"/>
      <c r="B467" s="294"/>
      <c r="C467" s="295"/>
    </row>
    <row r="468" spans="1:3" ht="24">
      <c r="A468" s="293"/>
      <c r="B468" s="294"/>
      <c r="C468" s="295"/>
    </row>
    <row r="469" spans="1:3" ht="24">
      <c r="A469" s="293"/>
      <c r="B469" s="294"/>
      <c r="C469" s="295"/>
    </row>
    <row r="470" spans="1:3" ht="24">
      <c r="A470" s="293"/>
      <c r="B470" s="294"/>
      <c r="C470" s="295"/>
    </row>
    <row r="471" spans="1:3" ht="24">
      <c r="A471" s="293"/>
      <c r="B471" s="294"/>
      <c r="C471" s="295"/>
    </row>
    <row r="472" spans="1:3" ht="24">
      <c r="A472" s="293"/>
      <c r="B472" s="294"/>
      <c r="C472" s="295"/>
    </row>
    <row r="473" spans="1:3" ht="24">
      <c r="A473" s="297"/>
      <c r="B473" s="37"/>
      <c r="C473" s="295"/>
    </row>
    <row r="474" spans="1:3" ht="24">
      <c r="A474" s="297"/>
      <c r="B474" s="37"/>
      <c r="C474" s="295"/>
    </row>
    <row r="475" spans="1:3" ht="24">
      <c r="A475" s="297"/>
      <c r="B475" s="37"/>
      <c r="C475" s="295"/>
    </row>
    <row r="476" spans="1:3" ht="24">
      <c r="A476" s="297"/>
      <c r="B476" s="37"/>
      <c r="C476" s="295"/>
    </row>
    <row r="477" spans="1:3" ht="24">
      <c r="A477" s="297"/>
      <c r="B477" s="37"/>
      <c r="C477" s="295"/>
    </row>
    <row r="478" spans="1:3" ht="24">
      <c r="A478" s="297"/>
      <c r="B478" s="37"/>
      <c r="C478" s="295"/>
    </row>
    <row r="479" spans="1:3" ht="24">
      <c r="A479" s="297"/>
      <c r="B479" s="307"/>
      <c r="C479" s="295"/>
    </row>
    <row r="480" spans="1:3" ht="24">
      <c r="A480" s="297"/>
      <c r="B480" s="307"/>
      <c r="C480" s="295"/>
    </row>
    <row r="481" spans="1:3" ht="24">
      <c r="A481" s="297"/>
      <c r="B481" s="307"/>
      <c r="C481" s="295"/>
    </row>
    <row r="482" spans="1:3" ht="24">
      <c r="A482" s="293"/>
      <c r="B482" s="294"/>
      <c r="C482" s="295"/>
    </row>
    <row r="483" spans="1:3" ht="24">
      <c r="A483" s="293"/>
      <c r="B483" s="294"/>
      <c r="C483" s="295"/>
    </row>
    <row r="484" spans="1:3" ht="24">
      <c r="A484" s="293"/>
      <c r="B484" s="294"/>
      <c r="C484" s="295"/>
    </row>
    <row r="485" spans="1:3" ht="24">
      <c r="A485" s="293"/>
      <c r="B485" s="294"/>
      <c r="C485" s="295"/>
    </row>
    <row r="486" spans="1:3" ht="24">
      <c r="A486" s="293"/>
      <c r="B486" s="294"/>
      <c r="C486" s="295"/>
    </row>
    <row r="487" spans="1:3" ht="24">
      <c r="A487" s="293"/>
      <c r="B487" s="294"/>
      <c r="C487" s="295"/>
    </row>
    <row r="488" spans="1:3" ht="24">
      <c r="A488" s="293"/>
      <c r="B488" s="294"/>
      <c r="C488" s="295"/>
    </row>
    <row r="489" spans="1:3" ht="24">
      <c r="A489" s="293"/>
      <c r="B489" s="294"/>
      <c r="C489" s="295"/>
    </row>
    <row r="490" spans="1:3" ht="24">
      <c r="A490" s="293"/>
      <c r="B490" s="294"/>
      <c r="C490" s="295"/>
    </row>
    <row r="491" spans="1:3" ht="24">
      <c r="A491" s="293"/>
      <c r="B491" s="294"/>
      <c r="C491" s="295"/>
    </row>
    <row r="492" spans="1:3" ht="24">
      <c r="A492" s="293"/>
      <c r="B492" s="294"/>
      <c r="C492" s="295"/>
    </row>
    <row r="493" spans="1:3" ht="24">
      <c r="A493" s="293"/>
      <c r="B493" s="294"/>
      <c r="C493" s="295"/>
    </row>
    <row r="494" spans="1:3" ht="24">
      <c r="A494" s="293"/>
      <c r="B494" s="294"/>
      <c r="C494" s="295"/>
    </row>
    <row r="495" spans="1:3" ht="24">
      <c r="A495" s="293"/>
      <c r="B495" s="294"/>
      <c r="C495" s="295"/>
    </row>
    <row r="496" spans="1:3" ht="24">
      <c r="A496" s="293"/>
      <c r="B496" s="294"/>
      <c r="C496" s="295"/>
    </row>
    <row r="497" spans="1:3" ht="24">
      <c r="A497" s="293"/>
      <c r="B497" s="294"/>
      <c r="C497" s="295"/>
    </row>
    <row r="498" spans="1:3" ht="24">
      <c r="A498" s="293"/>
      <c r="B498" s="294"/>
      <c r="C498" s="295"/>
    </row>
    <row r="499" spans="1:3" ht="24">
      <c r="A499" s="293"/>
      <c r="B499" s="294"/>
      <c r="C499" s="295"/>
    </row>
    <row r="500" spans="1:3" ht="24">
      <c r="A500" s="293"/>
      <c r="B500" s="294"/>
      <c r="C500" s="295"/>
    </row>
    <row r="501" spans="1:3" ht="24">
      <c r="A501" s="293"/>
      <c r="B501" s="294"/>
      <c r="C501" s="295"/>
    </row>
    <row r="502" spans="1:3" ht="24">
      <c r="A502" s="297"/>
      <c r="B502" s="37"/>
      <c r="C502" s="295"/>
    </row>
    <row r="503" spans="1:3" ht="24">
      <c r="A503" s="297"/>
      <c r="B503" s="307"/>
      <c r="C503" s="295"/>
    </row>
    <row r="504" spans="1:3" ht="24">
      <c r="A504" s="297"/>
      <c r="B504" s="307"/>
      <c r="C504" s="295"/>
    </row>
    <row r="505" spans="1:3" ht="24">
      <c r="A505" s="293"/>
      <c r="B505" s="294"/>
      <c r="C505" s="295"/>
    </row>
    <row r="506" spans="1:3" ht="24">
      <c r="A506" s="293"/>
      <c r="B506" s="294"/>
      <c r="C506" s="295"/>
    </row>
    <row r="507" spans="1:3" ht="24">
      <c r="A507" s="293"/>
      <c r="B507" s="294"/>
      <c r="C507" s="295"/>
    </row>
    <row r="508" spans="1:3" ht="24">
      <c r="A508" s="293"/>
      <c r="B508" s="294"/>
      <c r="C508" s="295"/>
    </row>
    <row r="509" spans="1:3" ht="24">
      <c r="A509" s="293"/>
      <c r="B509" s="294"/>
      <c r="C509" s="295"/>
    </row>
    <row r="510" spans="1:3" ht="24">
      <c r="A510" s="293"/>
      <c r="B510" s="294"/>
      <c r="C510" s="295"/>
    </row>
    <row r="511" spans="1:3" ht="24">
      <c r="A511" s="308"/>
      <c r="B511" s="294"/>
      <c r="C511" s="295"/>
    </row>
    <row r="512" spans="1:3" ht="24">
      <c r="A512" s="308"/>
      <c r="B512" s="294"/>
      <c r="C512" s="295"/>
    </row>
    <row r="513" spans="1:3" ht="24">
      <c r="A513" s="293"/>
      <c r="B513" s="294"/>
      <c r="C513" s="295"/>
    </row>
    <row r="514" spans="1:3" ht="24">
      <c r="A514" s="293"/>
      <c r="B514" s="294"/>
      <c r="C514" s="295"/>
    </row>
    <row r="515" spans="1:3" ht="24">
      <c r="A515" s="293"/>
      <c r="B515" s="294"/>
      <c r="C515" s="295"/>
    </row>
    <row r="516" spans="1:3" ht="24">
      <c r="A516" s="293"/>
      <c r="B516" s="294"/>
      <c r="C516" s="295"/>
    </row>
    <row r="517" spans="1:3" ht="24">
      <c r="A517" s="293"/>
      <c r="B517" s="294"/>
      <c r="C517" s="295"/>
    </row>
    <row r="518" spans="1:3" ht="24">
      <c r="A518" s="293"/>
      <c r="B518" s="294"/>
      <c r="C518" s="295"/>
    </row>
    <row r="519" spans="1:3" ht="24">
      <c r="A519" s="293"/>
      <c r="B519" s="294"/>
      <c r="C519" s="295"/>
    </row>
    <row r="520" spans="1:3" ht="24">
      <c r="A520" s="293"/>
      <c r="B520" s="294"/>
      <c r="C520" s="295"/>
    </row>
    <row r="521" spans="1:3" ht="24">
      <c r="A521" s="293"/>
      <c r="B521" s="299"/>
      <c r="C521" s="295"/>
    </row>
    <row r="522" spans="1:3" ht="24">
      <c r="A522" s="293"/>
      <c r="B522" s="294"/>
      <c r="C522" s="295"/>
    </row>
    <row r="523" spans="1:3" ht="24">
      <c r="A523" s="293"/>
      <c r="B523" s="294"/>
      <c r="C523" s="295"/>
    </row>
    <row r="524" spans="1:3" ht="24">
      <c r="A524" s="293"/>
      <c r="B524" s="294"/>
      <c r="C524" s="295"/>
    </row>
    <row r="525" spans="1:3" ht="24">
      <c r="A525" s="293"/>
      <c r="B525" s="294"/>
      <c r="C525" s="295"/>
    </row>
    <row r="526" spans="1:3" ht="24">
      <c r="A526" s="293"/>
      <c r="B526" s="294"/>
      <c r="C526" s="295"/>
    </row>
    <row r="527" spans="1:3" ht="24">
      <c r="A527" s="293"/>
      <c r="B527" s="294"/>
      <c r="C527" s="295"/>
    </row>
    <row r="528" spans="1:3" ht="24">
      <c r="A528" s="293"/>
      <c r="B528" s="294"/>
      <c r="C528" s="295"/>
    </row>
    <row r="529" spans="1:3" ht="24">
      <c r="A529" s="293"/>
      <c r="B529" s="294"/>
      <c r="C529" s="295"/>
    </row>
    <row r="530" spans="1:3" ht="24">
      <c r="A530" s="293"/>
      <c r="B530" s="294"/>
      <c r="C530" s="295"/>
    </row>
    <row r="531" spans="1:3" ht="24">
      <c r="A531" s="293"/>
      <c r="B531" s="294"/>
      <c r="C531" s="295"/>
    </row>
    <row r="532" spans="1:3" ht="24">
      <c r="A532" s="293"/>
      <c r="B532" s="294"/>
      <c r="C532" s="295"/>
    </row>
    <row r="533" spans="1:3" ht="24">
      <c r="A533" s="293"/>
      <c r="B533" s="294"/>
      <c r="C533" s="295"/>
    </row>
    <row r="534" spans="1:3" ht="24">
      <c r="A534" s="293"/>
      <c r="B534" s="294"/>
      <c r="C534" s="295"/>
    </row>
    <row r="535" spans="1:3" ht="24">
      <c r="A535" s="293"/>
      <c r="B535" s="294"/>
      <c r="C535" s="295"/>
    </row>
    <row r="536" spans="1:3" ht="24">
      <c r="A536" s="293"/>
      <c r="B536" s="294"/>
      <c r="C536" s="295"/>
    </row>
    <row r="537" spans="1:3" ht="24">
      <c r="A537" s="293"/>
      <c r="B537" s="294"/>
      <c r="C537" s="295"/>
    </row>
    <row r="538" spans="1:3" ht="24">
      <c r="A538" s="293"/>
      <c r="B538" s="294"/>
      <c r="C538" s="295"/>
    </row>
    <row r="539" spans="1:3" ht="24">
      <c r="A539" s="293"/>
      <c r="B539" s="294"/>
      <c r="C539" s="295"/>
    </row>
    <row r="540" spans="1:3" ht="24">
      <c r="A540" s="293"/>
      <c r="B540" s="294"/>
      <c r="C540" s="295"/>
    </row>
    <row r="541" spans="1:3" ht="24">
      <c r="A541" s="293"/>
      <c r="B541" s="294"/>
      <c r="C541" s="295"/>
    </row>
    <row r="542" spans="1:3" ht="24">
      <c r="A542" s="293"/>
      <c r="B542" s="294"/>
      <c r="C542" s="295"/>
    </row>
    <row r="543" spans="1:3" ht="24">
      <c r="A543" s="293"/>
      <c r="B543" s="294"/>
      <c r="C543" s="295"/>
    </row>
    <row r="544" spans="1:3" ht="24">
      <c r="A544" s="293"/>
      <c r="B544" s="294"/>
      <c r="C544" s="295"/>
    </row>
    <row r="545" spans="1:3" ht="24">
      <c r="A545" s="293"/>
      <c r="B545" s="294"/>
      <c r="C545" s="295"/>
    </row>
    <row r="546" spans="1:3" ht="24">
      <c r="A546" s="293"/>
      <c r="B546" s="294"/>
      <c r="C546" s="295"/>
    </row>
    <row r="547" spans="1:3" ht="24">
      <c r="A547" s="293"/>
      <c r="B547" s="294"/>
      <c r="C547" s="295"/>
    </row>
    <row r="548" spans="1:3" ht="24">
      <c r="A548" s="293"/>
      <c r="B548" s="294"/>
      <c r="C548" s="295"/>
    </row>
    <row r="549" spans="1:3" ht="24">
      <c r="A549" s="293"/>
      <c r="B549" s="294"/>
      <c r="C549" s="295"/>
    </row>
    <row r="550" spans="1:3" ht="24">
      <c r="A550" s="293"/>
      <c r="B550" s="294"/>
      <c r="C550" s="295"/>
    </row>
    <row r="551" spans="1:3" ht="24">
      <c r="A551" s="293"/>
      <c r="B551" s="294"/>
      <c r="C551" s="295"/>
    </row>
    <row r="552" spans="1:3" ht="24">
      <c r="A552" s="293"/>
      <c r="B552" s="294"/>
      <c r="C552" s="295"/>
    </row>
    <row r="553" spans="1:3" ht="24">
      <c r="A553" s="293"/>
      <c r="B553" s="294"/>
      <c r="C553" s="295"/>
    </row>
    <row r="554" spans="1:3" ht="24">
      <c r="A554" s="293"/>
      <c r="B554" s="294"/>
      <c r="C554" s="295"/>
    </row>
    <row r="555" spans="1:3" ht="24">
      <c r="A555" s="293"/>
      <c r="B555" s="294"/>
      <c r="C555" s="295"/>
    </row>
    <row r="556" spans="1:3" ht="24">
      <c r="A556" s="293"/>
      <c r="B556" s="294"/>
      <c r="C556" s="295"/>
    </row>
    <row r="557" spans="1:3" ht="24">
      <c r="A557" s="293"/>
      <c r="B557" s="294"/>
      <c r="C557" s="295"/>
    </row>
    <row r="558" spans="1:3" ht="24">
      <c r="A558" s="293"/>
      <c r="B558" s="294"/>
      <c r="C558" s="295"/>
    </row>
    <row r="559" spans="1:3" ht="24">
      <c r="A559" s="293"/>
      <c r="B559" s="294"/>
      <c r="C559" s="295"/>
    </row>
    <row r="560" spans="1:3" ht="24">
      <c r="A560" s="293"/>
      <c r="B560" s="294"/>
      <c r="C560" s="295"/>
    </row>
    <row r="561" spans="1:3" ht="24">
      <c r="A561" s="293"/>
      <c r="B561" s="294"/>
      <c r="C561" s="295"/>
    </row>
    <row r="562" spans="1:3" ht="24">
      <c r="A562" s="293"/>
      <c r="B562" s="294"/>
      <c r="C562" s="295"/>
    </row>
    <row r="563" spans="1:3" ht="24">
      <c r="A563" s="293"/>
      <c r="B563" s="294"/>
      <c r="C563" s="295"/>
    </row>
    <row r="564" spans="1:3" ht="24">
      <c r="A564" s="293"/>
      <c r="B564" s="294"/>
      <c r="C564" s="295"/>
    </row>
    <row r="565" spans="1:3" ht="24">
      <c r="A565" s="293"/>
      <c r="B565" s="294"/>
      <c r="C565" s="295"/>
    </row>
    <row r="566" spans="1:3" ht="24">
      <c r="A566" s="293"/>
      <c r="B566" s="294"/>
      <c r="C566" s="295"/>
    </row>
    <row r="567" spans="1:3" ht="24">
      <c r="A567" s="293"/>
      <c r="B567" s="294"/>
      <c r="C567" s="295"/>
    </row>
    <row r="568" spans="1:3" ht="24">
      <c r="A568" s="293"/>
      <c r="B568" s="294"/>
      <c r="C568" s="295"/>
    </row>
    <row r="569" spans="1:3" ht="24">
      <c r="A569" s="293"/>
      <c r="B569" s="294"/>
      <c r="C569" s="295"/>
    </row>
    <row r="570" spans="1:3" ht="24">
      <c r="A570" s="297"/>
      <c r="B570" s="37"/>
      <c r="C570" s="295"/>
    </row>
    <row r="571" spans="1:3" ht="24">
      <c r="A571" s="293"/>
      <c r="B571" s="294"/>
      <c r="C571" s="295"/>
    </row>
    <row r="572" spans="1:3" ht="24">
      <c r="A572" s="297"/>
      <c r="B572" s="37"/>
      <c r="C572" s="295"/>
    </row>
    <row r="573" spans="1:3" ht="24">
      <c r="A573" s="293"/>
      <c r="B573" s="294"/>
      <c r="C573" s="295"/>
    </row>
    <row r="574" spans="1:3" ht="24">
      <c r="A574" s="293"/>
      <c r="B574" s="294"/>
      <c r="C574" s="295"/>
    </row>
    <row r="575" spans="1:3" ht="24">
      <c r="A575" s="293"/>
      <c r="B575" s="294"/>
      <c r="C575" s="295"/>
    </row>
    <row r="576" spans="1:3" ht="24">
      <c r="A576" s="293"/>
      <c r="B576" s="294"/>
      <c r="C576" s="295"/>
    </row>
    <row r="577" spans="1:3" ht="24">
      <c r="A577" s="293"/>
      <c r="B577" s="294"/>
      <c r="C577" s="295"/>
    </row>
    <row r="578" spans="1:3" ht="24">
      <c r="A578" s="293"/>
      <c r="B578" s="294"/>
      <c r="C578" s="295"/>
    </row>
    <row r="579" spans="1:3" ht="24">
      <c r="A579" s="293"/>
      <c r="B579" s="294"/>
      <c r="C579" s="295"/>
    </row>
    <row r="580" spans="1:3" ht="24">
      <c r="A580" s="293"/>
      <c r="B580" s="294"/>
      <c r="C580" s="295"/>
    </row>
    <row r="581" spans="1:3" ht="24">
      <c r="A581" s="293"/>
      <c r="B581" s="294"/>
      <c r="C581" s="295"/>
    </row>
    <row r="582" spans="1:3" ht="24">
      <c r="A582" s="293"/>
      <c r="B582" s="294"/>
      <c r="C582" s="295"/>
    </row>
    <row r="583" spans="1:3" ht="24">
      <c r="A583" s="293"/>
      <c r="B583" s="294"/>
      <c r="C583" s="295"/>
    </row>
    <row r="584" spans="1:3" ht="24">
      <c r="A584" s="293"/>
      <c r="B584" s="294"/>
      <c r="C584" s="295"/>
    </row>
    <row r="585" spans="1:3" ht="24">
      <c r="A585" s="293"/>
      <c r="B585" s="294"/>
      <c r="C585" s="295"/>
    </row>
    <row r="586" spans="1:3" ht="24">
      <c r="A586" s="293"/>
      <c r="B586" s="294"/>
      <c r="C586" s="295"/>
    </row>
    <row r="587" spans="1:3" ht="24">
      <c r="A587" s="293"/>
      <c r="B587" s="294"/>
      <c r="C587" s="295"/>
    </row>
    <row r="588" spans="1:3" ht="24">
      <c r="A588" s="293"/>
      <c r="B588" s="294"/>
      <c r="C588" s="295"/>
    </row>
    <row r="589" spans="1:3" ht="24">
      <c r="A589" s="293"/>
      <c r="B589" s="294"/>
      <c r="C589" s="295"/>
    </row>
    <row r="590" spans="1:3" ht="24">
      <c r="A590" s="293"/>
      <c r="B590" s="294"/>
      <c r="C590" s="295"/>
    </row>
    <row r="591" spans="1:3" ht="24">
      <c r="A591" s="293"/>
      <c r="B591" s="294"/>
      <c r="C591" s="295"/>
    </row>
    <row r="592" spans="1:3" ht="24">
      <c r="A592" s="293"/>
      <c r="B592" s="294"/>
      <c r="C592" s="295"/>
    </row>
    <row r="593" spans="1:3" ht="24">
      <c r="A593" s="293"/>
      <c r="B593" s="294"/>
      <c r="C593" s="295"/>
    </row>
    <row r="594" spans="1:3" ht="24">
      <c r="A594" s="293"/>
      <c r="B594" s="294"/>
      <c r="C594" s="295"/>
    </row>
    <row r="595" spans="1:3" ht="24">
      <c r="A595" s="293"/>
      <c r="B595" s="294"/>
      <c r="C595" s="295"/>
    </row>
    <row r="596" spans="1:3" ht="24">
      <c r="A596" s="293"/>
      <c r="B596" s="294"/>
      <c r="C596" s="295"/>
    </row>
    <row r="597" spans="1:3" ht="24">
      <c r="A597" s="293"/>
      <c r="B597" s="294"/>
      <c r="C597" s="295"/>
    </row>
    <row r="598" spans="1:3" ht="24">
      <c r="A598" s="293"/>
      <c r="B598" s="294"/>
      <c r="C598" s="295"/>
    </row>
    <row r="599" spans="1:3" ht="24">
      <c r="A599" s="293"/>
      <c r="B599" s="294"/>
      <c r="C599" s="295"/>
    </row>
    <row r="600" spans="1:3" ht="24">
      <c r="A600" s="293"/>
      <c r="B600" s="294"/>
      <c r="C600" s="295"/>
    </row>
    <row r="601" spans="1:3" ht="24">
      <c r="A601" s="293"/>
      <c r="B601" s="294"/>
      <c r="C601" s="295"/>
    </row>
    <row r="602" spans="1:3" ht="24">
      <c r="A602" s="293"/>
      <c r="B602" s="294"/>
      <c r="C602" s="295"/>
    </row>
    <row r="603" spans="1:3" ht="24">
      <c r="A603" s="293"/>
      <c r="B603" s="294"/>
      <c r="C603" s="295"/>
    </row>
    <row r="604" spans="1:3" ht="24">
      <c r="A604" s="293"/>
      <c r="B604" s="294"/>
      <c r="C604" s="295"/>
    </row>
    <row r="605" spans="1:3" ht="24">
      <c r="A605" s="293"/>
      <c r="B605" s="294"/>
      <c r="C605" s="295"/>
    </row>
    <row r="606" spans="1:3" ht="24">
      <c r="A606" s="293"/>
      <c r="B606" s="294"/>
      <c r="C606" s="295"/>
    </row>
    <row r="607" spans="1:3" ht="24">
      <c r="A607" s="293"/>
      <c r="B607" s="294"/>
      <c r="C607" s="295"/>
    </row>
    <row r="608" spans="1:3" ht="24">
      <c r="A608" s="293"/>
      <c r="B608" s="294"/>
      <c r="C608" s="295"/>
    </row>
    <row r="609" spans="1:3" ht="24">
      <c r="A609" s="293"/>
      <c r="B609" s="294"/>
      <c r="C609" s="295"/>
    </row>
    <row r="610" spans="1:3" ht="24">
      <c r="A610" s="293"/>
      <c r="B610" s="294"/>
      <c r="C610" s="295"/>
    </row>
    <row r="611" spans="1:3" ht="24">
      <c r="A611" s="293"/>
      <c r="B611" s="294"/>
      <c r="C611" s="295"/>
    </row>
    <row r="612" spans="1:3" ht="24">
      <c r="A612" s="293"/>
      <c r="B612" s="294"/>
      <c r="C612" s="295"/>
    </row>
    <row r="613" spans="1:3" ht="24">
      <c r="A613" s="293"/>
      <c r="B613" s="294"/>
      <c r="C613" s="295"/>
    </row>
    <row r="614" spans="1:3" ht="24">
      <c r="A614" s="293"/>
      <c r="B614" s="294"/>
      <c r="C614" s="295"/>
    </row>
    <row r="615" spans="1:3" ht="24">
      <c r="A615" s="293"/>
      <c r="B615" s="294"/>
      <c r="C615" s="295"/>
    </row>
    <row r="616" spans="1:3" ht="24">
      <c r="A616" s="293"/>
      <c r="B616" s="294"/>
      <c r="C616" s="295"/>
    </row>
    <row r="617" spans="1:3" ht="24">
      <c r="A617" s="293"/>
      <c r="B617" s="294"/>
      <c r="C617" s="295"/>
    </row>
    <row r="618" spans="1:3" ht="24">
      <c r="A618" s="293"/>
      <c r="B618" s="294"/>
      <c r="C618" s="295"/>
    </row>
    <row r="619" spans="1:3" ht="24">
      <c r="A619" s="293"/>
      <c r="B619" s="294"/>
      <c r="C619" s="295"/>
    </row>
    <row r="620" spans="1:3" ht="24">
      <c r="A620" s="293"/>
      <c r="B620" s="294"/>
      <c r="C620" s="295"/>
    </row>
    <row r="621" spans="1:3" ht="24">
      <c r="A621" s="293"/>
      <c r="B621" s="294"/>
      <c r="C621" s="295"/>
    </row>
    <row r="622" spans="1:3" ht="24">
      <c r="A622" s="293"/>
      <c r="B622" s="294"/>
      <c r="C622" s="295"/>
    </row>
    <row r="623" spans="1:3" ht="24">
      <c r="A623" s="293"/>
      <c r="B623" s="294"/>
      <c r="C623" s="295"/>
    </row>
    <row r="624" spans="1:3" ht="24">
      <c r="A624" s="293"/>
      <c r="B624" s="294"/>
      <c r="C624" s="295"/>
    </row>
    <row r="625" spans="1:3" ht="24">
      <c r="A625" s="297"/>
      <c r="B625" s="37"/>
      <c r="C625" s="295"/>
    </row>
    <row r="626" spans="1:3" ht="24">
      <c r="A626" s="297"/>
      <c r="B626" s="307"/>
      <c r="C626" s="295"/>
    </row>
    <row r="627" spans="1:3" ht="24">
      <c r="A627" s="297"/>
      <c r="B627" s="37"/>
      <c r="C627" s="295"/>
    </row>
    <row r="628" spans="1:3" ht="24">
      <c r="A628" s="297"/>
      <c r="B628" s="37"/>
      <c r="C628" s="295"/>
    </row>
    <row r="629" spans="1:3" ht="24">
      <c r="A629" s="297"/>
      <c r="B629" s="37"/>
      <c r="C629" s="295"/>
    </row>
    <row r="630" spans="1:3" ht="24">
      <c r="A630" s="297"/>
      <c r="B630" s="37"/>
      <c r="C630" s="295"/>
    </row>
    <row r="631" spans="1:3" ht="24">
      <c r="A631" s="297"/>
      <c r="B631" s="307"/>
      <c r="C631" s="295"/>
    </row>
    <row r="632" spans="1:3" ht="24">
      <c r="A632" s="297"/>
      <c r="B632" s="307"/>
      <c r="C632" s="295"/>
    </row>
    <row r="633" spans="1:3" ht="24">
      <c r="A633" s="297"/>
      <c r="B633" s="307"/>
      <c r="C633" s="295"/>
    </row>
    <row r="634" spans="1:3" ht="24">
      <c r="A634" s="297"/>
      <c r="B634" s="307"/>
      <c r="C634" s="295"/>
    </row>
    <row r="635" spans="1:3" ht="24">
      <c r="A635" s="297"/>
      <c r="B635" s="307"/>
      <c r="C635" s="295"/>
    </row>
    <row r="636" spans="1:3" ht="24">
      <c r="A636" s="293"/>
      <c r="B636" s="294"/>
      <c r="C636" s="295"/>
    </row>
    <row r="637" spans="1:3" ht="24">
      <c r="A637" s="293"/>
      <c r="B637" s="294"/>
      <c r="C637" s="295"/>
    </row>
    <row r="638" spans="1:3" ht="24">
      <c r="A638" s="293"/>
      <c r="B638" s="294"/>
      <c r="C638" s="295"/>
    </row>
    <row r="639" spans="1:3" ht="24">
      <c r="A639" s="293"/>
      <c r="B639" s="294"/>
      <c r="C639" s="295"/>
    </row>
    <row r="640" spans="1:3" ht="24">
      <c r="A640" s="293"/>
      <c r="B640" s="294"/>
      <c r="C640" s="295"/>
    </row>
    <row r="641" spans="1:3" ht="24">
      <c r="A641" s="293"/>
      <c r="B641" s="294"/>
      <c r="C641" s="295"/>
    </row>
    <row r="642" spans="1:3" ht="24">
      <c r="A642" s="293"/>
      <c r="B642" s="294"/>
      <c r="C642" s="295"/>
    </row>
    <row r="643" spans="1:3" ht="24">
      <c r="A643" s="293"/>
      <c r="B643" s="294"/>
      <c r="C643" s="295"/>
    </row>
    <row r="644" spans="1:3" ht="24">
      <c r="A644" s="293"/>
      <c r="B644" s="294"/>
      <c r="C644" s="295"/>
    </row>
    <row r="645" spans="1:3" ht="24">
      <c r="A645" s="293"/>
      <c r="B645" s="294"/>
      <c r="C645" s="295"/>
    </row>
    <row r="646" spans="1:3" ht="24">
      <c r="A646" s="293"/>
      <c r="B646" s="294"/>
      <c r="C646" s="295"/>
    </row>
    <row r="647" spans="1:3" ht="24">
      <c r="A647" s="293"/>
      <c r="B647" s="294"/>
      <c r="C647" s="295"/>
    </row>
    <row r="648" spans="1:3" ht="24">
      <c r="A648" s="293"/>
      <c r="B648" s="294"/>
      <c r="C648" s="295"/>
    </row>
    <row r="649" spans="1:3" ht="24">
      <c r="A649" s="293"/>
      <c r="B649" s="294"/>
      <c r="C649" s="295"/>
    </row>
    <row r="650" spans="1:3" ht="24">
      <c r="A650" s="293"/>
      <c r="B650" s="294"/>
      <c r="C650" s="295"/>
    </row>
    <row r="651" spans="1:3" ht="24">
      <c r="A651" s="293"/>
      <c r="B651" s="294"/>
      <c r="C651" s="295"/>
    </row>
    <row r="652" spans="1:3" ht="24">
      <c r="A652" s="293"/>
      <c r="B652" s="294"/>
      <c r="C652" s="295"/>
    </row>
    <row r="653" spans="1:3" ht="24">
      <c r="A653" s="293"/>
      <c r="B653" s="294"/>
      <c r="C653" s="295"/>
    </row>
    <row r="654" spans="1:3" ht="24">
      <c r="A654" s="293"/>
      <c r="B654" s="294"/>
      <c r="C654" s="295"/>
    </row>
    <row r="655" spans="1:3" ht="24">
      <c r="A655" s="293"/>
      <c r="B655" s="294"/>
      <c r="C655" s="295"/>
    </row>
    <row r="656" spans="1:3" ht="24">
      <c r="A656" s="293"/>
      <c r="B656" s="294"/>
      <c r="C656" s="295"/>
    </row>
    <row r="657" spans="1:3" ht="24">
      <c r="A657" s="293"/>
      <c r="B657" s="294"/>
      <c r="C657" s="295"/>
    </row>
    <row r="658" spans="1:3" ht="24">
      <c r="A658" s="293"/>
      <c r="B658" s="298"/>
      <c r="C658" s="295"/>
    </row>
    <row r="659" spans="1:3" ht="24">
      <c r="A659" s="293"/>
      <c r="B659" s="298"/>
      <c r="C659" s="295"/>
    </row>
    <row r="660" spans="1:3" ht="24">
      <c r="A660" s="293"/>
      <c r="B660" s="294"/>
      <c r="C660" s="295"/>
    </row>
    <row r="661" spans="1:3" ht="24">
      <c r="A661" s="293"/>
      <c r="B661" s="298"/>
      <c r="C661" s="295"/>
    </row>
    <row r="662" spans="1:3" ht="24">
      <c r="A662" s="293"/>
      <c r="B662" s="298"/>
      <c r="C662" s="295"/>
    </row>
    <row r="663" spans="1:3" ht="24">
      <c r="A663" s="293"/>
      <c r="B663" s="298"/>
      <c r="C663" s="295"/>
    </row>
    <row r="664" spans="1:3" ht="24">
      <c r="A664" s="293"/>
      <c r="B664" s="298"/>
      <c r="C664" s="295"/>
    </row>
    <row r="665" spans="1:3" ht="24">
      <c r="A665" s="293"/>
      <c r="B665" s="298"/>
      <c r="C665" s="295"/>
    </row>
    <row r="666" spans="1:3" ht="24">
      <c r="A666" s="293"/>
      <c r="B666" s="298"/>
      <c r="C666" s="295"/>
    </row>
    <row r="667" spans="1:3" ht="24">
      <c r="A667" s="293"/>
      <c r="B667" s="298"/>
      <c r="C667" s="295"/>
    </row>
    <row r="668" spans="1:3" ht="24">
      <c r="A668" s="293"/>
      <c r="B668" s="298"/>
      <c r="C668" s="295"/>
    </row>
    <row r="669" spans="1:3" ht="24">
      <c r="A669" s="293"/>
      <c r="B669" s="294"/>
      <c r="C669" s="295"/>
    </row>
    <row r="670" spans="1:3" ht="24">
      <c r="A670" s="293"/>
      <c r="B670" s="294"/>
      <c r="C670" s="295"/>
    </row>
    <row r="671" spans="1:3" ht="24">
      <c r="A671" s="293"/>
      <c r="B671" s="294"/>
      <c r="C671" s="295"/>
    </row>
    <row r="672" spans="1:3" ht="24">
      <c r="A672" s="293"/>
      <c r="B672" s="294"/>
      <c r="C672" s="295"/>
    </row>
    <row r="673" spans="1:3" ht="24">
      <c r="A673" s="293"/>
      <c r="B673" s="294"/>
      <c r="C673" s="295"/>
    </row>
    <row r="674" spans="1:3" ht="24">
      <c r="A674" s="293"/>
      <c r="B674" s="294"/>
      <c r="C674" s="295"/>
    </row>
    <row r="675" spans="1:3" ht="24">
      <c r="A675" s="293"/>
      <c r="B675" s="294"/>
      <c r="C675" s="295"/>
    </row>
    <row r="676" spans="1:3" ht="24">
      <c r="A676" s="293"/>
      <c r="B676" s="294"/>
      <c r="C676" s="295"/>
    </row>
    <row r="677" spans="1:3" ht="24">
      <c r="A677" s="293"/>
      <c r="B677" s="294"/>
      <c r="C677" s="295"/>
    </row>
    <row r="678" spans="1:3" ht="24">
      <c r="A678" s="293"/>
      <c r="B678" s="294"/>
      <c r="C678" s="295"/>
    </row>
    <row r="679" spans="1:3" ht="24">
      <c r="A679" s="293"/>
      <c r="B679" s="294"/>
      <c r="C679" s="295"/>
    </row>
    <row r="680" spans="1:3" ht="24">
      <c r="A680" s="293"/>
      <c r="B680" s="294"/>
      <c r="C680" s="295"/>
    </row>
    <row r="681" spans="1:3" ht="24">
      <c r="A681" s="293"/>
      <c r="B681" s="294"/>
      <c r="C681" s="295"/>
    </row>
    <row r="682" spans="1:3" ht="24">
      <c r="A682" s="293"/>
      <c r="B682" s="294"/>
      <c r="C682" s="295"/>
    </row>
    <row r="683" spans="1:3" ht="24">
      <c r="A683" s="293"/>
      <c r="B683" s="294"/>
      <c r="C683" s="295"/>
    </row>
    <row r="684" spans="1:3" ht="24">
      <c r="A684" s="293"/>
      <c r="B684" s="294"/>
      <c r="C684" s="295"/>
    </row>
    <row r="685" spans="1:3" ht="24">
      <c r="A685" s="293"/>
      <c r="B685" s="294"/>
      <c r="C685" s="295"/>
    </row>
    <row r="686" spans="1:3" ht="24">
      <c r="A686" s="293"/>
      <c r="B686" s="294"/>
      <c r="C686" s="295"/>
    </row>
    <row r="687" spans="1:3" ht="24">
      <c r="A687" s="293"/>
      <c r="B687" s="294"/>
      <c r="C687" s="295"/>
    </row>
    <row r="688" spans="1:3" ht="24">
      <c r="A688" s="293"/>
      <c r="B688" s="294"/>
      <c r="C688" s="295"/>
    </row>
    <row r="689" spans="1:3" ht="24">
      <c r="A689" s="293"/>
      <c r="B689" s="294"/>
      <c r="C689" s="295"/>
    </row>
    <row r="690" spans="1:3" ht="24">
      <c r="A690" s="293"/>
      <c r="B690" s="294"/>
      <c r="C690" s="295"/>
    </row>
    <row r="691" spans="1:3" ht="24">
      <c r="A691" s="293"/>
      <c r="B691" s="294"/>
      <c r="C691" s="295"/>
    </row>
    <row r="692" spans="1:3" ht="24">
      <c r="A692" s="293"/>
      <c r="B692" s="294"/>
      <c r="C692" s="295"/>
    </row>
    <row r="693" spans="1:3" ht="24">
      <c r="A693" s="293"/>
      <c r="B693" s="294"/>
      <c r="C693" s="295"/>
    </row>
    <row r="694" spans="1:3" ht="24">
      <c r="A694" s="293"/>
      <c r="B694" s="294"/>
      <c r="C694" s="295"/>
    </row>
    <row r="695" spans="1:3" ht="24">
      <c r="A695" s="293"/>
      <c r="B695" s="294"/>
      <c r="C695" s="295"/>
    </row>
    <row r="696" spans="1:3" ht="24">
      <c r="A696" s="293"/>
      <c r="B696" s="294"/>
      <c r="C696" s="295"/>
    </row>
    <row r="697" spans="1:3" ht="24">
      <c r="A697" s="293"/>
      <c r="B697" s="294"/>
      <c r="C697" s="295"/>
    </row>
    <row r="698" spans="1:3" ht="24">
      <c r="A698" s="293"/>
      <c r="B698" s="294"/>
      <c r="C698" s="295"/>
    </row>
    <row r="699" spans="1:3" ht="24">
      <c r="A699" s="293"/>
      <c r="B699" s="294"/>
      <c r="C699" s="295"/>
    </row>
    <row r="700" spans="1:3" ht="24">
      <c r="A700" s="293"/>
      <c r="B700" s="294"/>
      <c r="C700" s="295"/>
    </row>
    <row r="701" spans="1:3" ht="24">
      <c r="A701" s="293"/>
      <c r="B701" s="294"/>
      <c r="C701" s="295"/>
    </row>
    <row r="702" spans="1:3" ht="24">
      <c r="A702" s="293"/>
      <c r="B702" s="294"/>
      <c r="C702" s="295"/>
    </row>
    <row r="703" spans="1:3" ht="24">
      <c r="A703" s="293"/>
      <c r="B703" s="294"/>
      <c r="C703" s="295"/>
    </row>
    <row r="704" spans="1:3" ht="24">
      <c r="A704" s="293"/>
      <c r="B704" s="294"/>
      <c r="C704" s="295"/>
    </row>
    <row r="705" spans="1:3" ht="24">
      <c r="A705" s="293"/>
      <c r="B705" s="294"/>
      <c r="C705" s="295"/>
    </row>
    <row r="706" spans="1:3" ht="24">
      <c r="A706" s="293"/>
      <c r="B706" s="294"/>
      <c r="C706" s="295"/>
    </row>
    <row r="707" spans="1:3" ht="24">
      <c r="A707" s="293"/>
      <c r="B707" s="294"/>
      <c r="C707" s="295"/>
    </row>
    <row r="708" spans="1:3" ht="24">
      <c r="A708" s="293"/>
      <c r="B708" s="294"/>
      <c r="C708" s="295"/>
    </row>
    <row r="709" spans="1:3" ht="24">
      <c r="A709" s="293"/>
      <c r="B709" s="294"/>
      <c r="C709" s="295"/>
    </row>
    <row r="710" spans="1:3" ht="24">
      <c r="A710" s="293"/>
      <c r="B710" s="294"/>
      <c r="C710" s="295"/>
    </row>
    <row r="711" spans="1:3" ht="24">
      <c r="A711" s="309"/>
      <c r="B711" s="294"/>
      <c r="C711" s="295"/>
    </row>
    <row r="712" spans="1:3" ht="24">
      <c r="A712" s="309"/>
      <c r="B712" s="294"/>
      <c r="C712" s="295"/>
    </row>
    <row r="713" spans="1:3" ht="24">
      <c r="A713" s="309"/>
      <c r="B713" s="294"/>
      <c r="C713" s="295"/>
    </row>
    <row r="714" spans="1:3" ht="24">
      <c r="A714" s="309"/>
      <c r="B714" s="294"/>
      <c r="C714" s="295"/>
    </row>
    <row r="715" spans="1:3" ht="24">
      <c r="A715" s="293"/>
      <c r="B715" s="294"/>
      <c r="C715" s="295"/>
    </row>
    <row r="716" spans="1:3" ht="24">
      <c r="A716" s="293"/>
      <c r="B716" s="294"/>
      <c r="C716" s="295"/>
    </row>
    <row r="717" spans="1:3" ht="24">
      <c r="A717" s="293"/>
      <c r="B717" s="294"/>
      <c r="C717" s="295"/>
    </row>
    <row r="718" spans="1:3" ht="24">
      <c r="A718" s="293"/>
      <c r="B718" s="294"/>
      <c r="C718" s="295"/>
    </row>
    <row r="719" spans="1:3" ht="24">
      <c r="A719" s="293"/>
      <c r="B719" s="310"/>
      <c r="C719" s="295"/>
    </row>
    <row r="720" spans="1:3" ht="24">
      <c r="A720" s="293"/>
      <c r="B720" s="298"/>
      <c r="C720" s="295"/>
    </row>
    <row r="721" spans="1:3" ht="24">
      <c r="A721" s="293"/>
      <c r="B721" s="294"/>
      <c r="C721" s="295"/>
    </row>
    <row r="722" spans="1:3" ht="24">
      <c r="A722" s="293"/>
      <c r="B722" s="294"/>
      <c r="C722" s="295"/>
    </row>
    <row r="723" spans="1:3" ht="24">
      <c r="A723" s="293"/>
      <c r="B723" s="294"/>
      <c r="C723" s="295"/>
    </row>
    <row r="724" spans="1:3" ht="24">
      <c r="A724" s="293"/>
      <c r="B724" s="294"/>
      <c r="C724" s="295"/>
    </row>
    <row r="725" spans="1:3" ht="24">
      <c r="A725" s="293"/>
      <c r="B725" s="294"/>
      <c r="C725" s="295"/>
    </row>
    <row r="726" spans="1:3" ht="24">
      <c r="A726" s="293"/>
      <c r="B726" s="294"/>
      <c r="C726" s="295"/>
    </row>
    <row r="727" spans="1:3" ht="24">
      <c r="A727" s="293"/>
      <c r="B727" s="294"/>
      <c r="C727" s="295"/>
    </row>
    <row r="728" spans="1:3" ht="24">
      <c r="A728" s="293"/>
      <c r="B728" s="294"/>
      <c r="C728" s="295"/>
    </row>
    <row r="729" spans="1:3" ht="24">
      <c r="A729" s="293"/>
      <c r="B729" s="311"/>
      <c r="C729" s="295"/>
    </row>
    <row r="730" spans="1:3" ht="24">
      <c r="A730" s="293"/>
      <c r="B730" s="311"/>
      <c r="C730" s="295"/>
    </row>
    <row r="731" spans="1:3" ht="24">
      <c r="A731" s="293"/>
      <c r="B731" s="294"/>
      <c r="C731" s="295"/>
    </row>
    <row r="732" spans="1:3" ht="24">
      <c r="A732" s="293"/>
      <c r="B732" s="294"/>
      <c r="C732" s="295"/>
    </row>
    <row r="733" spans="1:3" ht="24">
      <c r="A733" s="293"/>
      <c r="B733" s="294"/>
      <c r="C733" s="295"/>
    </row>
    <row r="734" spans="1:3" ht="24">
      <c r="A734" s="293"/>
      <c r="B734" s="294"/>
      <c r="C734" s="295"/>
    </row>
    <row r="735" spans="1:3" ht="24">
      <c r="A735" s="293"/>
      <c r="B735" s="294"/>
      <c r="C735" s="295"/>
    </row>
    <row r="736" spans="1:3" ht="24">
      <c r="A736" s="293"/>
      <c r="B736" s="294"/>
      <c r="C736" s="295"/>
    </row>
    <row r="737" spans="1:3" ht="24">
      <c r="A737" s="293"/>
      <c r="B737" s="294"/>
      <c r="C737" s="295"/>
    </row>
    <row r="738" spans="1:3" ht="24">
      <c r="A738" s="293"/>
      <c r="B738" s="294"/>
      <c r="C738" s="295"/>
    </row>
    <row r="739" spans="1:3" ht="24">
      <c r="A739" s="293"/>
      <c r="B739" s="294"/>
      <c r="C739" s="295"/>
    </row>
    <row r="740" spans="1:3" ht="24">
      <c r="A740" s="293"/>
      <c r="B740" s="294"/>
      <c r="C740" s="295"/>
    </row>
    <row r="741" spans="1:3" ht="24">
      <c r="A741" s="293"/>
      <c r="B741" s="294"/>
      <c r="C741" s="295"/>
    </row>
    <row r="742" spans="1:3" ht="24">
      <c r="A742" s="293"/>
      <c r="B742" s="294"/>
      <c r="C742" s="295"/>
    </row>
    <row r="743" spans="1:3" ht="24">
      <c r="A743" s="293"/>
      <c r="B743" s="294"/>
      <c r="C743" s="295"/>
    </row>
    <row r="744" spans="1:3" ht="24">
      <c r="A744" s="293"/>
      <c r="B744" s="294"/>
      <c r="C744" s="295"/>
    </row>
    <row r="745" spans="1:3" ht="24">
      <c r="A745" s="293"/>
      <c r="B745" s="294"/>
      <c r="C745" s="295"/>
    </row>
    <row r="746" spans="1:3" ht="24">
      <c r="A746" s="293"/>
      <c r="B746" s="294"/>
      <c r="C746" s="295"/>
    </row>
    <row r="747" spans="1:3" ht="24">
      <c r="A747" s="293"/>
      <c r="B747" s="294"/>
      <c r="C747" s="295"/>
    </row>
    <row r="748" spans="1:3" ht="24">
      <c r="A748" s="293"/>
      <c r="B748" s="294"/>
      <c r="C748" s="295"/>
    </row>
    <row r="749" spans="1:3" ht="24">
      <c r="A749" s="293"/>
      <c r="B749" s="294"/>
      <c r="C749" s="295"/>
    </row>
    <row r="750" spans="1:3" ht="24">
      <c r="A750" s="293"/>
      <c r="B750" s="294"/>
      <c r="C750" s="295"/>
    </row>
    <row r="751" spans="1:3" ht="24">
      <c r="A751" s="293"/>
      <c r="B751" s="294"/>
      <c r="C751" s="295"/>
    </row>
    <row r="752" spans="1:3" ht="24">
      <c r="A752" s="293"/>
      <c r="B752" s="294"/>
      <c r="C752" s="295"/>
    </row>
    <row r="753" spans="1:3" ht="24">
      <c r="A753" s="293"/>
      <c r="B753" s="294"/>
      <c r="C753" s="295"/>
    </row>
    <row r="754" spans="1:3" ht="24">
      <c r="A754" s="293"/>
      <c r="B754" s="294"/>
      <c r="C754" s="295"/>
    </row>
    <row r="755" spans="1:3" ht="24">
      <c r="A755" s="293"/>
      <c r="B755" s="294"/>
      <c r="C755" s="295"/>
    </row>
    <row r="756" spans="1:3" ht="24">
      <c r="A756" s="297"/>
      <c r="B756" s="37"/>
      <c r="C756" s="295"/>
    </row>
    <row r="757" spans="1:3" ht="24">
      <c r="A757" s="293"/>
      <c r="B757" s="298"/>
      <c r="C757" s="295"/>
    </row>
    <row r="758" spans="1:3" ht="24">
      <c r="A758" s="293"/>
      <c r="B758" s="298"/>
      <c r="C758" s="295"/>
    </row>
    <row r="759" spans="1:3" ht="24">
      <c r="A759" s="293"/>
      <c r="B759" s="298"/>
      <c r="C759" s="295"/>
    </row>
    <row r="760" spans="1:3" ht="24">
      <c r="A760" s="293"/>
      <c r="B760" s="298"/>
      <c r="C760" s="295"/>
    </row>
    <row r="761" spans="1:3" ht="24">
      <c r="A761" s="293"/>
      <c r="B761" s="298"/>
      <c r="C761" s="295"/>
    </row>
    <row r="762" spans="1:3" ht="24">
      <c r="A762" s="293"/>
      <c r="B762" s="298"/>
      <c r="C762" s="295"/>
    </row>
    <row r="763" spans="1:3" ht="24">
      <c r="A763" s="293"/>
      <c r="B763" s="298"/>
      <c r="C763" s="295"/>
    </row>
    <row r="764" spans="1:3" ht="24">
      <c r="A764" s="293"/>
      <c r="B764" s="298"/>
      <c r="C764" s="295"/>
    </row>
    <row r="765" spans="1:3" ht="24">
      <c r="A765" s="293"/>
      <c r="B765" s="298"/>
      <c r="C765" s="295"/>
    </row>
    <row r="766" spans="1:3" ht="24">
      <c r="A766" s="293"/>
      <c r="B766" s="298"/>
      <c r="C766" s="295"/>
    </row>
    <row r="767" spans="1:3" ht="24">
      <c r="A767" s="293"/>
      <c r="B767" s="298"/>
      <c r="C767" s="295"/>
    </row>
    <row r="768" spans="1:3" ht="24">
      <c r="A768" s="293"/>
      <c r="B768" s="298"/>
      <c r="C768" s="295"/>
    </row>
    <row r="769" spans="1:3" ht="24">
      <c r="A769" s="293"/>
      <c r="B769" s="298"/>
      <c r="C769" s="295"/>
    </row>
    <row r="770" spans="1:3" ht="24">
      <c r="A770" s="293"/>
      <c r="B770" s="298"/>
      <c r="C770" s="295"/>
    </row>
    <row r="771" spans="1:3" ht="24">
      <c r="A771" s="293"/>
      <c r="B771" s="298"/>
      <c r="C771" s="295"/>
    </row>
    <row r="772" spans="1:3" ht="24">
      <c r="A772" s="293"/>
      <c r="B772" s="298"/>
      <c r="C772" s="295"/>
    </row>
    <row r="773" spans="1:3" ht="24">
      <c r="A773" s="293"/>
      <c r="B773" s="298"/>
      <c r="C773" s="295"/>
    </row>
    <row r="774" spans="1:3" ht="24">
      <c r="A774" s="293"/>
      <c r="B774" s="298"/>
      <c r="C774" s="295"/>
    </row>
    <row r="775" spans="1:3" ht="24">
      <c r="A775" s="293"/>
      <c r="B775" s="298"/>
      <c r="C775" s="295"/>
    </row>
    <row r="776" spans="1:3" ht="24">
      <c r="A776" s="293"/>
      <c r="B776" s="299"/>
      <c r="C776" s="295"/>
    </row>
    <row r="777" spans="1:3" ht="24">
      <c r="A777" s="293"/>
      <c r="B777" s="298"/>
      <c r="C777" s="295"/>
    </row>
    <row r="778" spans="1:3" ht="24">
      <c r="A778" s="293"/>
      <c r="B778" s="298"/>
      <c r="C778" s="295"/>
    </row>
    <row r="779" spans="1:3" ht="24">
      <c r="A779" s="293"/>
      <c r="B779" s="294"/>
      <c r="C779" s="295"/>
    </row>
    <row r="780" spans="1:3" ht="24">
      <c r="A780" s="293"/>
      <c r="B780" s="294"/>
      <c r="C780" s="295"/>
    </row>
    <row r="781" spans="1:3" ht="24">
      <c r="A781" s="293"/>
      <c r="B781" s="294"/>
      <c r="C781" s="295"/>
    </row>
    <row r="782" spans="1:3" ht="24">
      <c r="A782" s="293"/>
      <c r="B782" s="294"/>
      <c r="C782" s="295"/>
    </row>
    <row r="783" spans="1:3" ht="24">
      <c r="A783" s="293"/>
      <c r="B783" s="294"/>
      <c r="C783" s="295"/>
    </row>
    <row r="784" spans="1:3" ht="24">
      <c r="A784" s="293"/>
      <c r="B784" s="294"/>
      <c r="C784" s="295"/>
    </row>
    <row r="785" spans="1:3" ht="24">
      <c r="A785" s="293"/>
      <c r="B785" s="294"/>
      <c r="C785" s="295"/>
    </row>
    <row r="786" spans="1:3" ht="24">
      <c r="A786" s="293"/>
      <c r="B786" s="294"/>
      <c r="C786" s="295"/>
    </row>
    <row r="787" spans="1:3" ht="24">
      <c r="A787" s="293"/>
      <c r="B787" s="294"/>
      <c r="C787" s="295"/>
    </row>
    <row r="788" spans="1:3" ht="24">
      <c r="A788" s="293"/>
      <c r="B788" s="294"/>
      <c r="C788" s="295"/>
    </row>
    <row r="789" spans="1:3" ht="24">
      <c r="A789" s="293"/>
      <c r="B789" s="294"/>
      <c r="C789" s="295"/>
    </row>
    <row r="790" spans="1:3" ht="24">
      <c r="A790" s="293"/>
      <c r="B790" s="294"/>
      <c r="C790" s="295"/>
    </row>
    <row r="791" spans="1:3" ht="24">
      <c r="A791" s="293"/>
      <c r="B791" s="294"/>
      <c r="C791" s="295"/>
    </row>
    <row r="792" spans="1:3" ht="24">
      <c r="A792" s="293"/>
      <c r="B792" s="294"/>
      <c r="C792" s="295"/>
    </row>
    <row r="793" spans="1:3" ht="24">
      <c r="A793" s="293"/>
      <c r="B793" s="294"/>
      <c r="C793" s="295"/>
    </row>
    <row r="794" spans="1:3" ht="24">
      <c r="A794" s="293"/>
      <c r="B794" s="294"/>
      <c r="C794" s="295"/>
    </row>
    <row r="795" spans="1:3" ht="24">
      <c r="A795" s="293"/>
      <c r="B795" s="294"/>
      <c r="C795" s="295"/>
    </row>
    <row r="796" spans="1:3" ht="24">
      <c r="A796" s="293"/>
      <c r="B796" s="294"/>
      <c r="C796" s="295"/>
    </row>
    <row r="797" spans="1:3" ht="24">
      <c r="A797" s="293"/>
      <c r="B797" s="294"/>
      <c r="C797" s="295"/>
    </row>
    <row r="798" spans="1:3" ht="24">
      <c r="A798" s="293"/>
      <c r="B798" s="294"/>
      <c r="C798" s="295"/>
    </row>
    <row r="799" spans="1:3" ht="24">
      <c r="A799" s="297"/>
      <c r="B799" s="37"/>
      <c r="C799" s="295"/>
    </row>
    <row r="800" spans="1:3" ht="24">
      <c r="A800" s="297"/>
      <c r="B800" s="37"/>
      <c r="C800" s="295"/>
    </row>
    <row r="801" spans="1:3" ht="24">
      <c r="A801" s="293"/>
      <c r="B801" s="294"/>
      <c r="C801" s="295"/>
    </row>
    <row r="802" spans="1:3" ht="24">
      <c r="A802" s="293"/>
      <c r="B802" s="294"/>
      <c r="C802" s="295"/>
    </row>
    <row r="803" spans="1:3" ht="24">
      <c r="A803" s="293"/>
      <c r="B803" s="294"/>
      <c r="C803" s="295"/>
    </row>
    <row r="804" spans="1:3" ht="24">
      <c r="A804" s="297"/>
      <c r="B804" s="37"/>
      <c r="C804" s="295"/>
    </row>
    <row r="805" spans="1:3" ht="24">
      <c r="A805" s="297"/>
      <c r="B805" s="37"/>
      <c r="C805" s="295"/>
    </row>
    <row r="806" spans="1:3" ht="24">
      <c r="A806" s="297"/>
      <c r="B806" s="37"/>
      <c r="C806" s="295"/>
    </row>
    <row r="807" spans="1:3" ht="24">
      <c r="A807" s="297"/>
      <c r="B807" s="37"/>
      <c r="C807" s="295"/>
    </row>
    <row r="808" spans="1:3" ht="24">
      <c r="A808" s="297"/>
      <c r="B808" s="37"/>
      <c r="C808" s="295"/>
    </row>
    <row r="809" spans="1:3" ht="24">
      <c r="A809" s="297"/>
      <c r="B809" s="37"/>
      <c r="C809" s="295"/>
    </row>
    <row r="810" spans="1:3" ht="24">
      <c r="A810" s="293"/>
      <c r="B810" s="294"/>
      <c r="C810" s="295"/>
    </row>
    <row r="811" spans="1:3" ht="24">
      <c r="A811" s="293"/>
      <c r="B811" s="294"/>
      <c r="C811" s="295"/>
    </row>
    <row r="812" spans="1:3" ht="24">
      <c r="A812" s="293"/>
      <c r="B812" s="294"/>
      <c r="C812" s="295"/>
    </row>
    <row r="813" spans="1:3" ht="24">
      <c r="A813" s="293"/>
      <c r="B813" s="294"/>
      <c r="C813" s="295"/>
    </row>
    <row r="814" spans="1:3" ht="24">
      <c r="A814" s="293"/>
      <c r="B814" s="294"/>
      <c r="C814" s="295"/>
    </row>
    <row r="815" spans="1:3" ht="24">
      <c r="A815" s="293"/>
      <c r="B815" s="294"/>
      <c r="C815" s="295"/>
    </row>
    <row r="816" spans="1:3" ht="24">
      <c r="A816" s="293"/>
      <c r="B816" s="294"/>
      <c r="C816" s="295"/>
    </row>
    <row r="817" spans="1:3" ht="24">
      <c r="A817" s="293"/>
      <c r="B817" s="294"/>
      <c r="C817" s="295"/>
    </row>
    <row r="818" spans="1:3" ht="24">
      <c r="A818" s="293"/>
      <c r="B818" s="294"/>
      <c r="C818" s="295"/>
    </row>
    <row r="819" spans="1:3" ht="24">
      <c r="A819" s="293"/>
      <c r="B819" s="294"/>
      <c r="C819" s="295"/>
    </row>
    <row r="820" spans="1:3" ht="24">
      <c r="A820" s="293"/>
      <c r="B820" s="294"/>
      <c r="C820" s="295"/>
    </row>
    <row r="821" spans="1:3" ht="24">
      <c r="A821" s="293"/>
      <c r="B821" s="294"/>
      <c r="C821" s="295"/>
    </row>
    <row r="822" spans="1:3" ht="24">
      <c r="A822" s="293"/>
      <c r="B822" s="294"/>
      <c r="C822" s="295"/>
    </row>
    <row r="823" spans="1:3" ht="24">
      <c r="A823" s="293"/>
      <c r="B823" s="294"/>
      <c r="C823" s="295"/>
    </row>
    <row r="824" spans="1:3" ht="24">
      <c r="A824" s="293"/>
      <c r="B824" s="294"/>
      <c r="C824" s="295"/>
    </row>
    <row r="825" spans="1:3" ht="24">
      <c r="A825" s="293"/>
      <c r="B825" s="294"/>
      <c r="C825" s="295"/>
    </row>
    <row r="826" spans="1:3" ht="24">
      <c r="A826" s="293"/>
      <c r="B826" s="294"/>
      <c r="C826" s="295"/>
    </row>
    <row r="827" spans="1:3" ht="24">
      <c r="A827" s="293"/>
      <c r="B827" s="294"/>
      <c r="C827" s="295"/>
    </row>
    <row r="828" spans="1:3" ht="24">
      <c r="A828" s="293"/>
      <c r="B828" s="294"/>
      <c r="C828" s="295"/>
    </row>
    <row r="829" spans="1:3" ht="24">
      <c r="A829" s="293"/>
      <c r="B829" s="294"/>
      <c r="C829" s="295"/>
    </row>
    <row r="830" spans="1:3" ht="24">
      <c r="A830" s="293"/>
      <c r="B830" s="294"/>
      <c r="C830" s="295"/>
    </row>
    <row r="831" spans="1:3" ht="24">
      <c r="A831" s="293"/>
      <c r="B831" s="294"/>
      <c r="C831" s="295"/>
    </row>
    <row r="832" spans="1:3" ht="24">
      <c r="A832" s="297"/>
      <c r="B832" s="37"/>
      <c r="C832" s="295"/>
    </row>
    <row r="833" spans="1:3" ht="24">
      <c r="A833" s="297"/>
      <c r="B833" s="37"/>
      <c r="C833" s="295"/>
    </row>
    <row r="834" spans="1:3" ht="24">
      <c r="A834" s="293"/>
      <c r="B834" s="294"/>
      <c r="C834" s="295"/>
    </row>
    <row r="835" spans="1:3" ht="24">
      <c r="A835" s="293"/>
      <c r="B835" s="294"/>
      <c r="C835" s="295"/>
    </row>
    <row r="836" spans="1:3" ht="24">
      <c r="A836" s="293"/>
      <c r="B836" s="294"/>
      <c r="C836" s="295"/>
    </row>
    <row r="837" spans="1:3" ht="24">
      <c r="A837" s="297"/>
      <c r="B837" s="37"/>
      <c r="C837" s="295"/>
    </row>
    <row r="838" spans="1:3" ht="24">
      <c r="A838" s="297"/>
      <c r="B838" s="37"/>
      <c r="C838" s="295"/>
    </row>
    <row r="839" spans="1:3" ht="24">
      <c r="A839" s="297"/>
      <c r="B839" s="37"/>
      <c r="C839" s="295"/>
    </row>
    <row r="840" spans="1:3" ht="24">
      <c r="A840" s="297"/>
      <c r="B840" s="37"/>
      <c r="C840" s="295"/>
    </row>
    <row r="841" spans="1:3" ht="24">
      <c r="A841" s="297"/>
      <c r="B841" s="37"/>
      <c r="C841" s="295"/>
    </row>
    <row r="842" spans="1:3" ht="24">
      <c r="A842" s="297"/>
      <c r="B842" s="37"/>
      <c r="C842" s="295"/>
    </row>
    <row r="843" spans="1:3" ht="24">
      <c r="A843" s="293"/>
      <c r="B843" s="294"/>
      <c r="C843" s="295"/>
    </row>
    <row r="844" spans="1:3" ht="24">
      <c r="A844" s="293"/>
      <c r="B844" s="294"/>
      <c r="C844" s="295"/>
    </row>
    <row r="845" spans="1:3" ht="24">
      <c r="A845" s="293"/>
      <c r="B845" s="294"/>
      <c r="C845" s="295"/>
    </row>
    <row r="846" spans="1:3" ht="24">
      <c r="A846" s="293"/>
      <c r="B846" s="294"/>
      <c r="C846" s="295"/>
    </row>
    <row r="847" spans="1:3" ht="24">
      <c r="A847" s="293"/>
      <c r="B847" s="294"/>
      <c r="C847" s="295"/>
    </row>
    <row r="848" spans="1:3" ht="24">
      <c r="A848" s="293"/>
      <c r="B848" s="294"/>
      <c r="C848" s="295"/>
    </row>
    <row r="849" spans="1:3" ht="24">
      <c r="A849" s="293"/>
      <c r="B849" s="294"/>
      <c r="C849" s="295"/>
    </row>
    <row r="850" spans="1:3" ht="24">
      <c r="A850" s="293"/>
      <c r="B850" s="294"/>
      <c r="C850" s="295"/>
    </row>
    <row r="851" spans="1:3" ht="24">
      <c r="A851" s="293"/>
      <c r="B851" s="294"/>
      <c r="C851" s="295"/>
    </row>
    <row r="852" spans="1:3" ht="24">
      <c r="A852" s="293"/>
      <c r="B852" s="294"/>
      <c r="C852" s="295"/>
    </row>
    <row r="853" spans="1:3" ht="24">
      <c r="A853" s="293"/>
      <c r="B853" s="294"/>
      <c r="C853" s="295"/>
    </row>
    <row r="854" spans="1:3" ht="24">
      <c r="A854" s="293"/>
      <c r="B854" s="294"/>
      <c r="C854" s="295"/>
    </row>
    <row r="855" spans="1:3" ht="24">
      <c r="A855" s="293"/>
      <c r="B855" s="294"/>
      <c r="C855" s="295"/>
    </row>
    <row r="856" spans="1:3" ht="24">
      <c r="A856" s="293"/>
      <c r="B856" s="294"/>
      <c r="C856" s="295"/>
    </row>
    <row r="857" spans="1:3" ht="24">
      <c r="A857" s="293"/>
      <c r="B857" s="294"/>
      <c r="C857" s="295"/>
    </row>
    <row r="858" spans="1:3" ht="24">
      <c r="A858" s="293"/>
      <c r="B858" s="299"/>
      <c r="C858" s="295"/>
    </row>
    <row r="859" spans="1:3" ht="24">
      <c r="A859" s="293"/>
      <c r="B859" s="294"/>
      <c r="C859" s="295"/>
    </row>
    <row r="860" spans="1:3" ht="24">
      <c r="A860" s="293"/>
      <c r="B860" s="294"/>
      <c r="C860" s="295"/>
    </row>
    <row r="861" spans="1:3" ht="24">
      <c r="A861" s="293"/>
      <c r="B861" s="294"/>
      <c r="C861" s="295"/>
    </row>
    <row r="862" spans="1:3" ht="24">
      <c r="A862" s="293"/>
      <c r="B862" s="294"/>
      <c r="C862" s="295"/>
    </row>
    <row r="863" spans="1:3" ht="24">
      <c r="A863" s="293"/>
      <c r="B863" s="294"/>
      <c r="C863" s="295"/>
    </row>
    <row r="864" spans="1:3" ht="24">
      <c r="A864" s="293"/>
      <c r="B864" s="294"/>
      <c r="C864" s="295"/>
    </row>
    <row r="865" spans="1:3" ht="24">
      <c r="A865" s="293"/>
      <c r="B865" s="294"/>
      <c r="C865" s="295"/>
    </row>
    <row r="866" spans="1:3" ht="24">
      <c r="A866" s="293"/>
      <c r="B866" s="294"/>
      <c r="C866" s="295"/>
    </row>
    <row r="867" spans="1:3" ht="24">
      <c r="A867" s="293"/>
      <c r="B867" s="294"/>
      <c r="C867" s="295"/>
    </row>
    <row r="868" spans="1:3" ht="24">
      <c r="A868" s="293"/>
      <c r="B868" s="294"/>
      <c r="C868" s="295"/>
    </row>
    <row r="869" spans="1:3" ht="24">
      <c r="A869" s="293"/>
      <c r="B869" s="294"/>
      <c r="C869" s="295"/>
    </row>
    <row r="870" spans="1:3" ht="24">
      <c r="A870" s="293"/>
      <c r="B870" s="294"/>
      <c r="C870" s="295"/>
    </row>
    <row r="871" spans="1:3" ht="24">
      <c r="A871" s="309"/>
      <c r="B871" s="298"/>
      <c r="C871" s="295"/>
    </row>
    <row r="872" spans="1:3" ht="24">
      <c r="A872" s="309"/>
      <c r="B872" s="298"/>
      <c r="C872" s="295"/>
    </row>
    <row r="873" spans="1:3" ht="24">
      <c r="A873" s="309"/>
      <c r="B873" s="298"/>
      <c r="C873" s="295"/>
    </row>
    <row r="874" spans="1:3" ht="24">
      <c r="A874" s="309"/>
      <c r="B874" s="298"/>
      <c r="C874" s="295"/>
    </row>
    <row r="875" spans="1:3" ht="24">
      <c r="A875" s="293"/>
      <c r="B875" s="294"/>
      <c r="C875" s="295"/>
    </row>
    <row r="876" spans="1:3" ht="24">
      <c r="A876" s="293"/>
      <c r="B876" s="294"/>
      <c r="C876" s="295"/>
    </row>
    <row r="877" spans="1:3" ht="24">
      <c r="A877" s="293"/>
      <c r="B877" s="294"/>
      <c r="C877" s="295"/>
    </row>
    <row r="878" spans="1:3" ht="24">
      <c r="A878" s="293"/>
      <c r="B878" s="294"/>
      <c r="C878" s="295"/>
    </row>
    <row r="879" spans="1:3" ht="24">
      <c r="A879" s="293"/>
      <c r="B879" s="294"/>
      <c r="C879" s="295"/>
    </row>
    <row r="880" spans="1:3" ht="24">
      <c r="A880" s="293"/>
      <c r="B880" s="294"/>
      <c r="C880" s="295"/>
    </row>
    <row r="881" spans="1:3" ht="24">
      <c r="A881" s="293"/>
      <c r="B881" s="294"/>
      <c r="C881" s="295"/>
    </row>
    <row r="882" spans="1:3" ht="24">
      <c r="A882" s="293"/>
      <c r="B882" s="294"/>
      <c r="C882" s="295"/>
    </row>
    <row r="883" spans="1:3" ht="24">
      <c r="A883" s="293"/>
      <c r="B883" s="294"/>
      <c r="C883" s="295"/>
    </row>
    <row r="884" spans="1:3" ht="24">
      <c r="A884" s="293"/>
      <c r="B884" s="294"/>
      <c r="C884" s="295"/>
    </row>
    <row r="885" spans="1:3" ht="24">
      <c r="A885" s="297"/>
      <c r="B885" s="37"/>
      <c r="C885" s="295"/>
    </row>
    <row r="886" spans="1:3" ht="24">
      <c r="A886" s="293"/>
      <c r="B886" s="294"/>
      <c r="C886" s="295"/>
    </row>
    <row r="887" spans="1:3" ht="24">
      <c r="A887" s="293"/>
      <c r="B887" s="294"/>
      <c r="C887" s="295"/>
    </row>
    <row r="888" spans="1:3" ht="24">
      <c r="A888" s="293"/>
      <c r="B888" s="294"/>
      <c r="C888" s="295"/>
    </row>
    <row r="889" spans="1:3" ht="24">
      <c r="A889" s="293"/>
      <c r="B889" s="294"/>
      <c r="C889" s="295"/>
    </row>
    <row r="890" spans="1:3" ht="24">
      <c r="A890" s="293"/>
      <c r="B890" s="294"/>
      <c r="C890" s="295"/>
    </row>
    <row r="891" spans="1:3" ht="24">
      <c r="A891" s="293"/>
      <c r="B891" s="294"/>
      <c r="C891" s="295"/>
    </row>
    <row r="892" spans="1:3" ht="24">
      <c r="A892" s="293"/>
      <c r="B892" s="294"/>
      <c r="C892" s="295"/>
    </row>
    <row r="893" spans="1:3" ht="24">
      <c r="A893" s="293"/>
      <c r="B893" s="294"/>
      <c r="C893" s="295"/>
    </row>
    <row r="894" spans="1:3" ht="24">
      <c r="A894" s="293"/>
      <c r="B894" s="294"/>
      <c r="C894" s="295"/>
    </row>
    <row r="895" spans="1:3" ht="24">
      <c r="A895" s="293"/>
      <c r="B895" s="294"/>
      <c r="C895" s="295"/>
    </row>
    <row r="896" spans="1:3" ht="24">
      <c r="A896" s="293"/>
      <c r="B896" s="294"/>
      <c r="C896" s="295"/>
    </row>
    <row r="897" spans="1:3" ht="24">
      <c r="A897" s="293"/>
      <c r="B897" s="294"/>
      <c r="C897" s="295"/>
    </row>
    <row r="898" spans="1:3" ht="24">
      <c r="A898" s="293"/>
      <c r="B898" s="294"/>
      <c r="C898" s="295"/>
    </row>
    <row r="899" spans="1:3" ht="24">
      <c r="A899" s="293"/>
      <c r="B899" s="294"/>
      <c r="C899" s="295"/>
    </row>
    <row r="900" spans="1:3" ht="24">
      <c r="A900" s="293"/>
      <c r="B900" s="294"/>
      <c r="C900" s="2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HIG05</dc:creator>
  <cp:keywords/>
  <dc:description/>
  <cp:lastModifiedBy>User</cp:lastModifiedBy>
  <cp:lastPrinted>2018-03-28T10:50:31Z</cp:lastPrinted>
  <dcterms:created xsi:type="dcterms:W3CDTF">2016-07-25T14:36:11Z</dcterms:created>
  <dcterms:modified xsi:type="dcterms:W3CDTF">2018-03-28T11:49:41Z</dcterms:modified>
  <cp:category/>
  <cp:version/>
  <cp:contentType/>
  <cp:contentStatus/>
</cp:coreProperties>
</file>