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240" windowWidth="12090" windowHeight="7410" tabRatio="805" activeTab="1"/>
  </bookViews>
  <sheets>
    <sheet name="Sheet1" sheetId="27" r:id="rId1"/>
    <sheet name="Planfin2561" sheetId="8" r:id="rId2"/>
    <sheet name="Revenue" sheetId="1" r:id="rId3"/>
    <sheet name="Expense" sheetId="5" r:id="rId4"/>
    <sheet name="HGR2559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7.WS-แผน รพ.สต." sheetId="25" r:id="rId15"/>
    <sheet name="PlanFin Analysis" sheetId="30" r:id="rId16"/>
    <sheet name="WS2-9" sheetId="26" r:id="rId17"/>
  </sheets>
  <externalReferences>
    <externalReference r:id="rId18"/>
  </externalReferences>
  <definedNames>
    <definedName name="_xlnm._FilterDatabase" localSheetId="7" hidden="1">'1.WS-Re-Exp'!$A$2:$G$599</definedName>
    <definedName name="_xlnm._FilterDatabase" localSheetId="6" hidden="1">Mapping60!$A$1:$K$598</definedName>
    <definedName name="DATA">#REF!</definedName>
    <definedName name="_xlnm.Print_Area" localSheetId="1">Planfin2561!$A$1:$E$39</definedName>
    <definedName name="_xlnm.Print_Area" localSheetId="2">Revenue!$C$1:$G$53</definedName>
    <definedName name="_xlnm.Print_Titles" localSheetId="7">'1.WS-Re-Exp'!$1:$2</definedName>
    <definedName name="_xlnm.Print_Titles" localSheetId="1">Planfin2561!$1:$1</definedName>
  </definedNames>
  <calcPr calcId="144525" concurrentCalc="0"/>
</workbook>
</file>

<file path=xl/calcChain.xml><?xml version="1.0" encoding="utf-8"?>
<calcChain xmlns="http://schemas.openxmlformats.org/spreadsheetml/2006/main">
  <c r="D14" i="8" l="1"/>
  <c r="C115" i="28"/>
  <c r="F119" i="28"/>
  <c r="G120" i="28"/>
  <c r="C57" i="16"/>
  <c r="C59" i="16"/>
  <c r="C61" i="16"/>
  <c r="C63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8" i="16"/>
  <c r="C60" i="16"/>
  <c r="C62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G3" i="1"/>
  <c r="G12" i="1"/>
  <c r="G21" i="1"/>
  <c r="G29" i="1"/>
  <c r="G36" i="1"/>
  <c r="G110" i="28"/>
  <c r="F134" i="28"/>
  <c r="D4" i="8"/>
  <c r="D5" i="8"/>
  <c r="D6" i="8"/>
  <c r="D7" i="8"/>
  <c r="D8" i="8"/>
  <c r="D9" i="8"/>
  <c r="D10" i="8"/>
  <c r="D11" i="8"/>
  <c r="D12" i="8"/>
  <c r="D13" i="8"/>
  <c r="D15" i="8"/>
  <c r="A4" i="29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B4" i="29"/>
  <c r="C4" i="29"/>
  <c r="E4" i="29"/>
  <c r="C151" i="28"/>
  <c r="C147" i="28"/>
  <c r="G149" i="28"/>
  <c r="F135" i="28"/>
  <c r="G194" i="28"/>
  <c r="F187" i="28"/>
  <c r="F191" i="28"/>
  <c r="G191" i="28"/>
  <c r="H191" i="28"/>
  <c r="F190" i="28"/>
  <c r="G190" i="28"/>
  <c r="H190" i="28"/>
  <c r="F189" i="28"/>
  <c r="G189" i="28"/>
  <c r="H189" i="28"/>
  <c r="G188" i="28"/>
  <c r="I5" i="19"/>
  <c r="F115" i="28"/>
  <c r="F149" i="28"/>
  <c r="G148" i="28"/>
  <c r="F148" i="28"/>
  <c r="G4" i="1"/>
  <c r="G13" i="1"/>
  <c r="G37" i="1"/>
  <c r="G14" i="1"/>
  <c r="G31" i="1"/>
  <c r="G38" i="1"/>
  <c r="G6" i="1"/>
  <c r="G15" i="1"/>
  <c r="G22" i="1"/>
  <c r="G30" i="1"/>
  <c r="G39" i="1"/>
  <c r="G7" i="1"/>
  <c r="G16" i="1"/>
  <c r="G23" i="1"/>
  <c r="G32" i="1"/>
  <c r="G40" i="1"/>
  <c r="G8" i="1"/>
  <c r="G17" i="1"/>
  <c r="G24" i="1"/>
  <c r="G33" i="1"/>
  <c r="G41" i="1"/>
  <c r="G9" i="1"/>
  <c r="G18" i="1"/>
  <c r="G25" i="1"/>
  <c r="G42" i="1"/>
  <c r="G26" i="1"/>
  <c r="G43" i="1"/>
  <c r="G44" i="1"/>
  <c r="G45" i="1"/>
  <c r="G46" i="1"/>
  <c r="G47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6" i="5"/>
  <c r="E27" i="5"/>
  <c r="E28" i="5"/>
  <c r="E29" i="5"/>
  <c r="E31" i="5"/>
  <c r="E32" i="5"/>
  <c r="E33" i="5"/>
  <c r="E34" i="5"/>
  <c r="E35" i="5"/>
  <c r="E36" i="5"/>
  <c r="E37" i="5"/>
  <c r="E39" i="5"/>
  <c r="D35" i="8"/>
  <c r="C122" i="28"/>
  <c r="C106" i="28"/>
  <c r="D31" i="8"/>
  <c r="D32" i="8"/>
  <c r="E18" i="23"/>
  <c r="E17" i="23"/>
  <c r="I28" i="31"/>
  <c r="C31" i="8"/>
  <c r="C179" i="28"/>
  <c r="C139" i="28"/>
  <c r="C140" i="28"/>
  <c r="C170" i="28"/>
  <c r="C172" i="28"/>
  <c r="F172" i="28"/>
  <c r="F173" i="28"/>
  <c r="F174" i="28"/>
  <c r="F176" i="28"/>
  <c r="G179" i="28"/>
  <c r="C178" i="28"/>
  <c r="C177" i="28"/>
  <c r="C103" i="28"/>
  <c r="G5" i="8"/>
  <c r="I2" i="31"/>
  <c r="B4" i="24"/>
  <c r="C4" i="24"/>
  <c r="D4" i="24"/>
  <c r="H4" i="19"/>
  <c r="H5" i="19"/>
  <c r="H3" i="19"/>
  <c r="C163" i="28"/>
  <c r="C193" i="28"/>
  <c r="C194" i="28"/>
  <c r="C195" i="28"/>
  <c r="C196" i="28"/>
  <c r="C197" i="28"/>
  <c r="C198" i="28"/>
  <c r="C199" i="28"/>
  <c r="C200" i="28"/>
  <c r="C202" i="28"/>
  <c r="C203" i="28"/>
  <c r="C204" i="28"/>
  <c r="C205" i="28"/>
  <c r="C206" i="28"/>
  <c r="C207" i="28"/>
  <c r="C208" i="28"/>
  <c r="C209" i="28"/>
  <c r="C210" i="28"/>
  <c r="C211" i="28"/>
  <c r="G4" i="24"/>
  <c r="D85" i="8"/>
  <c r="F4" i="29"/>
  <c r="H4" i="29"/>
  <c r="M4" i="29"/>
  <c r="K4" i="29"/>
  <c r="N4" i="29"/>
  <c r="J4" i="29"/>
  <c r="I4" i="29"/>
  <c r="G49" i="1"/>
  <c r="G50" i="1"/>
  <c r="G51" i="1"/>
  <c r="G52" i="1"/>
  <c r="F12" i="1"/>
  <c r="E19" i="23"/>
  <c r="E20" i="23"/>
  <c r="D19" i="23"/>
  <c r="D20" i="23"/>
  <c r="G4" i="8"/>
  <c r="J4" i="8"/>
  <c r="I3" i="31"/>
  <c r="G11" i="23"/>
  <c r="D8" i="23"/>
  <c r="D36" i="8"/>
  <c r="C78" i="28"/>
  <c r="C69" i="28"/>
  <c r="C66" i="28"/>
  <c r="C65" i="28"/>
  <c r="C64" i="28"/>
  <c r="C63" i="28"/>
  <c r="C62" i="28"/>
  <c r="C61" i="28"/>
  <c r="C60" i="28"/>
  <c r="C59" i="28"/>
  <c r="C48" i="28"/>
  <c r="C46" i="28"/>
  <c r="C44" i="28"/>
  <c r="C42" i="28"/>
  <c r="C40" i="28"/>
  <c r="C38" i="28"/>
  <c r="C37" i="28"/>
  <c r="C34" i="28"/>
  <c r="C32" i="28"/>
  <c r="C30" i="28"/>
  <c r="E12" i="8"/>
  <c r="I4" i="19"/>
  <c r="J4" i="19"/>
  <c r="C5" i="22"/>
  <c r="D5" i="22"/>
  <c r="E5" i="22"/>
  <c r="J5" i="19"/>
  <c r="C6" i="22"/>
  <c r="D6" i="22"/>
  <c r="E6" i="22"/>
  <c r="E7" i="22"/>
  <c r="E8" i="22"/>
  <c r="E9" i="22"/>
  <c r="E10" i="22"/>
  <c r="E11" i="22"/>
  <c r="E12" i="22"/>
  <c r="E13" i="22"/>
  <c r="D14" i="22"/>
  <c r="E14" i="22"/>
  <c r="E15" i="22"/>
  <c r="E16" i="22"/>
  <c r="I3" i="19"/>
  <c r="J3" i="19"/>
  <c r="C4" i="22"/>
  <c r="D4" i="22"/>
  <c r="E4" i="22"/>
  <c r="F4" i="22"/>
  <c r="D15" i="22"/>
  <c r="F4" i="19"/>
  <c r="E3" i="19"/>
  <c r="D3" i="19"/>
  <c r="G3" i="20"/>
  <c r="G13" i="20"/>
  <c r="G5" i="20"/>
  <c r="F3" i="20"/>
  <c r="F13" i="20"/>
  <c r="F12" i="20"/>
  <c r="F11" i="20"/>
  <c r="F10" i="20"/>
  <c r="F9" i="20"/>
  <c r="F8" i="20"/>
  <c r="F7" i="20"/>
  <c r="F6" i="20"/>
  <c r="F5" i="20"/>
  <c r="F4" i="20"/>
  <c r="G6" i="20"/>
  <c r="G8" i="20"/>
  <c r="G9" i="20"/>
  <c r="G10" i="20"/>
  <c r="G11" i="20"/>
  <c r="G14" i="20"/>
  <c r="C17" i="22"/>
  <c r="B17" i="22"/>
  <c r="D13" i="22"/>
  <c r="D16" i="22"/>
  <c r="D7" i="22"/>
  <c r="D8" i="22"/>
  <c r="D9" i="22"/>
  <c r="D10" i="22"/>
  <c r="D11" i="22"/>
  <c r="D17" i="22"/>
  <c r="D12" i="22"/>
  <c r="D9" i="23"/>
  <c r="H9" i="23"/>
  <c r="D10" i="23"/>
  <c r="H10" i="23"/>
  <c r="H4" i="23"/>
  <c r="H5" i="23"/>
  <c r="H6" i="23"/>
  <c r="D7" i="23"/>
  <c r="H7" i="23"/>
  <c r="D5" i="23"/>
  <c r="D4" i="23"/>
  <c r="D6" i="23"/>
  <c r="H8" i="23"/>
  <c r="H11" i="23"/>
  <c r="G5" i="24"/>
  <c r="G6" i="24"/>
  <c r="G7" i="24"/>
  <c r="G3" i="25"/>
  <c r="G4" i="25"/>
  <c r="G5" i="25"/>
  <c r="G6" i="25"/>
  <c r="G7" i="25"/>
  <c r="G8" i="25"/>
  <c r="G9" i="25"/>
  <c r="G10" i="25"/>
  <c r="G11" i="25"/>
  <c r="G13" i="25"/>
  <c r="D11" i="25"/>
  <c r="D10" i="25"/>
  <c r="D9" i="25"/>
  <c r="D8" i="25"/>
  <c r="D7" i="25"/>
  <c r="D6" i="25"/>
  <c r="D5" i="25"/>
  <c r="D4" i="25"/>
  <c r="D3" i="25"/>
  <c r="C13" i="25"/>
  <c r="D13" i="25"/>
  <c r="E13" i="25"/>
  <c r="F13" i="25"/>
  <c r="I5" i="8"/>
  <c r="G6" i="8"/>
  <c r="I6" i="8"/>
  <c r="G7" i="8"/>
  <c r="I7" i="8"/>
  <c r="G8" i="8"/>
  <c r="I8" i="8"/>
  <c r="G9" i="8"/>
  <c r="I9" i="8"/>
  <c r="G10" i="8"/>
  <c r="I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I19" i="8"/>
  <c r="G20" i="8"/>
  <c r="I20" i="8"/>
  <c r="G21" i="8"/>
  <c r="I21" i="8"/>
  <c r="G22" i="8"/>
  <c r="I22" i="8"/>
  <c r="G23" i="8"/>
  <c r="I23" i="8"/>
  <c r="G24" i="8"/>
  <c r="I24" i="8"/>
  <c r="G25" i="8"/>
  <c r="I25" i="8"/>
  <c r="G26" i="8"/>
  <c r="I26" i="8"/>
  <c r="G27" i="8"/>
  <c r="I27" i="8"/>
  <c r="G28" i="8"/>
  <c r="I28" i="8"/>
  <c r="G29" i="8"/>
  <c r="I29" i="8"/>
  <c r="G30" i="8"/>
  <c r="H30" i="8"/>
  <c r="I30" i="8"/>
  <c r="I4" i="8"/>
  <c r="H5" i="8"/>
  <c r="I4" i="31"/>
  <c r="H6" i="8"/>
  <c r="I5" i="31"/>
  <c r="H7" i="8"/>
  <c r="I6" i="31"/>
  <c r="H8" i="8"/>
  <c r="I7" i="31"/>
  <c r="H9" i="8"/>
  <c r="I8" i="31"/>
  <c r="H10" i="8"/>
  <c r="I9" i="31"/>
  <c r="H11" i="8"/>
  <c r="I10" i="31"/>
  <c r="H12" i="8"/>
  <c r="I11" i="31"/>
  <c r="H13" i="8"/>
  <c r="I12" i="31"/>
  <c r="H14" i="8"/>
  <c r="I13" i="31"/>
  <c r="H15" i="8"/>
  <c r="I14" i="31"/>
  <c r="H16" i="8"/>
  <c r="I15" i="31"/>
  <c r="H17" i="8"/>
  <c r="I16" i="31"/>
  <c r="H18" i="8"/>
  <c r="I17" i="31"/>
  <c r="H19" i="8"/>
  <c r="I18" i="31"/>
  <c r="H20" i="8"/>
  <c r="I19" i="31"/>
  <c r="H21" i="8"/>
  <c r="I20" i="31"/>
  <c r="H22" i="8"/>
  <c r="I21" i="31"/>
  <c r="H23" i="8"/>
  <c r="I22" i="31"/>
  <c r="H24" i="8"/>
  <c r="I23" i="31"/>
  <c r="H25" i="8"/>
  <c r="I24" i="31"/>
  <c r="H26" i="8"/>
  <c r="I25" i="31"/>
  <c r="H27" i="8"/>
  <c r="I26" i="31"/>
  <c r="H28" i="8"/>
  <c r="I27" i="31"/>
  <c r="H29" i="8"/>
  <c r="H4" i="8"/>
  <c r="D93" i="8"/>
  <c r="D94" i="8"/>
  <c r="D91" i="8"/>
  <c r="D7" i="24"/>
  <c r="F7" i="24"/>
  <c r="B7" i="24"/>
  <c r="D86" i="8"/>
  <c r="D87" i="8"/>
  <c r="D81" i="8"/>
  <c r="D80" i="8"/>
  <c r="D79" i="8"/>
  <c r="D78" i="8"/>
  <c r="D77" i="8"/>
  <c r="D76" i="8"/>
  <c r="D75" i="8"/>
  <c r="C11" i="23"/>
  <c r="E11" i="23"/>
  <c r="F11" i="23"/>
  <c r="B11" i="23"/>
  <c r="D11" i="23"/>
  <c r="D70" i="8"/>
  <c r="D69" i="8"/>
  <c r="D68" i="8"/>
  <c r="D67" i="8"/>
  <c r="D66" i="8"/>
  <c r="D65" i="8"/>
  <c r="D64" i="8"/>
  <c r="D63" i="8"/>
  <c r="D55" i="8"/>
  <c r="D49" i="8"/>
  <c r="D50" i="8"/>
  <c r="D51" i="8"/>
  <c r="D52" i="8"/>
  <c r="D53" i="8"/>
  <c r="D54" i="8"/>
  <c r="D56" i="8"/>
  <c r="D57" i="8"/>
  <c r="D58" i="8"/>
  <c r="D48" i="8"/>
  <c r="D42" i="8"/>
  <c r="J6" i="19"/>
  <c r="D44" i="8"/>
  <c r="D43" i="8"/>
  <c r="D92" i="8"/>
  <c r="D95" i="8"/>
  <c r="D82" i="8"/>
  <c r="D71" i="8"/>
  <c r="D59" i="8"/>
  <c r="D45" i="8"/>
  <c r="D88" i="8"/>
  <c r="F18" i="1"/>
  <c r="F17" i="1"/>
  <c r="F16" i="1"/>
  <c r="F15" i="1"/>
  <c r="F13" i="1"/>
  <c r="F9" i="1"/>
  <c r="F8" i="1"/>
  <c r="F7" i="1"/>
  <c r="F6" i="1"/>
  <c r="F5" i="1"/>
  <c r="F4" i="1"/>
  <c r="F3" i="1"/>
  <c r="F15" i="22"/>
  <c r="F17" i="5"/>
  <c r="F37" i="5"/>
  <c r="F23" i="5"/>
  <c r="F29" i="5"/>
  <c r="J17" i="22"/>
  <c r="I17" i="22"/>
  <c r="H17" i="22"/>
  <c r="G17" i="22"/>
  <c r="E17" i="22"/>
  <c r="F16" i="22"/>
  <c r="F14" i="22"/>
  <c r="F13" i="22"/>
  <c r="F12" i="22"/>
  <c r="F11" i="22"/>
  <c r="F10" i="22"/>
  <c r="F9" i="22"/>
  <c r="F8" i="22"/>
  <c r="F7" i="22"/>
  <c r="F6" i="22"/>
  <c r="F5" i="22"/>
  <c r="E23" i="8"/>
  <c r="E21" i="8"/>
  <c r="E17" i="8"/>
  <c r="E16" i="8"/>
  <c r="E19" i="1"/>
  <c r="E10" i="1"/>
  <c r="C15" i="8"/>
  <c r="C30" i="8"/>
  <c r="K9" i="8"/>
  <c r="J9" i="8"/>
  <c r="J11" i="8"/>
  <c r="K11" i="8"/>
  <c r="J14" i="8"/>
  <c r="K14" i="8"/>
  <c r="J8" i="8"/>
  <c r="K8" i="8"/>
  <c r="K17" i="8"/>
  <c r="J17" i="8"/>
  <c r="J6" i="8"/>
  <c r="K6" i="8"/>
  <c r="J10" i="8"/>
  <c r="K10" i="8"/>
  <c r="J24" i="8"/>
  <c r="K24" i="8"/>
  <c r="J23" i="8"/>
  <c r="K23" i="8"/>
  <c r="J16" i="8"/>
  <c r="K16" i="8"/>
  <c r="K21" i="8"/>
  <c r="J21" i="8"/>
  <c r="K13" i="8"/>
  <c r="J13" i="8"/>
  <c r="J26" i="8"/>
  <c r="K26" i="8"/>
  <c r="K4" i="8"/>
  <c r="K25" i="8"/>
  <c r="J25" i="8"/>
  <c r="J18" i="8"/>
  <c r="K18" i="8"/>
  <c r="J12" i="8"/>
  <c r="K12" i="8"/>
  <c r="J7" i="8"/>
  <c r="K7" i="8"/>
  <c r="J20" i="8"/>
  <c r="K20" i="8"/>
  <c r="J22" i="8"/>
  <c r="K22" i="8"/>
  <c r="J27" i="8"/>
  <c r="K27" i="8"/>
  <c r="J19" i="8"/>
  <c r="K19" i="8"/>
  <c r="K5" i="8"/>
  <c r="J5" i="8"/>
  <c r="E22" i="8"/>
  <c r="E19" i="8"/>
  <c r="E5" i="8"/>
  <c r="E20" i="8"/>
  <c r="E9" i="8"/>
  <c r="E14" i="8"/>
  <c r="E8" i="8"/>
  <c r="E6" i="8"/>
  <c r="E7" i="8"/>
  <c r="E27" i="8"/>
  <c r="E11" i="8"/>
  <c r="E10" i="8"/>
  <c r="E13" i="8"/>
  <c r="E26" i="8"/>
  <c r="E4" i="8"/>
  <c r="E25" i="8"/>
  <c r="E18" i="8"/>
  <c r="G34" i="1"/>
  <c r="G19" i="1"/>
  <c r="F19" i="1"/>
  <c r="G10" i="1"/>
  <c r="F10" i="1"/>
  <c r="F14" i="1"/>
  <c r="G27" i="1"/>
  <c r="F17" i="22"/>
  <c r="E24" i="8"/>
  <c r="J15" i="8"/>
  <c r="K15" i="8"/>
  <c r="K29" i="8"/>
  <c r="J29" i="8"/>
  <c r="J28" i="8"/>
  <c r="K28" i="8"/>
  <c r="E28" i="8"/>
  <c r="E29" i="8"/>
  <c r="E15" i="8"/>
  <c r="J30" i="8"/>
  <c r="K30" i="8"/>
  <c r="C32" i="8"/>
  <c r="C36" i="8"/>
  <c r="E38" i="5"/>
  <c r="E30" i="8"/>
  <c r="L4" i="29"/>
  <c r="O4" i="29"/>
  <c r="D4" i="29"/>
  <c r="G4" i="29"/>
  <c r="P4" i="29"/>
  <c r="Q4" i="29"/>
  <c r="R4" i="29"/>
  <c r="S4" i="29"/>
</calcChain>
</file>

<file path=xl/comments1.xml><?xml version="1.0" encoding="utf-8"?>
<comments xmlns="http://schemas.openxmlformats.org/spreadsheetml/2006/main">
  <authors>
    <author>Amornratana</author>
    <author>Administrator</author>
    <author>COM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D5" authorId="2">
      <text>
        <r>
          <rPr>
            <b/>
            <sz val="9"/>
            <color indexed="81"/>
            <rFont val="Tahoma"/>
            <family val="2"/>
          </rPr>
          <t xml:space="preserve">เนื่องจากผลการดำเนินงานการให้บริการการแพทย์ฉุกเฉินของปี 2560 ได้รับเงินในปี งบประมาณ 61 ทำให้ตอนทำแผนได้ประมาณรายได้ Ems ไว้
</t>
        </r>
      </text>
    </comment>
    <comment ref="D17" authorId="2">
      <text>
        <r>
          <rPr>
            <b/>
            <sz val="9"/>
            <color indexed="81"/>
            <rFont val="Tahoma"/>
            <family val="2"/>
          </rPr>
          <t>ลด 120,000 บาท</t>
        </r>
      </text>
    </comment>
    <comment ref="D19" authorId="2">
      <text>
        <r>
          <rPr>
            <b/>
            <sz val="9"/>
            <color indexed="81"/>
            <rFont val="Tahoma"/>
            <family val="2"/>
          </rPr>
          <t xml:space="preserve">เพิ่ม 551269.15
</t>
        </r>
      </text>
    </comment>
    <comment ref="D23" authorId="2">
      <text>
        <r>
          <rPr>
            <b/>
            <sz val="9"/>
            <color indexed="81"/>
            <rFont val="Tahoma"/>
            <family val="2"/>
          </rPr>
          <t>มีทันแพทย์ เบิกค่ารักษาพยาบาลจำนวน 165,555 บาท เนื่องเป็นข้าราชการใหม่ สิทธิ์ยังใช้ไม่ได้ จริงต้องชำระเงินเอง และนำมาเบิก</t>
        </r>
      </text>
    </comment>
    <comment ref="D24" authorId="2">
      <text>
        <r>
          <rPr>
            <b/>
            <sz val="9"/>
            <color indexed="81"/>
            <rFont val="Tahoma"/>
            <family val="2"/>
          </rPr>
          <t>ลดลง 1 ล้านบาท</t>
        </r>
      </text>
    </comment>
    <comment ref="D25" authorId="2">
      <text>
        <r>
          <rPr>
            <b/>
            <sz val="9"/>
            <color indexed="81"/>
            <rFont val="Tahoma"/>
            <family val="2"/>
          </rPr>
          <t xml:space="preserve">เพิ่ม 177,263.81 บาท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6.xml><?xml version="1.0" encoding="utf-8"?>
<comments xmlns="http://schemas.openxmlformats.org/spreadsheetml/2006/main">
  <authors>
    <author>Amornratana</author>
    <author>TD_COM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  <comment ref="D3" authorId="1">
      <text>
        <r>
          <rPr>
            <b/>
            <sz val="9"/>
            <color indexed="81"/>
            <rFont val="Tahoma"/>
            <family val="2"/>
          </rPr>
          <t>รวมเงินจัดสรรทั้งหมด - fixcost ตามประกาศ - ค่าตอบแทนพิเศษ 12 เดือน-สมทบประกันสังคม
เช่น 1385928-300000-147600-(3224*12เดือน) = 899640</t>
        </r>
      </text>
    </comment>
  </commentList>
</comments>
</file>

<file path=xl/sharedStrings.xml><?xml version="1.0" encoding="utf-8"?>
<sst xmlns="http://schemas.openxmlformats.org/spreadsheetml/2006/main" count="9404" uniqueCount="1913">
  <si>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</si>
  <si>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</si>
  <si>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</si>
  <si>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</si>
  <si>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</si>
  <si>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</si>
  <si>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</si>
  <si>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</si>
  <si>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</si>
  <si>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</si>
  <si>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</si>
  <si>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</si>
  <si>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</si>
  <si>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</si>
  <si>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</si>
  <si>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</si>
  <si>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</si>
  <si>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</si>
  <si>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</si>
  <si>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</si>
  <si>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</si>
  <si>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</si>
  <si>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</si>
  <si>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</si>
  <si>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</si>
  <si>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</si>
  <si>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</si>
  <si>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</si>
  <si>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</si>
  <si>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</si>
  <si>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</si>
  <si>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</si>
  <si>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</si>
  <si>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</si>
  <si>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</si>
  <si>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</si>
  <si>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</si>
  <si>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</si>
  <si>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</si>
  <si>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</si>
  <si>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</si>
  <si>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</si>
  <si>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</si>
  <si>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</si>
  <si>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</si>
  <si>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</si>
  <si>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</si>
  <si>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</si>
  <si>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</si>
  <si>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</si>
  <si>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</si>
  <si>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</si>
  <si>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</si>
  <si>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</si>
  <si>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</si>
  <si>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</si>
  <si>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</si>
  <si>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</si>
  <si>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</si>
  <si>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</si>
  <si>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</si>
  <si>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</si>
  <si>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</si>
  <si>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</si>
  <si>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</si>
  <si>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</si>
  <si>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</si>
  <si>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</si>
  <si>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</si>
  <si>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</si>
  <si>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</si>
  <si>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</si>
  <si>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</si>
  <si>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</si>
  <si>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</si>
  <si>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</si>
  <si>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</si>
  <si>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</si>
  <si>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</si>
  <si>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</si>
  <si>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</si>
  <si>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</si>
  <si>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</si>
  <si>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</si>
  <si>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</si>
  <si>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</si>
  <si>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</si>
  <si>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</si>
  <si>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</si>
  <si>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</si>
  <si>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</si>
  <si>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</si>
  <si>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</si>
  <si>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</si>
  <si>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</si>
  <si>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</si>
  <si>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</si>
  <si>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</si>
  <si>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</si>
  <si>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</si>
  <si>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</si>
  <si>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</si>
  <si>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</si>
  <si>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</si>
  <si>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</si>
  <si>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</si>
  <si>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</si>
  <si>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</si>
  <si>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</si>
  <si>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</si>
  <si>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</si>
  <si>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</si>
  <si>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</si>
  <si>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</si>
  <si>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</si>
  <si>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</si>
  <si>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</si>
  <si>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</si>
  <si>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</si>
  <si>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</si>
  <si>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</si>
  <si>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</si>
  <si>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</si>
  <si>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</si>
  <si>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</si>
  <si>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</si>
  <si>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</si>
  <si>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</si>
  <si>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</si>
  <si>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</si>
  <si>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</si>
  <si>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</si>
  <si>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</si>
  <si>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</si>
  <si>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</si>
  <si>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</si>
  <si>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</si>
  <si>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</si>
  <si>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</si>
  <si>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</si>
  <si>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</si>
  <si>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</si>
  <si>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</si>
  <si>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</si>
  <si>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</si>
  <si>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</si>
  <si>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</si>
  <si>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</si>
  <si>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</si>
  <si>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</si>
  <si>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</si>
  <si>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</si>
  <si>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</si>
  <si>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</si>
  <si>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</si>
  <si>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</si>
  <si>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</si>
  <si>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</si>
  <si>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</si>
  <si>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</si>
  <si>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</si>
  <si>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</si>
  <si>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</si>
  <si>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</si>
  <si>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</si>
  <si>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</si>
  <si>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</si>
  <si>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</si>
  <si>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</si>
  <si>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</si>
  <si>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</si>
  <si>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</si>
  <si>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</si>
  <si>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</si>
  <si>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</si>
  <si>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</si>
  <si>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</si>
  <si>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</si>
  <si>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</si>
  <si>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</si>
  <si>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</si>
  <si>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</si>
  <si>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</si>
  <si>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</si>
  <si>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</si>
  <si>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</si>
  <si>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</si>
  <si>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</si>
  <si>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</si>
  <si>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</si>
  <si>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</si>
  <si>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</si>
  <si>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</si>
  <si>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</si>
  <si>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</si>
  <si>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</si>
  <si>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</si>
  <si>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</si>
  <si>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</si>
  <si>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</si>
  <si>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</si>
  <si>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</si>
  <si>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</si>
  <si>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</si>
  <si>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</si>
  <si>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</si>
  <si>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</si>
  <si>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</si>
  <si>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</si>
  <si>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</si>
  <si>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</si>
  <si>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</si>
  <si>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</si>
  <si>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</si>
  <si>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</si>
  <si>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</si>
  <si>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</si>
  <si>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</si>
  <si>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</si>
  <si>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</si>
  <si>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</si>
  <si>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</si>
  <si>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</si>
  <si>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</si>
  <si>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</si>
  <si>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</si>
  <si>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</si>
  <si>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</si>
  <si>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</si>
  <si>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</si>
  <si>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</si>
  <si>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</si>
  <si>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</si>
  <si>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</si>
  <si>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</si>
  <si>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</si>
  <si>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</si>
  <si>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</si>
  <si>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</si>
  <si>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</si>
  <si>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</si>
  <si>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</si>
  <si>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</si>
  <si>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</si>
  <si>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</si>
  <si>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</si>
  <si>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</si>
  <si>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</si>
  <si>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</si>
  <si>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</si>
  <si>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</si>
  <si>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</si>
  <si>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</si>
  <si>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</si>
  <si>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</si>
  <si>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</si>
  <si>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</si>
  <si>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</si>
  <si>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</si>
  <si>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</si>
  <si>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</si>
  <si>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</si>
  <si>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</si>
  <si>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</si>
  <si>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</si>
  <si>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</si>
  <si>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</si>
  <si>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</si>
  <si>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</si>
  <si>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</si>
  <si>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</si>
  <si>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</si>
  <si>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</si>
  <si>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</si>
  <si>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</si>
  <si>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</si>
  <si>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</si>
  <si>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</si>
  <si>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</si>
  <si>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</si>
  <si>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</si>
  <si>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</si>
  <si>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</si>
  <si>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</si>
  <si>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</si>
  <si>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</si>
  <si>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</si>
  <si>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</si>
  <si>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</si>
  <si>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</si>
  <si>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</si>
  <si>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</si>
  <si>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</si>
  <si>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</si>
  <si>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</si>
  <si>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</si>
  <si>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</si>
  <si>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</si>
  <si>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</si>
  <si>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</si>
  <si>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</si>
  <si>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</si>
  <si>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</si>
  <si>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</si>
  <si>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</si>
  <si>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</si>
  <si>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</si>
  <si>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</si>
  <si>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</si>
  <si>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</si>
  <si>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</si>
  <si>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</si>
  <si>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</si>
  <si>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</si>
  <si>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</si>
  <si>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</si>
  <si>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</si>
  <si>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</si>
  <si>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</si>
  <si>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</si>
  <si>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</si>
  <si>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</si>
  <si>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</si>
  <si>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</si>
  <si>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</si>
  <si>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</si>
  <si>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</si>
  <si>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</si>
  <si>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</si>
  <si>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</si>
  <si>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</si>
  <si>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</si>
  <si>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</si>
  <si>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</si>
  <si>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</si>
  <si>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</si>
  <si>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</si>
  <si>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</si>
  <si>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</si>
  <si>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</si>
  <si>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</si>
  <si>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</si>
  <si>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</si>
  <si>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</si>
  <si>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</si>
  <si>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</si>
  <si>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</si>
  <si>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</si>
  <si>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</si>
  <si>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</si>
  <si>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</si>
  <si>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</si>
  <si>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</si>
  <si>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</si>
  <si>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</si>
  <si>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</si>
  <si>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</si>
  <si>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</si>
  <si>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</si>
  <si>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</si>
  <si>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</si>
  <si>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</si>
  <si>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</si>
  <si>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</si>
  <si>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</si>
  <si>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</si>
  <si>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</si>
  <si>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</si>
  <si>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</si>
  <si>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</si>
  <si>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</si>
  <si>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</si>
  <si>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</si>
  <si>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</si>
  <si>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</si>
  <si>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</si>
  <si>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</si>
  <si>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</si>
  <si>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</si>
  <si>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</si>
  <si>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</si>
  <si>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</si>
  <si>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</si>
  <si>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</si>
  <si>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</si>
  <si>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</si>
  <si>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</si>
  <si>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</si>
  <si>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</si>
  <si>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</si>
  <si>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</si>
  <si>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</si>
  <si>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</si>
  <si>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</si>
  <si>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</si>
  <si>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</si>
  <si>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</si>
  <si>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</si>
  <si>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</si>
  <si>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</si>
  <si>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</si>
  <si>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</si>
  <si>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</si>
  <si>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</si>
  <si>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</si>
  <si>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</si>
  <si>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</si>
  <si>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</si>
  <si>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</si>
  <si>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</si>
  <si>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</si>
  <si>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</si>
  <si>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</si>
  <si>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</si>
  <si>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</si>
  <si>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</si>
  <si>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</si>
  <si>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</si>
  <si>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</si>
  <si>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</si>
  <si>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</si>
  <si>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</si>
  <si>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</si>
  <si>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</si>
  <si>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</si>
  <si>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</si>
  <si>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</si>
  <si>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</si>
  <si>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</si>
  <si>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</si>
  <si>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</si>
  <si>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</si>
  <si>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</si>
  <si>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</si>
  <si>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</si>
  <si>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</si>
  <si>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</si>
  <si>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</si>
  <si>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</si>
  <si>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</si>
  <si>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</si>
  <si>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</si>
  <si>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</si>
  <si>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</si>
  <si>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</si>
  <si>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</si>
  <si>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</si>
  <si>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</si>
  <si>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</si>
  <si>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</si>
  <si>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</si>
  <si>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</si>
  <si>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</si>
  <si>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</si>
  <si>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</si>
  <si>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</si>
  <si>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</si>
  <si>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</si>
  <si>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</si>
  <si>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</si>
  <si>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</si>
  <si>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</si>
  <si>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</si>
  <si>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</si>
  <si>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</si>
  <si>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</si>
  <si>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</si>
  <si>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</si>
  <si>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</si>
  <si>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</si>
  <si>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</si>
  <si>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</si>
  <si>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</si>
  <si>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</si>
  <si>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</si>
  <si>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</si>
  <si>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</si>
  <si>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</si>
  <si>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</si>
  <si>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</si>
  <si>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</si>
  <si>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</si>
  <si>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</si>
  <si>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</si>
  <si>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</si>
  <si>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</si>
  <si>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</si>
  <si>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</si>
  <si>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</si>
  <si>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</si>
  <si>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</si>
  <si>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</si>
  <si>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</si>
  <si>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</si>
  <si>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</si>
  <si>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</si>
  <si>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</si>
  <si>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</si>
  <si>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</si>
  <si>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</si>
  <si>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</si>
  <si>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</si>
  <si>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</si>
  <si>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</si>
  <si>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</si>
  <si>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</si>
  <si>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</si>
  <si>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</si>
  <si>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</si>
  <si>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</si>
  <si>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</si>
  <si>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</si>
  <si>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</si>
  <si>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</si>
  <si>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</si>
  <si>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</si>
  <si>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</si>
  <si>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</si>
  <si>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</si>
  <si>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</si>
  <si>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</si>
  <si>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</si>
  <si>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</si>
  <si>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</si>
  <si>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</si>
  <si>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</si>
  <si>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</si>
  <si>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</si>
  <si>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</si>
  <si>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</si>
  <si>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</si>
  <si>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</si>
  <si>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</si>
  <si>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</si>
  <si>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</si>
  <si>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</si>
  <si>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</si>
  <si>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</si>
  <si>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</si>
  <si>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</si>
  <si>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</si>
  <si>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</si>
  <si>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</si>
  <si>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</si>
  <si>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</si>
  <si>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</si>
  <si>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</si>
  <si>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</si>
  <si>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</si>
  <si>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</si>
  <si>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</si>
  <si>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</si>
  <si>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</si>
  <si>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</si>
  <si>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</si>
  <si>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</si>
  <si>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</si>
  <si>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</si>
  <si>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</si>
  <si>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</si>
  <si>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</si>
  <si>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</si>
  <si>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</si>
  <si>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</si>
  <si>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</si>
  <si>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</si>
  <si>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</si>
  <si>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</si>
  <si>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</si>
  <si>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</si>
  <si>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</si>
  <si>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</si>
  <si>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</si>
  <si>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</si>
  <si>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</si>
  <si>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</si>
  <si>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</si>
  <si>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</si>
  <si>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</si>
  <si>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</si>
  <si>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</si>
  <si>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</si>
  <si>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</si>
  <si>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</si>
  <si>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</si>
  <si>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</si>
  <si>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</si>
  <si>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</si>
  <si>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</si>
  <si>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</si>
  <si>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</si>
  <si>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</si>
  <si>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</si>
  <si>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</si>
  <si>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</si>
  <si>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</si>
  <si>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</si>
  <si>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</si>
  <si>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</si>
  <si>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</si>
  <si>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</si>
  <si>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</si>
  <si>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</si>
  <si>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</si>
  <si>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</si>
  <si>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</si>
  <si>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</si>
  <si>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</si>
  <si>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</si>
  <si>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</si>
  <si>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</si>
  <si>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</si>
  <si>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</si>
  <si>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</si>
  <si>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</si>
  <si>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</si>
  <si>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</si>
  <si>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</si>
  <si>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</si>
  <si>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</si>
  <si>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</si>
  <si>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</si>
  <si>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</si>
  <si>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</si>
  <si>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</si>
  <si>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</si>
  <si>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</si>
  <si>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</si>
  <si>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</si>
  <si>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</si>
  <si>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</si>
  <si>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</si>
  <si>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</si>
  <si>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</si>
  <si>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</si>
  <si>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</si>
  <si>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</si>
  <si>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</si>
  <si>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</si>
  <si>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</si>
  <si>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</si>
  <si>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</si>
  <si>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</si>
  <si>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</si>
  <si>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</si>
  <si>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</si>
  <si>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</si>
  <si>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</si>
  <si>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</si>
  <si>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</si>
  <si>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</si>
  <si>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</si>
  <si>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</si>
  <si>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</si>
  <si>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</si>
  <si>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</si>
  <si>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</si>
  <si>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</si>
  <si>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</si>
  <si>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</si>
  <si>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</si>
  <si>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</si>
  <si>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</si>
  <si>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</si>
  <si>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</si>
  <si>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</si>
  <si>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</si>
  <si>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</si>
  <si>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</si>
  <si>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</si>
  <si>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</si>
  <si>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</si>
  <si>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</si>
  <si>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</si>
  <si>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</si>
  <si>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</si>
  <si>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</si>
  <si>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</si>
  <si>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</si>
  <si>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</si>
  <si>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</si>
  <si>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</si>
  <si>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</si>
  <si>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</si>
  <si>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</si>
  <si>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</si>
  <si>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</si>
  <si>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</si>
  <si>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</si>
  <si>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</si>
  <si>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</si>
  <si>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</si>
  <si>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</si>
  <si>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</si>
  <si>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</si>
  <si>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</si>
  <si>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</si>
  <si>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</si>
  <si>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</si>
  <si>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</si>
  <si>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</si>
  <si>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</si>
  <si>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</si>
  <si>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</si>
  <si>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</si>
  <si>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</si>
  <si>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</si>
  <si>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</si>
  <si>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</si>
  <si>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</si>
  <si>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</si>
  <si>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</si>
  <si>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</si>
  <si>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</si>
  <si>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</si>
  <si>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</si>
  <si>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</si>
  <si>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</si>
  <si>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</si>
  <si>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</si>
  <si>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</si>
  <si>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</si>
  <si>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</si>
  <si>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</si>
  <si>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</si>
  <si>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</si>
  <si>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</si>
  <si>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</si>
  <si>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</si>
  <si>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</si>
  <si>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</si>
  <si>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</si>
  <si>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</si>
  <si>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</si>
  <si>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</si>
  <si>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</si>
  <si>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</si>
  <si>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</si>
  <si>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</si>
  <si>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</si>
  <si>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</si>
  <si>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</si>
  <si>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</si>
  <si>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</si>
  <si>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</si>
  <si>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</si>
  <si>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</si>
  <si>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</si>
  <si>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</si>
  <si>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</si>
  <si>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</si>
  <si>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</si>
  <si>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</si>
  <si>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</si>
  <si>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</si>
  <si>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</si>
  <si>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</si>
  <si>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</si>
  <si>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</si>
  <si>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</si>
  <si>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</si>
  <si>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</si>
  <si>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</si>
  <si>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</si>
  <si>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</si>
  <si>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</si>
  <si>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</si>
  <si>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</si>
  <si>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</si>
  <si>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</si>
  <si>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</si>
  <si>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</si>
  <si>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</si>
  <si>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</si>
  <si>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</si>
  <si>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</si>
  <si>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</si>
  <si>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</si>
  <si>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</si>
  <si>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</si>
  <si>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</si>
  <si>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</si>
  <si>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</si>
  <si>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</si>
  <si>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</si>
  <si>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</si>
  <si>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</si>
  <si>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</si>
  <si>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</si>
  <si>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</si>
  <si>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</si>
  <si>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</si>
  <si>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</si>
  <si>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</si>
  <si>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</si>
  <si>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</si>
  <si>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</si>
  <si>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</si>
  <si>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</si>
  <si>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</si>
  <si>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</si>
  <si>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</si>
  <si>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</si>
  <si>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</si>
  <si>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</si>
  <si>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</si>
  <si>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</si>
  <si>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</si>
  <si>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</si>
  <si>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</si>
  <si>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</si>
  <si>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</si>
  <si>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</si>
  <si>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</si>
  <si>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</si>
  <si>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</si>
  <si>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</si>
  <si>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</si>
  <si>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</si>
  <si>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</si>
  <si>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</si>
  <si>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</si>
  <si>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</si>
  <si>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</si>
  <si>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</si>
  <si>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</si>
  <si>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</si>
  <si>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</si>
  <si>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</si>
  <si>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</si>
  <si>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</si>
  <si>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</si>
  <si>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</si>
  <si>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</si>
  <si>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</si>
  <si>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</si>
  <si>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</si>
  <si>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</si>
  <si>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</si>
  <si>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</si>
  <si>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</si>
  <si>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</si>
  <si>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</si>
  <si>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</si>
  <si>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</si>
  <si>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</si>
  <si>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</si>
  <si>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</si>
  <si>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</si>
  <si>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</si>
  <si>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</si>
  <si>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</si>
  <si>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</si>
  <si>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</si>
  <si>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</si>
  <si>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</si>
  <si>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</si>
  <si>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</si>
  <si>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</si>
  <si>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</si>
  <si>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</si>
  <si>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</si>
  <si>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</si>
  <si>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</si>
  <si>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</si>
  <si>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</si>
  <si>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</si>
  <si>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</si>
  <si>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</si>
  <si>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</si>
  <si>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</si>
  <si>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</si>
  <si>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</si>
  <si>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</si>
  <si>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</si>
  <si>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</si>
  <si>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</si>
  <si>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</si>
  <si>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</si>
  <si>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</si>
  <si>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</si>
  <si>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</si>
  <si>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</si>
  <si>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</si>
  <si>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</si>
  <si>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</si>
  <si>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</si>
  <si>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</si>
  <si>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</si>
  <si>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</si>
  <si>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</si>
  <si>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</si>
  <si>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</si>
  <si>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</si>
  <si>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</si>
  <si>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</si>
  <si>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</si>
  <si>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</si>
  <si>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</si>
  <si>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</si>
  <si>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</si>
  <si>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</si>
  <si>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</si>
  <si>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</si>
  <si>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</si>
  <si>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</si>
  <si>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</si>
  <si>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</si>
  <si>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</si>
  <si>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</si>
  <si>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</si>
  <si>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</si>
  <si>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</si>
  <si>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</si>
  <si>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</si>
  <si>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</si>
  <si>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</si>
  <si>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</si>
  <si>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</si>
  <si>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</si>
  <si>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</si>
  <si>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</si>
  <si>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</si>
  <si>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</si>
  <si>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</si>
  <si>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</si>
  <si>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</si>
  <si>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</si>
  <si>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</si>
  <si>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</si>
  <si>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</si>
  <si>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</si>
  <si>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</si>
  <si>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</si>
  <si>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</si>
  <si>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</si>
  <si>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</si>
  <si>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</si>
  <si>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</si>
  <si>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</si>
  <si>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</si>
  <si>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</si>
  <si>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</si>
  <si>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</si>
  <si>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</si>
  <si>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</si>
  <si>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</si>
  <si>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</si>
  <si>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</si>
  <si>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</si>
  <si>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</si>
  <si>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</si>
  <si>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</si>
  <si>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</si>
  <si>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</si>
  <si>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</si>
  <si>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</si>
  <si>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</si>
  <si>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</si>
  <si>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</si>
  <si>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</si>
  <si>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</si>
  <si>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</si>
  <si>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</si>
  <si>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</si>
  <si>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</si>
  <si>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</si>
  <si>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</si>
  <si>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</si>
  <si>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</si>
  <si>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</si>
  <si>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</si>
  <si>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</si>
  <si>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</si>
  <si>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</si>
  <si>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</si>
  <si>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</si>
  <si>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</si>
  <si>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</si>
  <si>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</si>
  <si>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</si>
  <si>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</si>
  <si>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</si>
  <si>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</si>
  <si>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</si>
  <si>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</si>
  <si>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</si>
  <si>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</si>
  <si>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</si>
  <si>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</si>
  <si>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</si>
  <si>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</si>
  <si>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</si>
  <si>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</si>
  <si>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</si>
  <si>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</si>
  <si>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</si>
  <si>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</si>
  <si>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</si>
  <si>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</si>
  <si>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</si>
  <si>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</si>
  <si>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</si>
  <si>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</si>
  <si>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</si>
  <si>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</si>
  <si>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</si>
  <si>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</si>
  <si>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</si>
  <si>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</si>
  <si>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</si>
  <si>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</si>
  <si>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</si>
  <si>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</si>
  <si>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</si>
  <si>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</si>
  <si>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</si>
  <si>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</si>
  <si>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</si>
  <si>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</si>
  <si>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</si>
  <si>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</si>
  <si>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</si>
  <si>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</si>
  <si>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</si>
  <si>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</si>
  <si>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</si>
  <si>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</si>
  <si>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</si>
  <si>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</si>
  <si>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</si>
  <si>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</si>
  <si>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</si>
  <si>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</si>
  <si>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</si>
  <si>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</si>
  <si>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</si>
  <si>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</si>
  <si>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</si>
  <si>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</si>
  <si>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</si>
  <si>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</si>
  <si>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</si>
  <si>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</si>
  <si>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</si>
  <si>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</si>
  <si>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</si>
  <si>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</si>
  <si>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</si>
  <si>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</si>
  <si>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</si>
  <si>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</si>
  <si>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</si>
  <si>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</si>
  <si>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</si>
  <si>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</si>
  <si>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</si>
  <si>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</si>
  <si>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</si>
  <si>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</si>
  <si>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</si>
  <si>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</si>
  <si>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</si>
  <si>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</si>
  <si>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</si>
  <si>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</si>
  <si>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</si>
  <si>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</si>
  <si>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</si>
  <si>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</si>
  <si>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</si>
  <si>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</si>
  <si>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</si>
  <si>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</si>
  <si>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</si>
  <si>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</si>
  <si>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</si>
  <si>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</si>
  <si>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</si>
  <si>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</si>
  <si>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</si>
  <si>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</si>
  <si>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</si>
  <si>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</si>
  <si>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</si>
  <si>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</si>
  <si>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</si>
  <si>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</si>
  <si>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</si>
  <si>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</si>
  <si>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</si>
  <si>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</si>
  <si>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</si>
  <si>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</si>
  <si>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</si>
  <si>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</si>
  <si>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</si>
  <si>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</si>
  <si>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</si>
  <si>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</si>
  <si>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</si>
  <si>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</si>
  <si>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</si>
  <si>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</si>
  <si>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</si>
  <si>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</si>
  <si>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</si>
  <si>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</si>
  <si>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</si>
  <si>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</si>
  <si>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</si>
  <si>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</si>
  <si>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</si>
  <si>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</si>
  <si>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</si>
  <si>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</si>
  <si>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</si>
  <si>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</si>
  <si>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</si>
  <si>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</si>
  <si>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</si>
  <si>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</si>
  <si>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</si>
  <si>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</si>
  <si>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</si>
  <si>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</si>
  <si>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</si>
  <si>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</si>
  <si>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</si>
  <si>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</si>
  <si>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</si>
  <si>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</si>
  <si>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</si>
  <si>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</si>
  <si>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</si>
  <si>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</si>
  <si>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</si>
  <si>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</si>
  <si>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</si>
  <si>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</si>
  <si>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</si>
  <si>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</si>
  <si>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</si>
  <si>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</si>
  <si>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</si>
  <si>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</si>
  <si>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</si>
  <si>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</si>
  <si>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</si>
  <si>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</si>
  <si>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</si>
  <si>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</si>
  <si>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</si>
  <si>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</si>
  <si>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</si>
  <si>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</si>
  <si>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</si>
  <si>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</si>
  <si>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</si>
  <si>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</si>
  <si>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</si>
  <si>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</si>
  <si>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</si>
  <si>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</si>
  <si>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</si>
  <si>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</si>
  <si>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</si>
  <si>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</si>
  <si>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</si>
  <si>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</si>
  <si>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</si>
  <si>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</si>
  <si>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</si>
  <si>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</si>
  <si>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</si>
  <si>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</si>
  <si>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</si>
  <si>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</si>
  <si>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</si>
  <si>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</si>
  <si>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</si>
  <si>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</si>
  <si>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</si>
  <si>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</si>
  <si>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</si>
  <si>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</si>
  <si>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</si>
  <si>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</si>
  <si>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</si>
  <si>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</si>
  <si>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</si>
  <si>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</si>
  <si>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</si>
  <si>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</si>
  <si>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</si>
  <si>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</si>
  <si>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</si>
  <si>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</si>
  <si>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</si>
  <si>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</si>
  <si>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</si>
  <si>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</si>
  <si>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</si>
  <si>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</si>
  <si>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</si>
  <si>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</si>
  <si>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</si>
  <si>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</si>
  <si>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</si>
  <si>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</si>
  <si>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</si>
  <si>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</si>
  <si>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</si>
  <si>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</si>
  <si>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</si>
  <si>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</si>
  <si>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</si>
  <si>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</si>
  <si>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</si>
  <si>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</si>
  <si>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</si>
  <si>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</si>
  <si>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</si>
  <si>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</si>
  <si>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</si>
  <si>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</si>
  <si>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</si>
  <si>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</si>
  <si>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</si>
  <si>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</si>
  <si>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</si>
  <si>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</si>
  <si>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</si>
  <si>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</si>
  <si>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</si>
  <si>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</si>
  <si>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</si>
  <si>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</si>
  <si>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</si>
  <si>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</si>
  <si>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</si>
  <si>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</si>
  <si>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</si>
  <si>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</si>
  <si>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</si>
  <si>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</si>
  <si>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</si>
  <si>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</si>
  <si>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</si>
  <si>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</si>
  <si>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</si>
  <si>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</si>
  <si>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</si>
  <si>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</si>
  <si>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</si>
  <si>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</si>
  <si>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</si>
  <si>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</si>
  <si>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</si>
  <si>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</si>
  <si>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</si>
  <si>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</si>
  <si>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</si>
  <si>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</si>
  <si>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</si>
  <si>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</si>
  <si>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</si>
  <si>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</si>
  <si>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</si>
  <si>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</si>
  <si>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</si>
  <si>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</si>
  <si>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</si>
  <si>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</si>
  <si>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</si>
  <si>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</si>
  <si>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</si>
  <si>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</si>
  <si>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</si>
  <si>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</si>
  <si>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</si>
  <si>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</si>
  <si>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</si>
  <si>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</si>
  <si>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</si>
  <si>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</si>
  <si>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</si>
  <si>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</si>
  <si>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</si>
  <si>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</si>
  <si>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</si>
  <si>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</si>
  <si>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</si>
  <si>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</si>
  <si>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</si>
  <si>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</si>
  <si>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</si>
  <si>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</si>
  <si>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</si>
  <si>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</si>
  <si>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</si>
  <si>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</si>
  <si>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</si>
  <si>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</si>
  <si>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</si>
  <si>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</si>
  <si>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</si>
  <si>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</si>
  <si>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</si>
  <si>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</si>
  <si>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</si>
  <si>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</si>
  <si>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</si>
  <si>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</si>
  <si>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</si>
  <si>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</si>
  <si>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</si>
  <si>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</si>
  <si>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</si>
  <si>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</si>
  <si>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</si>
  <si>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</si>
  <si>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</si>
  <si>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</si>
  <si>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</si>
  <si>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</si>
  <si>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</si>
  <si>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</si>
  <si>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</si>
  <si>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</si>
  <si>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</si>
  <si>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</si>
  <si>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</si>
  <si>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</si>
  <si>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</si>
  <si>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</si>
  <si>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</si>
  <si>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</si>
  <si>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</si>
  <si>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</si>
  <si>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</si>
  <si>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</si>
  <si>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</si>
  <si>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</si>
  <si>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</si>
  <si>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</si>
  <si>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</si>
  <si>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</si>
  <si>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</si>
  <si>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</si>
  <si>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</si>
  <si>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</si>
  <si>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</si>
  <si>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</si>
  <si>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</si>
  <si>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</si>
  <si>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</si>
  <si>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</si>
  <si>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</si>
  <si>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</si>
  <si>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</si>
  <si>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</si>
  <si>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</si>
  <si>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</si>
  <si>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</si>
  <si>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</si>
  <si>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</si>
  <si>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</si>
  <si>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</si>
  <si>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</si>
  <si>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</si>
  <si>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</si>
  <si>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</si>
  <si>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</si>
  <si>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</si>
  <si>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</si>
  <si>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</si>
  <si>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</si>
  <si>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</si>
  <si>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</si>
  <si>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</si>
  <si>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</si>
  <si>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</si>
  <si>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</si>
  <si>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</si>
  <si>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</si>
  <si>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</si>
  <si>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</si>
  <si>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</si>
  <si>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</si>
  <si>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</si>
  <si>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</si>
  <si>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</si>
  <si>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</si>
  <si>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</si>
  <si>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</si>
  <si>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</si>
  <si>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</si>
  <si>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</si>
  <si>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</si>
  <si>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</si>
  <si>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</si>
  <si>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</si>
  <si>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</si>
  <si>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</si>
  <si>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</si>
  <si>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</si>
  <si>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</si>
  <si>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</si>
  <si>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</si>
  <si>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</si>
  <si>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</si>
  <si>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</si>
  <si>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</si>
  <si>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</si>
  <si>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</si>
  <si>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</si>
  <si>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</si>
  <si>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</si>
  <si>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</si>
  <si>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</si>
  <si>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</si>
  <si>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</si>
  <si>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</si>
  <si>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</si>
  <si>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</si>
  <si>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</si>
  <si>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</si>
  <si>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</si>
  <si>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</si>
  <si>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</si>
  <si>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</si>
  <si>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</si>
  <si>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</si>
  <si>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</si>
  <si>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</si>
  <si>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</si>
  <si>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</si>
  <si>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</si>
  <si>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</si>
  <si>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</si>
  <si>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</si>
  <si>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</si>
  <si>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</si>
  <si>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</si>
  <si>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</si>
  <si>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</si>
  <si>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</si>
  <si>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</si>
  <si>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</si>
  <si>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</si>
  <si>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</si>
  <si>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</si>
  <si>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</si>
  <si>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</si>
  <si>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</si>
  <si>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</si>
  <si>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</si>
  <si>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</si>
  <si>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</si>
  <si>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</si>
  <si>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</si>
  <si>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</si>
  <si>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</si>
  <si>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</si>
  <si>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</si>
  <si>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</si>
  <si>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</si>
  <si>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</si>
  <si>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</si>
  <si>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</si>
  <si>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</si>
  <si>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</si>
  <si>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</si>
  <si>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</si>
  <si>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</si>
  <si>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</si>
  <si>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</si>
  <si>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</si>
  <si>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</si>
  <si>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</si>
  <si>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</si>
  <si>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</si>
  <si>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</si>
  <si>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</si>
  <si>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</si>
  <si>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</si>
  <si>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</si>
  <si>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</si>
  <si>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</si>
  <si>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</si>
  <si>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</si>
  <si>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</si>
  <si>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</si>
  <si>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</si>
  <si>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</si>
  <si>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</si>
  <si>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</si>
  <si>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</si>
  <si>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</si>
  <si>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</si>
  <si>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</si>
  <si>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</si>
  <si>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</si>
  <si>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</si>
  <si>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</si>
  <si>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</si>
  <si>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</si>
  <si>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</si>
  <si>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</si>
  <si>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</si>
  <si>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</si>
  <si>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</si>
  <si>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</si>
  <si>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</si>
  <si>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</si>
  <si>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</si>
  <si>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</si>
  <si>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</si>
  <si>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</si>
  <si>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</si>
  <si>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</si>
  <si>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</si>
  <si>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</si>
  <si>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</si>
  <si>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</si>
  <si>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</si>
  <si>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</si>
  <si>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</si>
  <si>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</si>
  <si>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</si>
  <si>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</si>
  <si>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</si>
  <si>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</si>
  <si>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</si>
  <si>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</si>
  <si>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</si>
  <si>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</si>
  <si>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</si>
  <si>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</si>
  <si>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</si>
  <si>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</si>
  <si>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</si>
  <si>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</si>
  <si>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</si>
  <si>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</si>
  <si>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</si>
  <si>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</si>
  <si>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</si>
  <si>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</si>
  <si>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</si>
  <si>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</si>
  <si>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</si>
  <si>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</si>
  <si>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</si>
  <si>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</si>
  <si>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</si>
  <si>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แผนทางการเงินสำหรับหน่วยบริการ สำนักงานปลัดกระทรวงสาธารณสุขประจำปี 2561</t>
  </si>
  <si>
    <t xml:space="preserve">ประมาณการปี 2561 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</si>
  <si>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</si>
  <si>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</si>
  <si>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</si>
  <si>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</si>
  <si>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</si>
  <si>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</si>
  <si>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[1] มูลค่าจัดซื้อปี 2558</t>
  </si>
  <si>
    <t>[2] มูลค่าจัดซื้อปี 2559</t>
  </si>
  <si>
    <t>[3] มูลค่าจัดซื้อปี 2560</t>
  </si>
  <si>
    <t>[4]มูลค่าการใช้ใน รพ. ปี 2560</t>
  </si>
  <si>
    <t>[5]มูลค่าการสนับสนุน รพ.สต.ปี 2560</t>
  </si>
  <si>
    <t>[7] = [4+5+6] รวมมูลค่าการใช้ยาทั้งปี 2560</t>
  </si>
  <si>
    <t>[8] สินค้าคงคลัง (ยา เวชภัณฑ์ฯ วัสดุวิทย์ฯ) ณ 30 ก.ย. 2560</t>
  </si>
  <si>
    <t>[9] แผนจัดซื้อปี 2561 นำไปกรอกใน planfin</t>
  </si>
  <si>
    <t>[6] แผนจัดซื้อปี 2560 นำไปกรอกใน planfin2561</t>
  </si>
  <si>
    <t>[5] วัสดุคงคลัง ณ 30 ก.ย. 2560</t>
  </si>
  <si>
    <t>[4] มูลค่าการใช้ใน รพ. ปี 2560</t>
  </si>
  <si>
    <t>[1] หนี้สินค้างชำระ ณ 30 ก.ย.2560</t>
  </si>
  <si>
    <t>[2] ประมาณการหนี้สินปี 2561</t>
  </si>
  <si>
    <t>(5) = [3] -[4] ภาระหนี้สินคงเหลือสิ้นปี 2561</t>
  </si>
  <si>
    <t>[3] = [1] +[2]  รวมภาระหนี้สินปี 2560</t>
  </si>
  <si>
    <t>[4] แผนการจ่ายชำระปี 2560 (นำไปกรอกใน Planfin2561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</si>
  <si>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</si>
  <si>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</si>
  <si>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</si>
  <si>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</si>
  <si>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</si>
  <si>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</si>
  <si>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</si>
  <si>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</si>
  <si>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</si>
  <si>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</si>
  <si>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</si>
  <si>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</si>
  <si>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</si>
  <si>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</si>
  <si>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</si>
  <si>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</si>
  <si>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</si>
  <si>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</si>
  <si>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</si>
  <si>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</si>
  <si>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</si>
  <si>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</si>
  <si>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</si>
  <si>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</si>
  <si>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</si>
  <si>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</si>
  <si>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</si>
  <si>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</si>
  <si>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</si>
  <si>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</si>
  <si>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</si>
  <si>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</si>
  <si>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</si>
  <si>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</si>
  <si>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</si>
  <si>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</si>
  <si>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</si>
  <si>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</si>
  <si>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</si>
  <si>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</si>
  <si>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</si>
  <si>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</si>
  <si>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</si>
  <si>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</si>
  <si>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</si>
  <si>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</si>
  <si>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</si>
  <si>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</si>
  <si>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</si>
  <si>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</si>
  <si>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</si>
  <si>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</si>
  <si>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</si>
  <si>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</si>
  <si>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</si>
  <si>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</si>
  <si>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</si>
  <si>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</si>
  <si>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</si>
  <si>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</si>
  <si>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</si>
  <si>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</si>
  <si>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</si>
  <si>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</si>
  <si>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</si>
  <si>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</si>
  <si>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</si>
  <si>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</si>
  <si>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</si>
  <si>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</si>
  <si>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</si>
  <si>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</si>
  <si>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</si>
  <si>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</si>
  <si>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</si>
  <si>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</si>
  <si>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</si>
  <si>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</si>
  <si>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</si>
  <si>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</si>
  <si>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</si>
  <si>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</si>
  <si>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</si>
  <si>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</si>
  <si>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</si>
  <si>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</si>
  <si>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</si>
  <si>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</si>
  <si>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</si>
  <si>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</si>
  <si>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</si>
  <si>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</si>
  <si>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</si>
  <si>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</si>
  <si>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</si>
  <si>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</si>
  <si>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</si>
  <si>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</si>
  <si>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</si>
  <si>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</si>
  <si>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</si>
  <si>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</si>
  <si>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</si>
  <si>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</si>
  <si>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</si>
  <si>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</si>
  <si>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</si>
  <si>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</si>
  <si>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</si>
  <si>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</si>
  <si>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</si>
  <si>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</si>
  <si>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โคกสูง</t>
  </si>
  <si>
    <t>หนองแวง</t>
  </si>
  <si>
    <t>หนองม่วง</t>
  </si>
  <si>
    <t>อ่างศิลา</t>
  </si>
  <si>
    <t>ละลมติม</t>
  </si>
  <si>
    <t>หนองมั่ง</t>
  </si>
  <si>
    <t>คลองตะเคียน</t>
  </si>
  <si>
    <t>โนนหมากมุ่น</t>
  </si>
  <si>
    <t>ไผ่งาม</t>
  </si>
  <si>
    <t>สสอ.โคกสูง</t>
  </si>
  <si>
    <t>1101010101.101</t>
  </si>
  <si>
    <t>เงินสด</t>
  </si>
  <si>
    <t>1101020603.101</t>
  </si>
  <si>
    <t>เงินฝากธนาคาร-  ในงบประมาณ กรุงไทย 214-6028-408</t>
  </si>
  <si>
    <t>1101020603.103</t>
  </si>
  <si>
    <t>เงินฝากธนาคาร-  ออมทรัพย์ ประกันสังคม ทันตกรรม กรุงไทย 214-0-37556-4</t>
  </si>
  <si>
    <t>1101020604.101</t>
  </si>
  <si>
    <t>เงินฝากธนาคาร-นอกงบประมาณ ธกส.02006216-6305</t>
  </si>
  <si>
    <t>1101030102.101</t>
  </si>
  <si>
    <t>เงินฝากธนาคาร-นอกงบประมาณ ออมทรัพย์ ธกส.02005700-5981</t>
  </si>
  <si>
    <t>1101030102.102</t>
  </si>
  <si>
    <t>เงินฝากธนาคาร-นอกงบประมาณรอการจัดสรรออมทรัพย์ ออมทรัพย์ ธกส.02005700-5981</t>
  </si>
  <si>
    <t>1101030102.103</t>
  </si>
  <si>
    <t>เงินฝากธนาคาร-นอกงบประมาณที่มีวัตถุประสงค์เฉพาะออมทรัพย์ อสม. ธกส.020101990615</t>
  </si>
  <si>
    <t>1101030102.104</t>
  </si>
  <si>
    <t>เงินฝากธนาคาร-นอกงบประมาณที่มีวัตถุประสงค์เฉพาะ ออมทรัพย์ (งบลงทุน UC)</t>
  </si>
  <si>
    <t>1102010108.101</t>
  </si>
  <si>
    <t>ลูกหนี้เงินยืม -  เงินบำรุง</t>
  </si>
  <si>
    <t>1102050194.201</t>
  </si>
  <si>
    <t>ลูกหนี้ค่ารักษา UC- OP ใน CUP</t>
  </si>
  <si>
    <t>ลูกหนี้ค่ารักษา UC-OP นอก CUP (ในจังหวัด)</t>
  </si>
  <si>
    <t>1102050194.301</t>
  </si>
  <si>
    <t>ลูกหนี้ค่ารักษาประกันสังคม OP-เครือข่าย</t>
  </si>
  <si>
    <t>1102050194.305</t>
  </si>
  <si>
    <t>ลูกหนี้ค่ารักษาประกันสังคม-กองทุนทดแทน</t>
  </si>
  <si>
    <t>1102050194.401</t>
  </si>
  <si>
    <t>ลูกหนี้ค่ารักษา-เบิกจ่ายตรงกรมบัญชีกลาง OP</t>
  </si>
  <si>
    <t>1105010101.101</t>
  </si>
  <si>
    <t>วัตถุดิบ</t>
  </si>
  <si>
    <t>1105010103.102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</si>
  <si>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</si>
  <si>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</si>
  <si>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</si>
  <si>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</si>
  <si>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</si>
  <si>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</si>
  <si>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1105010103.107</t>
  </si>
  <si>
    <t>วัสดุทันตกรรม</t>
  </si>
  <si>
    <t>1105010105.105</t>
  </si>
  <si>
    <t>1105010105.107</t>
  </si>
  <si>
    <t>1105010105.108</t>
  </si>
  <si>
    <t>1105010105.110</t>
  </si>
  <si>
    <t>1105010105.111</t>
  </si>
  <si>
    <t>1105010105.113</t>
  </si>
  <si>
    <t>1105010105.115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</si>
  <si>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</si>
  <si>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</si>
  <si>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</si>
  <si>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</si>
  <si>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</si>
  <si>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</si>
  <si>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</si>
  <si>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</si>
  <si>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1205040101.101</t>
  </si>
  <si>
    <t>สิ่งปลูกสร้าง</t>
  </si>
  <si>
    <t>1205040103.101</t>
  </si>
  <si>
    <t>ค่าเสื่อมราคาสะสม-สิ่งปลูกสร้าง</t>
  </si>
  <si>
    <t>1205050101.103</t>
  </si>
  <si>
    <t>อาคารเพื่อประโยชน์ อื่น-Interface</t>
  </si>
  <si>
    <t>1205050101.104</t>
  </si>
  <si>
    <t>สิ่งปลูกสร้าง-Interface</t>
  </si>
  <si>
    <t>1205050102.103</t>
  </si>
  <si>
    <t>ค่าเสื่อมราคาสะสมอาคารเพื่อประโยชน์ อื่น - Interface</t>
  </si>
  <si>
    <t>1205050102.104</t>
  </si>
  <si>
    <t>ค่าเสื่อมราคาสะสมสิ่งปลูกสร้าง -Interface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</si>
  <si>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</si>
  <si>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</si>
  <si>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</si>
  <si>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</si>
  <si>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</si>
  <si>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</si>
  <si>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</si>
  <si>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</si>
  <si>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</si>
  <si>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</si>
  <si>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</si>
  <si>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</si>
  <si>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</si>
  <si>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</si>
  <si>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</si>
  <si>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</si>
  <si>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</si>
  <si>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</si>
  <si>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</si>
  <si>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</si>
  <si>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</si>
  <si>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</si>
  <si>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</si>
  <si>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</si>
  <si>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1206170101.101</t>
  </si>
  <si>
    <t>ครุภัณฑ์สำนักงาน-Interface</t>
  </si>
  <si>
    <t>1206170101.102</t>
  </si>
  <si>
    <t>ครุภัณฑ์ยานพาหนะและขนส่ง-Interface</t>
  </si>
  <si>
    <t>1206170101.103</t>
  </si>
  <si>
    <t>ครุภัณฑ์ไฟฟ้าและวิทยุ-Interface</t>
  </si>
  <si>
    <t>1206170101.104</t>
  </si>
  <si>
    <t>ครุภัณฑ์โฆษณาและเผยแพร่-Interface</t>
  </si>
  <si>
    <t>1206170101.106</t>
  </si>
  <si>
    <t>ครุภัณฑ์ก่อสร้าง-Interface</t>
  </si>
  <si>
    <t>1206170101.107</t>
  </si>
  <si>
    <t>ครุภัณฑ์วิทยาศาสตร์และการแพทย์-Interface</t>
  </si>
  <si>
    <t>1206170101.108</t>
  </si>
  <si>
    <t>ครุภัณฑ์คอมพิวเตอร์-Interface</t>
  </si>
  <si>
    <t>1206170101.109</t>
  </si>
  <si>
    <t>ครุภัณฑ์งานบ้านงานครัว-Interface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</si>
  <si>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</si>
  <si>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</si>
  <si>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</si>
  <si>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</si>
  <si>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</si>
  <si>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</si>
  <si>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</si>
  <si>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</si>
  <si>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</si>
  <si>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</si>
  <si>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</si>
  <si>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</si>
  <si>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</si>
  <si>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</si>
  <si>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</si>
  <si>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</si>
  <si>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</si>
  <si>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</si>
  <si>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</si>
  <si>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</si>
  <si>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</si>
  <si>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</si>
  <si>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</si>
  <si>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</si>
  <si>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</si>
  <si>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</si>
  <si>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</si>
  <si>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</si>
  <si>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</si>
  <si>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</si>
  <si>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</si>
  <si>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</si>
  <si>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</si>
  <si>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</si>
  <si>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</si>
  <si>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</si>
  <si>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</si>
  <si>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</si>
  <si>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2101020199.202</t>
  </si>
  <si>
    <t>เจ้าหนี้ค่ารักษา OP-UC นอก CUP (ในจังหวัดสังกัด สธ.)</t>
  </si>
  <si>
    <t>2101020199.203</t>
  </si>
  <si>
    <t>เจ้าหนี้ค่ารักษา OP-UC นอก CUP (ต่างจังหวัดสังกัด สธ.)</t>
  </si>
  <si>
    <t>2101020199.204</t>
  </si>
  <si>
    <t>เจ้าหนี้ค่ารักษา OP-UC นอกสังกัด สธ.</t>
  </si>
  <si>
    <t>2102040102.101</t>
  </si>
  <si>
    <t>ใบสำคัญค้างจ่าย(เงินงบประมาณ/เงินนอกงบ ประมาณฝากคลัง)</t>
  </si>
  <si>
    <t>2102040199.106</t>
  </si>
  <si>
    <t>ค่าจ้างชั่วคราวค้างจ่าย (บริการ)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</si>
  <si>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</si>
  <si>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</si>
  <si>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</si>
  <si>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</si>
  <si>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</si>
  <si>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</si>
  <si>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</si>
  <si>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</si>
  <si>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2102040199.117</t>
  </si>
  <si>
    <t>ค่าสาธารณูปโภคค้างจ่าย</t>
  </si>
  <si>
    <t>2102040198.101</t>
  </si>
  <si>
    <t>ค่าใช้จ่ายค้างจ่ายอื่น-หน่วยงานภาครัฐ</t>
  </si>
  <si>
    <t>2111020199.105.1</t>
  </si>
  <si>
    <t>เงินรับฝาก(หมุนเวียน)อสม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</si>
  <si>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</si>
  <si>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</si>
  <si>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</si>
  <si>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</si>
  <si>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2111020199.108.1</t>
  </si>
  <si>
    <t>เงินรับฝากหักจากเงินเดือน(พนักงานราชการ)</t>
  </si>
  <si>
    <t>2111020199.201</t>
  </si>
  <si>
    <t>เงินรับฝากกองทุน UC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</si>
  <si>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</si>
  <si>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</si>
  <si>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</si>
  <si>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</si>
  <si>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</si>
  <si>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</si>
  <si>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2111020199.302</t>
  </si>
  <si>
    <t>เงินสมทบประกันสังคมส่วนของลูกจ้าง</t>
  </si>
  <si>
    <t>2112010199.102</t>
  </si>
  <si>
    <t>เงินประกันอื่น - เงินมัดจำประกันสัญญา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</si>
  <si>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</si>
  <si>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</si>
  <si>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</si>
  <si>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</si>
  <si>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3102010102.201</t>
  </si>
  <si>
    <t>กำไร/ขาดทุนสะสมจากข้อผิดพลาดเงินกองทุนUC ปีก่อน</t>
  </si>
  <si>
    <t>3105010101.101</t>
  </si>
  <si>
    <t>ทุน</t>
  </si>
  <si>
    <t>รายได้กองทุน UC อื่น</t>
  </si>
  <si>
    <t>รหัส</t>
  </si>
  <si>
    <t>บัญชี</t>
  </si>
  <si>
    <t>1102050194.204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</si>
  <si>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</si>
  <si>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</si>
  <si>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</si>
  <si>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</si>
  <si>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</si>
  <si>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</si>
  <si>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</si>
  <si>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[14]=[13]/[11]</t>
  </si>
  <si>
    <t>รายได้ประกันสังคม-อื่นๆ</t>
  </si>
  <si>
    <t>รายได้ค่ารักษา UC-IPD</t>
  </si>
  <si>
    <t>รายได้ค่ารักษาเบิกจ่ายตรงกรมบัญชีกลาง IPD</t>
  </si>
  <si>
    <t>รายได้ค่ารักษาเบิกจ่ายตรง- อปท. OPD</t>
  </si>
  <si>
    <t>รายได้ค่ารักษา UC-OPDต่างสังกัด สป.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</si>
</sst>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[Red]\-#,##0.00\ "/>
    <numFmt numFmtId="188" formatCode="#,##0_ ;[Red]\-#,##0\ "/>
  </numFmts>
  <fonts count="5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6"/>
      <color rgb="FF0070C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1"/>
      <color rgb="FF444444"/>
      <name val="Tahoma"/>
      <family val="2"/>
      <scheme val="minor"/>
    </font>
    <font>
      <sz val="11"/>
      <color rgb="FFFF0000"/>
      <name val="Tahoma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</cellStyleXfs>
  <cellXfs count="4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39" fillId="0" borderId="1" xfId="8" applyFont="1" applyFill="1" applyBorder="1" applyAlignment="1"/>
    <xf numFmtId="0" fontId="39" fillId="0" borderId="1" xfId="8" applyFont="1" applyFill="1" applyBorder="1" applyAlignment="1">
      <alignment horizontal="right"/>
    </xf>
    <xf numFmtId="0" fontId="39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41" fillId="0" borderId="0" xfId="0" applyFont="1"/>
    <xf numFmtId="0" fontId="39" fillId="4" borderId="1" xfId="8" applyFont="1" applyFill="1" applyBorder="1" applyAlignment="1"/>
    <xf numFmtId="0" fontId="39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43" fontId="3" fillId="18" borderId="2" xfId="3" applyFont="1" applyFill="1" applyBorder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26" fillId="18" borderId="2" xfId="3" applyFont="1" applyFill="1" applyBorder="1"/>
    <xf numFmtId="0" fontId="44" fillId="0" borderId="2" xfId="1" applyFont="1" applyFill="1" applyBorder="1" applyAlignment="1"/>
    <xf numFmtId="0" fontId="25" fillId="0" borderId="2" xfId="0" applyFont="1" applyBorder="1"/>
    <xf numFmtId="43" fontId="0" fillId="18" borderId="2" xfId="0" applyNumberFormat="1" applyFill="1" applyBorder="1"/>
    <xf numFmtId="0" fontId="4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1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1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6" fillId="18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2" borderId="39" xfId="0" applyFont="1" applyFill="1" applyBorder="1" applyAlignment="1">
      <alignment horizontal="center" vertical="center" wrapText="1" readingOrder="1"/>
    </xf>
    <xf numFmtId="0" fontId="15" fillId="21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36" fillId="6" borderId="0" xfId="0" applyFont="1" applyFill="1" applyBorder="1" applyAlignment="1">
      <alignment horizontal="center"/>
    </xf>
    <xf numFmtId="0" fontId="48" fillId="22" borderId="39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left" vertical="center" wrapText="1" readingOrder="1"/>
    </xf>
    <xf numFmtId="0" fontId="1" fillId="22" borderId="40" xfId="0" applyFont="1" applyFill="1" applyBorder="1" applyAlignment="1">
      <alignment horizontal="center" vertical="top" wrapText="1"/>
    </xf>
    <xf numFmtId="0" fontId="49" fillId="22" borderId="40" xfId="0" applyFont="1" applyFill="1" applyBorder="1" applyAlignment="1">
      <alignment horizontal="left" vertical="center" wrapText="1" readingOrder="1"/>
    </xf>
    <xf numFmtId="0" fontId="1" fillId="22" borderId="41" xfId="0" applyFont="1" applyFill="1" applyBorder="1" applyAlignment="1">
      <alignment horizontal="center" vertical="top" wrapText="1"/>
    </xf>
    <xf numFmtId="0" fontId="48" fillId="22" borderId="41" xfId="0" applyFont="1" applyFill="1" applyBorder="1" applyAlignment="1">
      <alignment horizontal="left" vertical="center" wrapText="1" readingOrder="1"/>
    </xf>
    <xf numFmtId="0" fontId="50" fillId="23" borderId="42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50" fillId="23" borderId="43" xfId="0" applyFont="1" applyFill="1" applyBorder="1" applyAlignment="1">
      <alignment horizontal="center" vertical="center" wrapText="1" readingOrder="1"/>
    </xf>
    <xf numFmtId="0" fontId="36" fillId="23" borderId="43" xfId="0" applyFont="1" applyFill="1" applyBorder="1" applyAlignment="1">
      <alignment horizontal="center" vertical="center" wrapText="1" readingOrder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36" fillId="23" borderId="39" xfId="0" applyFont="1" applyFill="1" applyBorder="1" applyAlignment="1">
      <alignment horizontal="center" vertical="center" wrapText="1" readingOrder="1"/>
    </xf>
    <xf numFmtId="0" fontId="50" fillId="23" borderId="42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left" vertical="center" readingOrder="1"/>
    </xf>
    <xf numFmtId="0" fontId="50" fillId="23" borderId="39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3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1" fillId="0" borderId="0" xfId="0" applyFont="1"/>
    <xf numFmtId="0" fontId="51" fillId="7" borderId="12" xfId="0" applyFont="1" applyFill="1" applyBorder="1" applyAlignment="1">
      <alignment horizontal="centerContinuous"/>
    </xf>
    <xf numFmtId="0" fontId="51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49" fontId="42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5" borderId="0" xfId="0" applyFont="1" applyFill="1"/>
    <xf numFmtId="0" fontId="3" fillId="2" borderId="0" xfId="0" applyFont="1" applyFill="1"/>
    <xf numFmtId="0" fontId="52" fillId="22" borderId="39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left" vertical="center" wrapText="1" readingOrder="1"/>
    </xf>
    <xf numFmtId="0" fontId="12" fillId="22" borderId="40" xfId="0" applyFont="1" applyFill="1" applyBorder="1" applyAlignment="1">
      <alignment horizontal="center" vertical="top" wrapText="1"/>
    </xf>
    <xf numFmtId="0" fontId="53" fillId="22" borderId="40" xfId="0" applyFont="1" applyFill="1" applyBorder="1" applyAlignment="1">
      <alignment horizontal="left" vertical="center" wrapText="1" readingOrder="1"/>
    </xf>
    <xf numFmtId="0" fontId="12" fillId="22" borderId="41" xfId="0" applyFont="1" applyFill="1" applyBorder="1" applyAlignment="1">
      <alignment horizontal="center" vertical="top" wrapText="1"/>
    </xf>
    <xf numFmtId="0" fontId="52" fillId="22" borderId="41" xfId="0" applyFont="1" applyFill="1" applyBorder="1" applyAlignment="1">
      <alignment horizontal="left" vertical="center" wrapText="1" readingOrder="1"/>
    </xf>
    <xf numFmtId="0" fontId="54" fillId="23" borderId="42" xfId="0" applyFont="1" applyFill="1" applyBorder="1" applyAlignment="1">
      <alignment horizontal="center" vertical="center" wrapText="1" readingOrder="1"/>
    </xf>
    <xf numFmtId="0" fontId="54" fillId="23" borderId="42" xfId="0" applyFont="1" applyFill="1" applyBorder="1" applyAlignment="1">
      <alignment horizontal="left" vertical="center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left" vertical="center" readingOrder="1"/>
    </xf>
    <xf numFmtId="0" fontId="54" fillId="23" borderId="39" xfId="0" applyFont="1" applyFill="1" applyBorder="1" applyAlignment="1">
      <alignment horizontal="center" vertical="center" wrapText="1" readingOrder="1"/>
    </xf>
    <xf numFmtId="0" fontId="54" fillId="23" borderId="39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54" fillId="24" borderId="39" xfId="0" applyFont="1" applyFill="1" applyBorder="1" applyAlignment="1">
      <alignment horizontal="left" vertical="center" readingOrder="1"/>
    </xf>
    <xf numFmtId="0" fontId="54" fillId="23" borderId="43" xfId="0" applyFont="1" applyFill="1" applyBorder="1" applyAlignment="1">
      <alignment horizontal="center" vertical="center" wrapText="1" readingOrder="1"/>
    </xf>
    <xf numFmtId="0" fontId="55" fillId="23" borderId="43" xfId="0" applyFont="1" applyFill="1" applyBorder="1" applyAlignment="1">
      <alignment horizontal="center" vertical="center" wrapText="1" readingOrder="1"/>
    </xf>
    <xf numFmtId="0" fontId="54" fillId="23" borderId="43" xfId="0" applyFont="1" applyFill="1" applyBorder="1" applyAlignment="1">
      <alignment horizontal="left" vertical="center" readingOrder="1"/>
    </xf>
    <xf numFmtId="0" fontId="55" fillId="23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6" borderId="0" xfId="0" applyFont="1" applyFill="1"/>
    <xf numFmtId="0" fontId="56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4" borderId="0" xfId="0" applyFill="1"/>
    <xf numFmtId="43" fontId="12" fillId="0" borderId="2" xfId="3" applyFont="1" applyBorder="1"/>
    <xf numFmtId="43" fontId="3" fillId="0" borderId="2" xfId="3" applyFont="1" applyBorder="1" applyAlignment="1">
      <alignment vertical="top" wrapText="1"/>
    </xf>
    <xf numFmtId="43" fontId="3" fillId="6" borderId="2" xfId="3" applyFont="1" applyFill="1" applyBorder="1"/>
    <xf numFmtId="43" fontId="12" fillId="0" borderId="2" xfId="3" applyFont="1" applyBorder="1" applyAlignment="1">
      <alignment horizontal="center"/>
    </xf>
    <xf numFmtId="43" fontId="12" fillId="0" borderId="2" xfId="3" applyFont="1" applyBorder="1" applyAlignment="1">
      <alignment horizontal="center" vertical="center" wrapText="1"/>
    </xf>
    <xf numFmtId="43" fontId="12" fillId="17" borderId="2" xfId="3" applyFont="1" applyFill="1" applyBorder="1" applyAlignment="1">
      <alignment horizontal="center" vertical="center"/>
    </xf>
    <xf numFmtId="43" fontId="12" fillId="17" borderId="4" xfId="3" applyFont="1" applyFill="1" applyBorder="1" applyAlignment="1">
      <alignment horizontal="center" vertical="center"/>
    </xf>
    <xf numFmtId="0" fontId="3" fillId="4" borderId="2" xfId="0" applyFont="1" applyFill="1" applyBorder="1"/>
    <xf numFmtId="43" fontId="3" fillId="4" borderId="2" xfId="3" applyFont="1" applyFill="1" applyBorder="1"/>
    <xf numFmtId="43" fontId="3" fillId="0" borderId="2" xfId="3" applyNumberFormat="1" applyFont="1" applyBorder="1"/>
    <xf numFmtId="43" fontId="3" fillId="4" borderId="2" xfId="3" applyNumberFormat="1" applyFont="1" applyFill="1" applyBorder="1"/>
    <xf numFmtId="43" fontId="0" fillId="17" borderId="2" xfId="3" applyNumberFormat="1" applyFont="1" applyFill="1" applyBorder="1"/>
    <xf numFmtId="43" fontId="19" fillId="4" borderId="2" xfId="3" applyFont="1" applyFill="1" applyBorder="1" applyAlignment="1">
      <alignment wrapText="1"/>
    </xf>
    <xf numFmtId="43" fontId="19" fillId="18" borderId="2" xfId="6" applyNumberFormat="1" applyFont="1" applyFill="1" applyBorder="1" applyAlignment="1">
      <alignment wrapText="1"/>
    </xf>
    <xf numFmtId="43" fontId="19" fillId="6" borderId="2" xfId="3" applyFont="1" applyFill="1" applyBorder="1" applyAlignment="1">
      <alignment wrapText="1"/>
    </xf>
    <xf numFmtId="4" fontId="0" fillId="0" borderId="0" xfId="0" applyNumberFormat="1"/>
    <xf numFmtId="43" fontId="0" fillId="0" borderId="0" xfId="0" applyNumberFormat="1" applyFill="1"/>
    <xf numFmtId="43" fontId="3" fillId="0" borderId="0" xfId="3" applyFont="1"/>
    <xf numFmtId="43" fontId="3" fillId="0" borderId="0" xfId="3" applyFont="1" applyAlignment="1">
      <alignment horizontal="right"/>
    </xf>
    <xf numFmtId="0" fontId="3" fillId="0" borderId="0" xfId="0" applyFont="1" applyFill="1" applyBorder="1" applyAlignment="1">
      <alignment wrapText="1"/>
    </xf>
    <xf numFmtId="43" fontId="0" fillId="0" borderId="0" xfId="0" applyNumberFormat="1"/>
    <xf numFmtId="0" fontId="39" fillId="4" borderId="1" xfId="8" applyFont="1" applyFill="1" applyBorder="1" applyAlignment="1">
      <alignment horizontal="left"/>
    </xf>
    <xf numFmtId="0" fontId="19" fillId="4" borderId="2" xfId="7" applyFont="1" applyFill="1" applyBorder="1" applyAlignment="1"/>
    <xf numFmtId="187" fontId="3" fillId="4" borderId="2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9" fillId="27" borderId="1" xfId="8" applyFont="1" applyFill="1" applyBorder="1" applyAlignment="1"/>
    <xf numFmtId="0" fontId="39" fillId="27" borderId="1" xfId="8" applyFont="1" applyFill="1" applyBorder="1" applyAlignment="1">
      <alignment horizontal="right"/>
    </xf>
    <xf numFmtId="0" fontId="12" fillId="27" borderId="0" xfId="0" applyFont="1" applyFill="1" applyAlignment="1"/>
    <xf numFmtId="0" fontId="1" fillId="0" borderId="0" xfId="0" applyFont="1" applyFill="1" applyBorder="1" applyAlignment="1"/>
    <xf numFmtId="187" fontId="3" fillId="0" borderId="0" xfId="0" applyNumberFormat="1" applyFont="1" applyFill="1"/>
    <xf numFmtId="187" fontId="0" fillId="5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0" fillId="28" borderId="0" xfId="0" applyFill="1"/>
    <xf numFmtId="0" fontId="20" fillId="0" borderId="0" xfId="0" applyFont="1"/>
    <xf numFmtId="4" fontId="20" fillId="0" borderId="0" xfId="0" applyNumberFormat="1" applyFont="1" applyFill="1"/>
    <xf numFmtId="0" fontId="20" fillId="4" borderId="0" xfId="0" applyFont="1" applyFill="1"/>
    <xf numFmtId="4" fontId="20" fillId="4" borderId="0" xfId="0" applyNumberFormat="1" applyFont="1" applyFill="1"/>
    <xf numFmtId="43" fontId="20" fillId="0" borderId="0" xfId="3" applyFont="1"/>
    <xf numFmtId="0" fontId="20" fillId="25" borderId="0" xfId="0" applyFont="1" applyFill="1"/>
    <xf numFmtId="4" fontId="20" fillId="25" borderId="0" xfId="0" applyNumberFormat="1" applyFont="1" applyFill="1"/>
    <xf numFmtId="43" fontId="20" fillId="25" borderId="0" xfId="3" applyFont="1" applyFill="1"/>
    <xf numFmtId="0" fontId="20" fillId="11" borderId="0" xfId="0" applyFont="1" applyFill="1"/>
    <xf numFmtId="4" fontId="20" fillId="11" borderId="0" xfId="0" applyNumberFormat="1" applyFont="1" applyFill="1"/>
    <xf numFmtId="43" fontId="20" fillId="11" borderId="0" xfId="3" applyFont="1" applyFill="1"/>
    <xf numFmtId="4" fontId="20" fillId="0" borderId="0" xfId="0" applyNumberFormat="1" applyFont="1"/>
    <xf numFmtId="43" fontId="20" fillId="0" borderId="0" xfId="0" applyNumberFormat="1" applyFont="1"/>
    <xf numFmtId="0" fontId="20" fillId="0" borderId="0" xfId="0" applyFont="1" applyFill="1"/>
    <xf numFmtId="0" fontId="30" fillId="0" borderId="2" xfId="0" applyFont="1" applyFill="1" applyBorder="1" applyAlignment="1">
      <alignment horizontal="center"/>
    </xf>
    <xf numFmtId="4" fontId="57" fillId="0" borderId="0" xfId="0" applyNumberFormat="1" applyFont="1"/>
    <xf numFmtId="0" fontId="30" fillId="0" borderId="0" xfId="0" applyFont="1" applyFill="1" applyBorder="1" applyAlignment="1">
      <alignment horizontal="center"/>
    </xf>
    <xf numFmtId="0" fontId="20" fillId="29" borderId="0" xfId="0" applyFont="1" applyFill="1"/>
    <xf numFmtId="4" fontId="20" fillId="29" borderId="0" xfId="0" applyNumberFormat="1" applyFont="1" applyFill="1"/>
    <xf numFmtId="0" fontId="20" fillId="5" borderId="0" xfId="0" applyFont="1" applyFill="1"/>
    <xf numFmtId="4" fontId="20" fillId="5" borderId="0" xfId="0" applyNumberFormat="1" applyFont="1" applyFill="1"/>
    <xf numFmtId="0" fontId="20" fillId="21" borderId="0" xfId="0" applyFont="1" applyFill="1"/>
    <xf numFmtId="4" fontId="20" fillId="21" borderId="0" xfId="0" applyNumberFormat="1" applyFont="1" applyFill="1"/>
    <xf numFmtId="4" fontId="58" fillId="21" borderId="0" xfId="0" applyNumberFormat="1" applyFont="1" applyFill="1"/>
    <xf numFmtId="4" fontId="0" fillId="28" borderId="0" xfId="0" applyNumberFormat="1" applyFill="1"/>
    <xf numFmtId="4" fontId="20" fillId="28" borderId="0" xfId="0" applyNumberFormat="1" applyFont="1" applyFill="1"/>
    <xf numFmtId="0" fontId="20" fillId="28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87" fontId="8" fillId="0" borderId="2" xfId="3" applyNumberFormat="1" applyFont="1" applyFill="1" applyBorder="1"/>
    <xf numFmtId="187" fontId="12" fillId="0" borderId="3" xfId="3" applyNumberFormat="1" applyFont="1" applyFill="1" applyBorder="1"/>
    <xf numFmtId="187" fontId="3" fillId="0" borderId="14" xfId="3" applyNumberFormat="1" applyFont="1" applyFill="1" applyBorder="1"/>
    <xf numFmtId="0" fontId="4" fillId="0" borderId="2" xfId="0" applyFont="1" applyFill="1" applyBorder="1" applyAlignment="1">
      <alignment horizontal="center"/>
    </xf>
    <xf numFmtId="187" fontId="4" fillId="0" borderId="2" xfId="3" applyNumberFormat="1" applyFont="1" applyFill="1" applyBorder="1"/>
    <xf numFmtId="187" fontId="4" fillId="0" borderId="13" xfId="0" applyNumberFormat="1" applyFont="1" applyFill="1" applyBorder="1"/>
    <xf numFmtId="187" fontId="14" fillId="0" borderId="1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87" fontId="4" fillId="0" borderId="3" xfId="0" applyNumberFormat="1" applyFont="1" applyFill="1" applyBorder="1" applyAlignment="1"/>
    <xf numFmtId="187" fontId="4" fillId="0" borderId="4" xfId="0" applyNumberFormat="1" applyFont="1" applyFill="1" applyBorder="1" applyAlignment="1"/>
    <xf numFmtId="187" fontId="4" fillId="0" borderId="2" xfId="0" applyNumberFormat="1" applyFont="1" applyFill="1" applyBorder="1" applyAlignment="1"/>
    <xf numFmtId="187" fontId="4" fillId="0" borderId="11" xfId="0" applyNumberFormat="1" applyFont="1" applyFill="1" applyBorder="1" applyAlignment="1"/>
    <xf numFmtId="187" fontId="29" fillId="0" borderId="15" xfId="0" applyNumberFormat="1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3" xfId="0" applyFont="1" applyFill="1" applyBorder="1"/>
    <xf numFmtId="43" fontId="4" fillId="0" borderId="2" xfId="3" applyFont="1" applyFill="1" applyBorder="1" applyAlignment="1">
      <alignment horizontal="center"/>
    </xf>
    <xf numFmtId="0" fontId="20" fillId="30" borderId="0" xfId="0" applyFont="1" applyFill="1"/>
    <xf numFmtId="4" fontId="20" fillId="30" borderId="0" xfId="0" applyNumberFormat="1" applyFont="1" applyFill="1"/>
    <xf numFmtId="4" fontId="0" fillId="4" borderId="0" xfId="0" applyNumberFormat="1" applyFill="1"/>
    <xf numFmtId="43" fontId="1" fillId="8" borderId="17" xfId="3" applyFont="1" applyFill="1" applyBorder="1"/>
    <xf numFmtId="0" fontId="20" fillId="12" borderId="0" xfId="0" applyFont="1" applyFill="1"/>
    <xf numFmtId="4" fontId="20" fillId="12" borderId="0" xfId="0" applyNumberFormat="1" applyFont="1" applyFill="1"/>
    <xf numFmtId="0" fontId="58" fillId="0" borderId="0" xfId="0" applyFont="1"/>
    <xf numFmtId="4" fontId="58" fillId="0" borderId="0" xfId="0" applyNumberFormat="1" applyFont="1" applyFill="1"/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4" fontId="58" fillId="11" borderId="0" xfId="0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8" fillId="22" borderId="39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center" vertical="center" wrapText="1" readingOrder="1"/>
    </xf>
    <xf numFmtId="0" fontId="48" fillId="22" borderId="41" xfId="0" applyFont="1" applyFill="1" applyBorder="1" applyAlignment="1">
      <alignment horizontal="center" vertical="center" wrapText="1" readingOrder="1"/>
    </xf>
    <xf numFmtId="0" fontId="46" fillId="18" borderId="0" xfId="0" applyFont="1" applyFill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18" borderId="0" xfId="0" applyFont="1" applyFill="1" applyAlignment="1">
      <alignment horizontal="center" vertical="top" wrapText="1"/>
    </xf>
    <xf numFmtId="0" fontId="46" fillId="18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4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0" fontId="52" fillId="22" borderId="39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center" vertical="center" wrapText="1" readingOrder="1"/>
    </xf>
    <xf numFmtId="0" fontId="52" fillId="22" borderId="41" xfId="0" applyFont="1" applyFill="1" applyBorder="1" applyAlignment="1">
      <alignment horizontal="center" vertical="center" wrapText="1" readingOrder="1"/>
    </xf>
  </cellXfs>
  <cellStyles count="9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_Sheet1" xfId="8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PlanfinPlus2561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1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7.WS-แผน รพ.สต."/>
      <sheetName val="PlanFin Analysis"/>
      <sheetName val="WS2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/>
          <cell r="B2"/>
          <cell r="C2"/>
        </row>
        <row r="3">
          <cell r="A3"/>
          <cell r="B3"/>
          <cell r="C3"/>
        </row>
        <row r="4">
          <cell r="A4"/>
          <cell r="B4"/>
          <cell r="C4"/>
        </row>
        <row r="5">
          <cell r="A5"/>
          <cell r="B5"/>
          <cell r="C5"/>
        </row>
        <row r="6">
          <cell r="A6"/>
          <cell r="B6"/>
          <cell r="C6"/>
        </row>
        <row r="7">
          <cell r="A7"/>
          <cell r="B7"/>
          <cell r="C7"/>
        </row>
        <row r="8">
          <cell r="A8"/>
          <cell r="B8"/>
          <cell r="C8"/>
        </row>
        <row r="9">
          <cell r="A9"/>
          <cell r="B9"/>
          <cell r="C9"/>
        </row>
        <row r="10">
          <cell r="A10"/>
          <cell r="B10"/>
          <cell r="C10"/>
        </row>
        <row r="11">
          <cell r="A11"/>
          <cell r="B11"/>
          <cell r="C11"/>
        </row>
        <row r="12">
          <cell r="A12"/>
          <cell r="B12"/>
          <cell r="C12"/>
        </row>
        <row r="13">
          <cell r="A13"/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A19" sqref="A19"/>
    </sheetView>
  </sheetViews>
  <sheetFormatPr defaultColWidth="9" defaultRowHeight="15" x14ac:dyDescent="0.25"/>
  <cols>
    <col min="1" max="1" width="19.875" style="21" customWidth="1"/>
    <col min="2" max="2" width="87.375" style="21" bestFit="1" customWidth="1"/>
    <col min="3" max="16384" width="9" style="21"/>
  </cols>
  <sheetData>
    <row r="1" spans="1:2" ht="23.25" x14ac:dyDescent="0.35">
      <c r="A1" s="20" t="s">
        <v>808</v>
      </c>
      <c r="B1" s="153" t="s">
        <v>1653</v>
      </c>
    </row>
    <row r="2" spans="1:2" s="25" customFormat="1" ht="21" x14ac:dyDescent="0.35">
      <c r="A2" s="25" t="s">
        <v>826</v>
      </c>
      <c r="B2" s="25" t="s">
        <v>809</v>
      </c>
    </row>
    <row r="3" spans="1:2" s="25" customFormat="1" ht="21" x14ac:dyDescent="0.35">
      <c r="B3" s="25" t="s">
        <v>810</v>
      </c>
    </row>
    <row r="4" spans="1:2" s="25" customFormat="1" ht="21" x14ac:dyDescent="0.35">
      <c r="B4" s="143" t="s">
        <v>816</v>
      </c>
    </row>
    <row r="5" spans="1:2" s="25" customFormat="1" ht="21" x14ac:dyDescent="0.35">
      <c r="B5" s="144" t="s">
        <v>817</v>
      </c>
    </row>
    <row r="6" spans="1:2" s="25" customFormat="1" ht="21" x14ac:dyDescent="0.35">
      <c r="B6" s="144" t="s">
        <v>818</v>
      </c>
    </row>
    <row r="7" spans="1:2" s="25" customFormat="1" ht="21" x14ac:dyDescent="0.35">
      <c r="B7" s="144" t="s">
        <v>819</v>
      </c>
    </row>
    <row r="8" spans="1:2" s="25" customFormat="1" ht="21" x14ac:dyDescent="0.35">
      <c r="B8" s="144" t="s">
        <v>820</v>
      </c>
    </row>
    <row r="9" spans="1:2" s="25" customFormat="1" ht="21" x14ac:dyDescent="0.35">
      <c r="A9" s="25" t="s">
        <v>1546</v>
      </c>
      <c r="B9" s="165" t="s">
        <v>1548</v>
      </c>
    </row>
    <row r="10" spans="1:2" s="25" customFormat="1" ht="21" x14ac:dyDescent="0.35">
      <c r="B10" s="165" t="s">
        <v>1547</v>
      </c>
    </row>
    <row r="11" spans="1:2" s="25" customFormat="1" ht="21" x14ac:dyDescent="0.35">
      <c r="B11" s="165" t="s">
        <v>1549</v>
      </c>
    </row>
    <row r="12" spans="1:2" s="25" customFormat="1" ht="21" x14ac:dyDescent="0.35">
      <c r="B12" s="144"/>
    </row>
    <row r="13" spans="1:2" s="25" customFormat="1" ht="21" x14ac:dyDescent="0.35">
      <c r="B13" s="144" t="s">
        <v>1550</v>
      </c>
    </row>
    <row r="14" spans="1:2" s="25" customFormat="1" ht="21" x14ac:dyDescent="0.35">
      <c r="B14" s="144" t="s">
        <v>1551</v>
      </c>
    </row>
    <row r="15" spans="1:2" s="25" customFormat="1" ht="21" x14ac:dyDescent="0.35">
      <c r="B15" s="144"/>
    </row>
    <row r="16" spans="1:2" s="25" customFormat="1" ht="21" x14ac:dyDescent="0.35">
      <c r="B16" s="144"/>
    </row>
    <row r="17" spans="1:2" s="25" customFormat="1" ht="21" x14ac:dyDescent="0.35">
      <c r="B17" s="144"/>
    </row>
    <row r="18" spans="1:2" s="25" customFormat="1" ht="21" x14ac:dyDescent="0.35">
      <c r="B18" s="144"/>
    </row>
    <row r="19" spans="1:2" s="25" customFormat="1" ht="21" x14ac:dyDescent="0.35">
      <c r="B19" s="144"/>
    </row>
    <row r="20" spans="1:2" s="25" customFormat="1" ht="21" x14ac:dyDescent="0.35">
      <c r="B20" s="144"/>
    </row>
    <row r="21" spans="1:2" s="25" customFormat="1" ht="21" x14ac:dyDescent="0.35">
      <c r="B21" s="144"/>
    </row>
    <row r="22" spans="1:2" s="25" customFormat="1" ht="21" x14ac:dyDescent="0.35">
      <c r="B22" s="144"/>
    </row>
    <row r="23" spans="1:2" s="25" customFormat="1" ht="21" x14ac:dyDescent="0.35">
      <c r="B23" s="144"/>
    </row>
    <row r="24" spans="1:2" s="25" customFormat="1" ht="21" x14ac:dyDescent="0.35">
      <c r="A24" s="25" t="s">
        <v>742</v>
      </c>
      <c r="B24" s="25" t="s">
        <v>822</v>
      </c>
    </row>
    <row r="25" spans="1:2" s="25" customFormat="1" ht="21" x14ac:dyDescent="0.35">
      <c r="B25" s="25" t="s">
        <v>823</v>
      </c>
    </row>
    <row r="26" spans="1:2" s="25" customFormat="1" ht="21" x14ac:dyDescent="0.35">
      <c r="B26" s="25" t="s">
        <v>824</v>
      </c>
    </row>
    <row r="27" spans="1:2" s="25" customFormat="1" ht="21" x14ac:dyDescent="0.35">
      <c r="A27" s="25" t="s">
        <v>811</v>
      </c>
      <c r="B27" s="25" t="s">
        <v>825</v>
      </c>
    </row>
    <row r="28" spans="1:2" s="25" customFormat="1" ht="21" x14ac:dyDescent="0.35">
      <c r="A28" s="25" t="s">
        <v>812</v>
      </c>
      <c r="B28" s="25" t="s">
        <v>813</v>
      </c>
    </row>
    <row r="29" spans="1:2" s="25" customFormat="1" ht="21" x14ac:dyDescent="0.35">
      <c r="B29" s="25" t="s">
        <v>814</v>
      </c>
    </row>
    <row r="30" spans="1:2" s="25" customFormat="1" ht="21" x14ac:dyDescent="0.35">
      <c r="B30" s="25" t="s">
        <v>815</v>
      </c>
    </row>
    <row r="32" spans="1:2" s="25" customFormat="1" ht="21" x14ac:dyDescent="0.35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110" zoomScaleNormal="11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ColWidth="9" defaultRowHeight="22.5" x14ac:dyDescent="0.3"/>
  <cols>
    <col min="1" max="1" width="26.375" style="82" customWidth="1"/>
    <col min="2" max="3" width="13.5" style="82" customWidth="1"/>
    <col min="4" max="4" width="14.875" style="82" customWidth="1"/>
    <col min="5" max="5" width="15.875" style="82" customWidth="1"/>
    <col min="6" max="6" width="17.125" style="82" customWidth="1"/>
    <col min="7" max="7" width="7" style="82" customWidth="1"/>
    <col min="8" max="8" width="17.875" style="82" customWidth="1"/>
    <col min="9" max="9" width="19.625" style="82" customWidth="1"/>
    <col min="10" max="10" width="19.25" style="82" customWidth="1"/>
    <col min="11" max="11" width="11.125" style="82" customWidth="1"/>
    <col min="12" max="16384" width="9" style="82"/>
  </cols>
  <sheetData>
    <row r="1" spans="1:10" ht="23.25" x14ac:dyDescent="0.3">
      <c r="A1" s="449" t="s">
        <v>703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s="197" customFormat="1" ht="63" x14ac:dyDescent="0.25">
      <c r="A2" s="22" t="s">
        <v>756</v>
      </c>
      <c r="B2" s="5" t="s">
        <v>1565</v>
      </c>
      <c r="C2" s="5" t="s">
        <v>1566</v>
      </c>
      <c r="D2" s="5" t="s">
        <v>1567</v>
      </c>
      <c r="E2" s="181" t="s">
        <v>1568</v>
      </c>
      <c r="F2" s="181" t="s">
        <v>1569</v>
      </c>
      <c r="G2" s="181"/>
      <c r="H2" s="198" t="s">
        <v>1570</v>
      </c>
      <c r="I2" s="5" t="s">
        <v>1571</v>
      </c>
      <c r="J2" s="198" t="s">
        <v>1572</v>
      </c>
    </row>
    <row r="3" spans="1:10" s="140" customFormat="1" ht="23.25" x14ac:dyDescent="0.35">
      <c r="A3" s="136" t="s">
        <v>623</v>
      </c>
      <c r="B3" s="137"/>
      <c r="C3" s="137"/>
      <c r="D3" s="84">
        <f>4994022.89</f>
        <v>4994022.8899999997</v>
      </c>
      <c r="E3" s="84">
        <f>(2634147.9+300032)</f>
        <v>2934179.9</v>
      </c>
      <c r="F3" s="84">
        <v>935505</v>
      </c>
      <c r="G3" s="138">
        <v>0</v>
      </c>
      <c r="H3" s="199">
        <f>SUM(E3:G3)</f>
        <v>3869684.9</v>
      </c>
      <c r="I3" s="138">
        <f>D3-H3</f>
        <v>1124337.9899999998</v>
      </c>
      <c r="J3" s="199">
        <f>SUM(H3-I3)</f>
        <v>2745346.91</v>
      </c>
    </row>
    <row r="4" spans="1:10" s="140" customFormat="1" ht="23.25" x14ac:dyDescent="0.35">
      <c r="A4" s="139" t="s">
        <v>757</v>
      </c>
      <c r="B4" s="137"/>
      <c r="C4" s="137"/>
      <c r="D4" s="84">
        <v>1433170.5</v>
      </c>
      <c r="E4" s="84">
        <v>1126433.4099999999</v>
      </c>
      <c r="F4" s="84">
        <f>114099.27</f>
        <v>114099.27</v>
      </c>
      <c r="G4" s="138">
        <v>0</v>
      </c>
      <c r="H4" s="199">
        <f t="shared" ref="H4:H5" si="0">SUM(E4:G4)</f>
        <v>1240532.68</v>
      </c>
      <c r="I4" s="138">
        <f t="shared" ref="I4" si="1">D4-H4</f>
        <v>192637.82000000007</v>
      </c>
      <c r="J4" s="199">
        <f t="shared" ref="J4:J5" si="2">SUM(H4-I4)</f>
        <v>1047894.8599999999</v>
      </c>
    </row>
    <row r="5" spans="1:10" s="140" customFormat="1" ht="23.25" x14ac:dyDescent="0.35">
      <c r="A5" s="139" t="s">
        <v>758</v>
      </c>
      <c r="B5" s="137"/>
      <c r="C5" s="137"/>
      <c r="D5" s="84">
        <v>2158868.17</v>
      </c>
      <c r="E5" s="84">
        <v>1633499.09</v>
      </c>
      <c r="F5" s="84">
        <v>15322.91</v>
      </c>
      <c r="G5" s="138">
        <v>0</v>
      </c>
      <c r="H5" s="199">
        <f t="shared" si="0"/>
        <v>1648822</v>
      </c>
      <c r="I5" s="138">
        <f>D5-H5</f>
        <v>510046.16999999993</v>
      </c>
      <c r="J5" s="199">
        <f t="shared" si="2"/>
        <v>1138775.83</v>
      </c>
    </row>
    <row r="6" spans="1:10" ht="23.25" x14ac:dyDescent="0.35">
      <c r="A6" s="450" t="s">
        <v>666</v>
      </c>
      <c r="B6" s="450"/>
      <c r="C6" s="450"/>
      <c r="D6" s="450"/>
      <c r="E6" s="450"/>
      <c r="F6" s="450"/>
      <c r="G6" s="450"/>
      <c r="H6" s="450"/>
      <c r="I6" s="450"/>
      <c r="J6" s="209">
        <f>SUM(J3:J5)</f>
        <v>4932017.5999999996</v>
      </c>
    </row>
  </sheetData>
  <mergeCells count="2">
    <mergeCell ref="A1:J1"/>
    <mergeCell ref="A6:I6"/>
  </mergeCells>
  <pageMargins left="0.7" right="0.7" top="0.75" bottom="0.75" header="0.3" footer="0.3"/>
  <pageSetup paperSize="9" orientation="portrait" verticalDpi="0" r:id="rId1"/>
  <ignoredErrors>
    <ignoredError sqref="H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G7" sqref="G7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31.625" customWidth="1"/>
  </cols>
  <sheetData>
    <row r="1" spans="1:7" ht="23.25" x14ac:dyDescent="0.2">
      <c r="A1" s="449" t="s">
        <v>759</v>
      </c>
      <c r="B1" s="449"/>
      <c r="C1" s="449"/>
      <c r="D1" s="449"/>
      <c r="E1" s="449"/>
      <c r="F1" s="449"/>
      <c r="G1" s="449"/>
    </row>
    <row r="2" spans="1:7" ht="46.5" x14ac:dyDescent="0.2">
      <c r="A2" s="204" t="s">
        <v>756</v>
      </c>
      <c r="B2" s="205" t="s">
        <v>1565</v>
      </c>
      <c r="C2" s="205" t="s">
        <v>1566</v>
      </c>
      <c r="D2" s="205" t="s">
        <v>1567</v>
      </c>
      <c r="E2" s="206" t="s">
        <v>1575</v>
      </c>
      <c r="F2" s="205" t="s">
        <v>1574</v>
      </c>
      <c r="G2" s="207" t="s">
        <v>1573</v>
      </c>
    </row>
    <row r="3" spans="1:7" ht="23.25" x14ac:dyDescent="0.35">
      <c r="A3" s="201" t="s">
        <v>624</v>
      </c>
      <c r="B3" s="83"/>
      <c r="C3" s="83"/>
      <c r="D3" s="84">
        <v>392393</v>
      </c>
      <c r="E3" s="84">
        <v>278867.15999999997</v>
      </c>
      <c r="F3" s="84">
        <f>D3-E3</f>
        <v>113525.84000000003</v>
      </c>
      <c r="G3" s="200">
        <f>SUM(E3-F3)</f>
        <v>165341.31999999995</v>
      </c>
    </row>
    <row r="4" spans="1:7" ht="23.25" x14ac:dyDescent="0.35">
      <c r="A4" s="201" t="s">
        <v>625</v>
      </c>
      <c r="B4" s="83"/>
      <c r="C4" s="83"/>
      <c r="D4" s="84">
        <v>0</v>
      </c>
      <c r="E4" s="84">
        <v>0</v>
      </c>
      <c r="F4" s="84">
        <f t="shared" ref="F4:F13" si="0">D4-E4</f>
        <v>0</v>
      </c>
      <c r="G4" s="200">
        <v>133242.04999999999</v>
      </c>
    </row>
    <row r="5" spans="1:7" ht="23.25" x14ac:dyDescent="0.35">
      <c r="A5" s="201" t="s">
        <v>626</v>
      </c>
      <c r="B5" s="83"/>
      <c r="C5" s="83"/>
      <c r="D5" s="84">
        <v>148107.6</v>
      </c>
      <c r="E5" s="84">
        <v>148107.6</v>
      </c>
      <c r="F5" s="84">
        <f t="shared" si="0"/>
        <v>0</v>
      </c>
      <c r="G5" s="200">
        <f>SUM(E5-F5)</f>
        <v>148107.6</v>
      </c>
    </row>
    <row r="6" spans="1:7" ht="23.25" x14ac:dyDescent="0.35">
      <c r="A6" s="201" t="s">
        <v>627</v>
      </c>
      <c r="B6" s="202"/>
      <c r="C6" s="202"/>
      <c r="D6" s="328">
        <v>51074.400000000001</v>
      </c>
      <c r="E6" s="328">
        <v>51074.400000000001</v>
      </c>
      <c r="F6" s="84">
        <f t="shared" si="0"/>
        <v>0</v>
      </c>
      <c r="G6" s="200">
        <f t="shared" ref="G6:G11" si="1">SUM(E6-F6)</f>
        <v>51074.400000000001</v>
      </c>
    </row>
    <row r="7" spans="1:7" ht="23.25" x14ac:dyDescent="0.35">
      <c r="A7" s="201" t="s">
        <v>628</v>
      </c>
      <c r="B7" s="202"/>
      <c r="C7" s="202"/>
      <c r="D7" s="328">
        <v>0</v>
      </c>
      <c r="E7" s="328"/>
      <c r="F7" s="84">
        <f t="shared" si="0"/>
        <v>0</v>
      </c>
      <c r="G7" s="200">
        <v>18209</v>
      </c>
    </row>
    <row r="8" spans="1:7" ht="23.25" x14ac:dyDescent="0.35">
      <c r="A8" s="201" t="s">
        <v>629</v>
      </c>
      <c r="B8" s="202"/>
      <c r="C8" s="202"/>
      <c r="D8" s="328">
        <v>332120</v>
      </c>
      <c r="E8" s="328">
        <v>280538.18</v>
      </c>
      <c r="F8" s="84">
        <f t="shared" si="0"/>
        <v>51581.820000000007</v>
      </c>
      <c r="G8" s="200">
        <f t="shared" si="1"/>
        <v>228956.36</v>
      </c>
    </row>
    <row r="9" spans="1:7" ht="23.25" x14ac:dyDescent="0.35">
      <c r="A9" s="201" t="s">
        <v>630</v>
      </c>
      <c r="B9" s="202"/>
      <c r="C9" s="202"/>
      <c r="D9" s="328">
        <v>657570.31999999995</v>
      </c>
      <c r="E9" s="328">
        <v>481982.56</v>
      </c>
      <c r="F9" s="84">
        <f t="shared" si="0"/>
        <v>175587.75999999995</v>
      </c>
      <c r="G9" s="200">
        <f t="shared" si="1"/>
        <v>306394.80000000005</v>
      </c>
    </row>
    <row r="10" spans="1:7" ht="23.25" x14ac:dyDescent="0.35">
      <c r="A10" s="201" t="s">
        <v>631</v>
      </c>
      <c r="B10" s="202"/>
      <c r="C10" s="202"/>
      <c r="D10" s="328">
        <v>0</v>
      </c>
      <c r="E10" s="328">
        <v>0</v>
      </c>
      <c r="F10" s="84">
        <f t="shared" si="0"/>
        <v>0</v>
      </c>
      <c r="G10" s="200">
        <f t="shared" si="1"/>
        <v>0</v>
      </c>
    </row>
    <row r="11" spans="1:7" ht="23.25" x14ac:dyDescent="0.35">
      <c r="A11" s="201" t="s">
        <v>632</v>
      </c>
      <c r="B11" s="202"/>
      <c r="C11" s="202"/>
      <c r="D11" s="328">
        <v>67775</v>
      </c>
      <c r="E11" s="328">
        <v>67775</v>
      </c>
      <c r="F11" s="84">
        <f t="shared" si="0"/>
        <v>0</v>
      </c>
      <c r="G11" s="200">
        <f t="shared" si="1"/>
        <v>67775</v>
      </c>
    </row>
    <row r="12" spans="1:7" ht="23.25" x14ac:dyDescent="0.35">
      <c r="A12" s="201" t="s">
        <v>633</v>
      </c>
      <c r="B12" s="202"/>
      <c r="C12" s="202"/>
      <c r="D12" s="328">
        <v>0</v>
      </c>
      <c r="E12" s="328">
        <v>0</v>
      </c>
      <c r="F12" s="84">
        <f t="shared" si="0"/>
        <v>0</v>
      </c>
      <c r="G12" s="200">
        <v>556700</v>
      </c>
    </row>
    <row r="13" spans="1:7" ht="23.25" x14ac:dyDescent="0.35">
      <c r="A13" s="201" t="s">
        <v>634</v>
      </c>
      <c r="B13" s="202"/>
      <c r="C13" s="202"/>
      <c r="D13" s="328">
        <v>316038.71000000002</v>
      </c>
      <c r="E13" s="328">
        <v>174010.34</v>
      </c>
      <c r="F13" s="84">
        <f t="shared" si="0"/>
        <v>142028.37000000002</v>
      </c>
      <c r="G13" s="200">
        <f>SUM(E13-F13)</f>
        <v>31981.969999999972</v>
      </c>
    </row>
    <row r="14" spans="1:7" ht="23.25" x14ac:dyDescent="0.35">
      <c r="A14" s="451" t="s">
        <v>666</v>
      </c>
      <c r="B14" s="451"/>
      <c r="C14" s="451"/>
      <c r="D14" s="451"/>
      <c r="E14" s="451"/>
      <c r="F14" s="451"/>
      <c r="G14" s="203">
        <f>SUM(G3:G13)</f>
        <v>1707782.5</v>
      </c>
    </row>
  </sheetData>
  <mergeCells count="2">
    <mergeCell ref="A1:G1"/>
    <mergeCell ref="A14:F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D5" sqref="D5"/>
    </sheetView>
  </sheetViews>
  <sheetFormatPr defaultColWidth="9" defaultRowHeight="15" x14ac:dyDescent="0.25"/>
  <cols>
    <col min="1" max="1" width="31.625" style="21" bestFit="1" customWidth="1"/>
    <col min="2" max="2" width="21.375" style="21" customWidth="1"/>
    <col min="3" max="3" width="19.375" style="21" customWidth="1"/>
    <col min="4" max="4" width="22" style="145" customWidth="1"/>
    <col min="5" max="5" width="23.75" style="21" customWidth="1"/>
    <col min="6" max="6" width="23" style="21" customWidth="1"/>
    <col min="7" max="7" width="9.25" style="21" customWidth="1"/>
    <col min="8" max="8" width="9.75" style="21" customWidth="1"/>
    <col min="9" max="16384" width="9" style="21"/>
  </cols>
  <sheetData>
    <row r="1" spans="1:10" ht="26.25" x14ac:dyDescent="0.25">
      <c r="A1" s="208" t="s">
        <v>752</v>
      </c>
      <c r="C1" s="208"/>
      <c r="D1" s="210"/>
      <c r="E1" s="208"/>
      <c r="F1" s="208"/>
      <c r="G1" s="208"/>
      <c r="H1" s="208"/>
      <c r="I1" s="208"/>
      <c r="J1" s="208"/>
    </row>
    <row r="2" spans="1:10" ht="21" x14ac:dyDescent="0.25">
      <c r="A2" s="454" t="s">
        <v>756</v>
      </c>
      <c r="B2" s="456" t="s">
        <v>1576</v>
      </c>
      <c r="C2" s="456" t="s">
        <v>1577</v>
      </c>
      <c r="D2" s="458" t="s">
        <v>1579</v>
      </c>
      <c r="E2" s="460" t="s">
        <v>1580</v>
      </c>
      <c r="F2" s="452" t="s">
        <v>1578</v>
      </c>
      <c r="G2" s="453" t="s">
        <v>760</v>
      </c>
      <c r="H2" s="453"/>
      <c r="I2" s="453"/>
      <c r="J2" s="453"/>
    </row>
    <row r="3" spans="1:10" ht="56.25" customHeight="1" x14ac:dyDescent="0.25">
      <c r="A3" s="455"/>
      <c r="B3" s="457"/>
      <c r="C3" s="457"/>
      <c r="D3" s="459"/>
      <c r="E3" s="461"/>
      <c r="F3" s="452"/>
      <c r="G3" s="220" t="s">
        <v>761</v>
      </c>
      <c r="H3" s="220" t="s">
        <v>762</v>
      </c>
      <c r="I3" s="220" t="s">
        <v>763</v>
      </c>
      <c r="J3" s="220" t="s">
        <v>764</v>
      </c>
    </row>
    <row r="4" spans="1:10" ht="26.1" customHeight="1" x14ac:dyDescent="0.35">
      <c r="A4" s="28" t="s">
        <v>765</v>
      </c>
      <c r="B4" s="215">
        <v>1816494.64</v>
      </c>
      <c r="C4" s="342">
        <f>SUM('2.WS-ยา วชภฯ'!J3)</f>
        <v>2745346.91</v>
      </c>
      <c r="D4" s="215">
        <f>SUM(B4:C4)</f>
        <v>4561841.55</v>
      </c>
      <c r="E4" s="194">
        <f>(D4/12)*10</f>
        <v>3801534.6249999995</v>
      </c>
      <c r="F4" s="223">
        <f>SUM(D4-E4)</f>
        <v>760306.92500000028</v>
      </c>
      <c r="G4" s="28"/>
      <c r="H4" s="28"/>
      <c r="I4" s="28"/>
      <c r="J4" s="28"/>
    </row>
    <row r="5" spans="1:10" ht="26.1" customHeight="1" x14ac:dyDescent="0.35">
      <c r="A5" s="28" t="s">
        <v>766</v>
      </c>
      <c r="B5" s="215">
        <v>157665.1</v>
      </c>
      <c r="C5" s="342">
        <f>SUM('2.WS-ยา วชภฯ'!J4)</f>
        <v>1047894.8599999999</v>
      </c>
      <c r="D5" s="215">
        <f t="shared" ref="D5:D16" si="0">SUM(B5:C5)</f>
        <v>1205559.96</v>
      </c>
      <c r="E5" s="194">
        <f t="shared" ref="E5:E16" si="1">(D5/12)*10</f>
        <v>1004633.3</v>
      </c>
      <c r="F5" s="223">
        <f t="shared" ref="F5:F16" si="2">+D5-E5</f>
        <v>200926.65999999992</v>
      </c>
      <c r="G5" s="28"/>
      <c r="H5" s="28"/>
      <c r="I5" s="28"/>
      <c r="J5" s="28"/>
    </row>
    <row r="6" spans="1:10" ht="26.1" customHeight="1" x14ac:dyDescent="0.35">
      <c r="A6" s="28" t="s">
        <v>767</v>
      </c>
      <c r="B6" s="215">
        <v>774983.4</v>
      </c>
      <c r="C6" s="342">
        <f>SUM('2.WS-ยา วชภฯ'!J5)</f>
        <v>1138775.83</v>
      </c>
      <c r="D6" s="215">
        <f t="shared" si="0"/>
        <v>1913759.23</v>
      </c>
      <c r="E6" s="194">
        <f t="shared" si="1"/>
        <v>1594799.3583333332</v>
      </c>
      <c r="F6" s="223">
        <f t="shared" si="2"/>
        <v>318959.87166666682</v>
      </c>
      <c r="G6" s="28"/>
      <c r="H6" s="28"/>
      <c r="I6" s="28"/>
      <c r="J6" s="28"/>
    </row>
    <row r="7" spans="1:10" ht="26.1" customHeight="1" x14ac:dyDescent="0.35">
      <c r="A7" s="28" t="s">
        <v>768</v>
      </c>
      <c r="B7" s="215">
        <v>3708733.56</v>
      </c>
      <c r="C7" s="215">
        <v>1000000</v>
      </c>
      <c r="D7" s="215">
        <f t="shared" si="0"/>
        <v>4708733.5600000005</v>
      </c>
      <c r="E7" s="194">
        <f t="shared" si="1"/>
        <v>3923944.6333333338</v>
      </c>
      <c r="F7" s="223">
        <f t="shared" si="2"/>
        <v>784788.92666666675</v>
      </c>
      <c r="G7" s="28"/>
      <c r="H7" s="28"/>
      <c r="I7" s="28"/>
      <c r="J7" s="28"/>
    </row>
    <row r="8" spans="1:10" ht="26.1" hidden="1" customHeight="1" x14ac:dyDescent="0.35">
      <c r="A8" s="28"/>
      <c r="B8" s="340"/>
      <c r="C8" s="340"/>
      <c r="D8" s="215">
        <f t="shared" si="0"/>
        <v>0</v>
      </c>
      <c r="E8" s="194">
        <f t="shared" si="1"/>
        <v>0</v>
      </c>
      <c r="F8" s="223">
        <f t="shared" si="2"/>
        <v>0</v>
      </c>
      <c r="G8" s="28"/>
      <c r="H8" s="28"/>
      <c r="I8" s="28"/>
      <c r="J8" s="28"/>
    </row>
    <row r="9" spans="1:10" ht="26.1" hidden="1" customHeight="1" x14ac:dyDescent="0.35">
      <c r="A9" s="28"/>
      <c r="B9" s="340"/>
      <c r="C9" s="340"/>
      <c r="D9" s="215">
        <f t="shared" si="0"/>
        <v>0</v>
      </c>
      <c r="E9" s="194">
        <f t="shared" si="1"/>
        <v>0</v>
      </c>
      <c r="F9" s="223">
        <f t="shared" si="2"/>
        <v>0</v>
      </c>
      <c r="G9" s="28"/>
      <c r="H9" s="28"/>
      <c r="I9" s="28"/>
      <c r="J9" s="28"/>
    </row>
    <row r="10" spans="1:10" ht="26.1" hidden="1" customHeight="1" x14ac:dyDescent="0.35">
      <c r="A10" s="28"/>
      <c r="B10" s="340"/>
      <c r="C10" s="340"/>
      <c r="D10" s="215">
        <f t="shared" si="0"/>
        <v>0</v>
      </c>
      <c r="E10" s="194">
        <f t="shared" si="1"/>
        <v>0</v>
      </c>
      <c r="F10" s="223">
        <f t="shared" si="2"/>
        <v>0</v>
      </c>
      <c r="G10" s="28"/>
      <c r="H10" s="28"/>
      <c r="I10" s="28"/>
      <c r="J10" s="28"/>
    </row>
    <row r="11" spans="1:10" ht="26.1" hidden="1" customHeight="1" x14ac:dyDescent="0.35">
      <c r="A11" s="28"/>
      <c r="B11" s="340"/>
      <c r="C11" s="340"/>
      <c r="D11" s="215">
        <f t="shared" si="0"/>
        <v>0</v>
      </c>
      <c r="E11" s="194">
        <f t="shared" si="1"/>
        <v>0</v>
      </c>
      <c r="F11" s="223">
        <f t="shared" si="2"/>
        <v>0</v>
      </c>
      <c r="G11" s="28"/>
      <c r="H11" s="28"/>
      <c r="I11" s="28"/>
      <c r="J11" s="28"/>
    </row>
    <row r="12" spans="1:10" ht="26.1" hidden="1" customHeight="1" x14ac:dyDescent="0.35">
      <c r="A12" s="28"/>
      <c r="B12" s="340"/>
      <c r="C12" s="340"/>
      <c r="D12" s="215">
        <f t="shared" si="0"/>
        <v>0</v>
      </c>
      <c r="E12" s="194">
        <f t="shared" si="1"/>
        <v>0</v>
      </c>
      <c r="F12" s="223">
        <f t="shared" si="2"/>
        <v>0</v>
      </c>
      <c r="G12" s="28"/>
      <c r="H12" s="28"/>
      <c r="I12" s="28"/>
      <c r="J12" s="28"/>
    </row>
    <row r="13" spans="1:10" ht="26.1" customHeight="1" x14ac:dyDescent="0.35">
      <c r="A13" s="28" t="s">
        <v>769</v>
      </c>
      <c r="B13" s="215">
        <v>1090200</v>
      </c>
      <c r="C13" s="215">
        <v>2070000</v>
      </c>
      <c r="D13" s="215">
        <f t="shared" si="0"/>
        <v>3160200</v>
      </c>
      <c r="E13" s="194">
        <f t="shared" si="1"/>
        <v>2633500</v>
      </c>
      <c r="F13" s="223">
        <f t="shared" si="2"/>
        <v>526700</v>
      </c>
      <c r="G13" s="28"/>
      <c r="H13" s="28"/>
      <c r="I13" s="28"/>
      <c r="J13" s="28"/>
    </row>
    <row r="14" spans="1:10" ht="26.1" customHeight="1" x14ac:dyDescent="0.35">
      <c r="A14" s="28" t="s">
        <v>770</v>
      </c>
      <c r="B14" s="215">
        <v>1277400</v>
      </c>
      <c r="C14" s="215">
        <v>1137780</v>
      </c>
      <c r="D14" s="215">
        <f t="shared" si="0"/>
        <v>2415180</v>
      </c>
      <c r="E14" s="194">
        <f t="shared" si="1"/>
        <v>2012650</v>
      </c>
      <c r="F14" s="223">
        <f t="shared" si="2"/>
        <v>402530</v>
      </c>
      <c r="G14" s="28"/>
      <c r="H14" s="28"/>
      <c r="I14" s="28"/>
      <c r="J14" s="28"/>
    </row>
    <row r="15" spans="1:10" ht="26.1" customHeight="1" x14ac:dyDescent="0.35">
      <c r="A15" s="39" t="s">
        <v>806</v>
      </c>
      <c r="B15" s="215">
        <v>858324.67</v>
      </c>
      <c r="C15" s="215">
        <v>1489194.05</v>
      </c>
      <c r="D15" s="215">
        <f>SUM(B15:C15)</f>
        <v>2347518.7200000002</v>
      </c>
      <c r="E15" s="194">
        <f t="shared" si="1"/>
        <v>1956265.6000000003</v>
      </c>
      <c r="F15" s="223">
        <f t="shared" ref="F15" si="3">+D15-E15</f>
        <v>391253.11999999988</v>
      </c>
      <c r="G15" s="28"/>
      <c r="H15" s="28"/>
      <c r="I15" s="28"/>
      <c r="J15" s="28"/>
    </row>
    <row r="16" spans="1:10" ht="26.1" customHeight="1" x14ac:dyDescent="0.35">
      <c r="A16" s="28" t="s">
        <v>635</v>
      </c>
      <c r="B16" s="215">
        <v>216362.25</v>
      </c>
      <c r="C16" s="215">
        <v>672775</v>
      </c>
      <c r="D16" s="215">
        <f t="shared" si="0"/>
        <v>889137.25</v>
      </c>
      <c r="E16" s="194">
        <f t="shared" si="1"/>
        <v>740947.70833333326</v>
      </c>
      <c r="F16" s="223">
        <f t="shared" si="2"/>
        <v>148189.54166666674</v>
      </c>
      <c r="G16" s="28"/>
      <c r="H16" s="28"/>
      <c r="I16" s="28"/>
      <c r="J16" s="28"/>
    </row>
    <row r="17" spans="1:10" ht="26.1" customHeight="1" x14ac:dyDescent="0.35">
      <c r="A17" s="218" t="s">
        <v>771</v>
      </c>
      <c r="B17" s="219">
        <f>SUM(B4:B16)</f>
        <v>9900163.6199999992</v>
      </c>
      <c r="C17" s="341">
        <f>SUM(C4:C16)</f>
        <v>11301766.65</v>
      </c>
      <c r="D17" s="219">
        <f t="shared" ref="D17:J17" si="4">SUM(D4:D16)</f>
        <v>21201930.27</v>
      </c>
      <c r="E17" s="219">
        <f t="shared" si="4"/>
        <v>17668275.225000001</v>
      </c>
      <c r="F17" s="219">
        <f t="shared" si="4"/>
        <v>3533655.0450000009</v>
      </c>
      <c r="G17" s="217">
        <f t="shared" si="4"/>
        <v>0</v>
      </c>
      <c r="H17" s="217">
        <f t="shared" si="4"/>
        <v>0</v>
      </c>
      <c r="I17" s="217">
        <f t="shared" si="4"/>
        <v>0</v>
      </c>
      <c r="J17" s="217">
        <f t="shared" si="4"/>
        <v>0</v>
      </c>
    </row>
    <row r="18" spans="1:10" ht="26.1" customHeight="1" x14ac:dyDescent="0.35">
      <c r="A18" s="20"/>
      <c r="B18" s="87"/>
      <c r="C18" s="87"/>
      <c r="D18" s="211"/>
      <c r="E18" s="20"/>
      <c r="F18" s="20"/>
      <c r="G18" s="20"/>
      <c r="H18" s="20"/>
      <c r="I18" s="20"/>
      <c r="J18" s="20"/>
    </row>
    <row r="19" spans="1:10" ht="26.1" customHeight="1" x14ac:dyDescent="0.35">
      <c r="A19" s="20"/>
      <c r="B19" s="88"/>
      <c r="C19" s="88"/>
      <c r="D19" s="212"/>
      <c r="E19" s="20"/>
      <c r="F19" s="20"/>
      <c r="G19" s="20"/>
      <c r="H19" s="20"/>
      <c r="I19" s="20"/>
      <c r="J19" s="20"/>
    </row>
    <row r="20" spans="1:10" ht="26.1" customHeight="1" x14ac:dyDescent="0.35">
      <c r="A20" s="20"/>
      <c r="B20" s="88"/>
      <c r="C20" s="88"/>
      <c r="D20" s="212"/>
      <c r="E20" s="20"/>
      <c r="F20" s="20"/>
      <c r="G20" s="20"/>
      <c r="H20" s="20"/>
      <c r="I20" s="20"/>
      <c r="J20" s="20"/>
    </row>
    <row r="21" spans="1:10" ht="26.1" customHeight="1" x14ac:dyDescent="0.35">
      <c r="A21" s="20"/>
      <c r="B21" s="89"/>
      <c r="C21" s="89"/>
      <c r="D21" s="213"/>
      <c r="E21" s="20"/>
      <c r="F21" s="20"/>
      <c r="G21" s="20"/>
      <c r="H21" s="20"/>
      <c r="I21" s="20"/>
      <c r="J21" s="20"/>
    </row>
    <row r="22" spans="1:10" ht="26.1" customHeight="1" x14ac:dyDescent="0.35">
      <c r="A22" s="20"/>
      <c r="B22" s="89"/>
      <c r="C22" s="89"/>
      <c r="D22" s="213"/>
      <c r="E22" s="20"/>
      <c r="F22" s="20"/>
      <c r="G22" s="20"/>
      <c r="H22" s="20"/>
      <c r="I22" s="20"/>
      <c r="J22" s="20"/>
    </row>
    <row r="23" spans="1:10" ht="26.1" customHeight="1" x14ac:dyDescent="0.35">
      <c r="A23" s="20"/>
      <c r="B23" s="87"/>
      <c r="C23" s="87"/>
      <c r="D23" s="211"/>
      <c r="E23" s="20"/>
      <c r="F23" s="20"/>
      <c r="G23" s="20"/>
      <c r="H23" s="20"/>
      <c r="I23" s="20"/>
      <c r="J23" s="20"/>
    </row>
    <row r="24" spans="1:10" ht="26.1" customHeight="1" x14ac:dyDescent="0.35">
      <c r="A24" s="20"/>
      <c r="B24" s="87"/>
      <c r="C24" s="87"/>
      <c r="D24" s="211"/>
      <c r="E24" s="20"/>
      <c r="F24" s="20"/>
      <c r="G24" s="20"/>
      <c r="H24" s="20"/>
      <c r="I24" s="20"/>
      <c r="J24" s="20"/>
    </row>
    <row r="25" spans="1:10" ht="26.1" customHeight="1" x14ac:dyDescent="0.35">
      <c r="A25" s="20"/>
      <c r="B25" s="87"/>
      <c r="C25" s="87"/>
      <c r="D25" s="211"/>
      <c r="E25" s="20"/>
      <c r="F25" s="20"/>
      <c r="G25" s="20"/>
      <c r="H25" s="20"/>
      <c r="I25" s="20"/>
      <c r="J25" s="20"/>
    </row>
    <row r="26" spans="1:10" ht="26.1" customHeight="1" x14ac:dyDescent="0.35">
      <c r="A26" s="20"/>
      <c r="B26" s="87"/>
      <c r="C26" s="87"/>
      <c r="D26" s="211"/>
      <c r="E26" s="20"/>
      <c r="F26" s="20"/>
      <c r="G26" s="20"/>
      <c r="H26" s="20"/>
      <c r="I26" s="20"/>
      <c r="J26" s="20"/>
    </row>
    <row r="27" spans="1:10" ht="26.1" customHeight="1" x14ac:dyDescent="0.35">
      <c r="A27" s="20"/>
      <c r="B27" s="87"/>
      <c r="C27" s="87"/>
      <c r="D27" s="211"/>
      <c r="E27" s="20"/>
      <c r="F27" s="20"/>
      <c r="G27" s="20"/>
      <c r="H27" s="20"/>
      <c r="I27" s="20"/>
      <c r="J27" s="20"/>
    </row>
    <row r="28" spans="1:10" ht="26.1" customHeight="1" x14ac:dyDescent="0.35">
      <c r="A28" s="20"/>
      <c r="B28" s="87"/>
      <c r="C28" s="87"/>
      <c r="D28" s="211"/>
      <c r="E28" s="20"/>
      <c r="F28" s="20"/>
      <c r="G28" s="20"/>
      <c r="H28" s="20"/>
      <c r="I28" s="20"/>
      <c r="J28" s="20"/>
    </row>
    <row r="29" spans="1:10" ht="26.1" customHeight="1" x14ac:dyDescent="0.35">
      <c r="A29" s="20"/>
      <c r="B29" s="87"/>
      <c r="C29" s="87"/>
      <c r="D29" s="211"/>
      <c r="E29" s="20"/>
      <c r="F29" s="20"/>
      <c r="G29" s="20"/>
      <c r="H29" s="20"/>
      <c r="I29" s="20"/>
      <c r="J29" s="20"/>
    </row>
    <row r="30" spans="1:10" ht="26.1" customHeight="1" x14ac:dyDescent="0.35">
      <c r="A30" s="20"/>
      <c r="B30" s="87"/>
      <c r="C30" s="87"/>
      <c r="D30" s="211"/>
      <c r="E30" s="20"/>
      <c r="F30" s="20"/>
      <c r="G30" s="20"/>
      <c r="H30" s="20"/>
      <c r="I30" s="20"/>
      <c r="J30" s="20"/>
    </row>
    <row r="31" spans="1:10" ht="26.1" customHeight="1" x14ac:dyDescent="0.35">
      <c r="A31" s="20"/>
      <c r="B31" s="87"/>
      <c r="C31" s="87"/>
      <c r="D31" s="211"/>
      <c r="E31" s="20"/>
      <c r="F31" s="20"/>
      <c r="G31" s="20"/>
      <c r="H31" s="20"/>
      <c r="I31" s="20"/>
      <c r="J31" s="20"/>
    </row>
    <row r="32" spans="1:10" ht="26.1" customHeight="1" x14ac:dyDescent="0.35">
      <c r="A32" s="20"/>
      <c r="B32" s="87"/>
      <c r="C32" s="87"/>
      <c r="D32" s="211"/>
      <c r="E32" s="20"/>
      <c r="F32" s="20"/>
      <c r="G32" s="20"/>
      <c r="H32" s="20"/>
      <c r="I32" s="20"/>
      <c r="J32" s="20"/>
    </row>
    <row r="33" spans="1:10" ht="26.1" customHeight="1" x14ac:dyDescent="0.35">
      <c r="A33" s="20"/>
      <c r="B33" s="87"/>
      <c r="C33" s="87"/>
      <c r="D33" s="211"/>
      <c r="E33" s="20"/>
      <c r="F33" s="20"/>
      <c r="G33" s="20"/>
      <c r="H33" s="20"/>
      <c r="I33" s="20"/>
      <c r="J33" s="20"/>
    </row>
    <row r="34" spans="1:10" ht="26.1" customHeight="1" x14ac:dyDescent="0.35">
      <c r="A34" s="20"/>
      <c r="B34" s="87"/>
      <c r="C34" s="87"/>
      <c r="D34" s="211"/>
      <c r="E34" s="20"/>
      <c r="F34" s="20"/>
      <c r="G34" s="20"/>
      <c r="H34" s="20"/>
      <c r="I34" s="20"/>
      <c r="J34" s="20"/>
    </row>
    <row r="35" spans="1:10" ht="26.1" customHeight="1" x14ac:dyDescent="0.35">
      <c r="A35" s="20"/>
      <c r="B35" s="87"/>
      <c r="C35" s="87"/>
      <c r="D35" s="211"/>
      <c r="E35" s="20"/>
      <c r="F35" s="20"/>
      <c r="G35" s="20"/>
      <c r="H35" s="20"/>
      <c r="I35" s="20"/>
      <c r="J35" s="20"/>
    </row>
    <row r="36" spans="1:10" ht="26.1" customHeight="1" x14ac:dyDescent="0.35">
      <c r="A36" s="20"/>
      <c r="B36" s="87"/>
      <c r="C36" s="87"/>
      <c r="D36" s="211"/>
      <c r="E36" s="20"/>
      <c r="F36" s="20"/>
      <c r="G36" s="20"/>
      <c r="H36" s="20"/>
      <c r="I36" s="20"/>
      <c r="J36" s="20"/>
    </row>
    <row r="37" spans="1:10" ht="26.1" customHeight="1" x14ac:dyDescent="0.35">
      <c r="A37" s="20"/>
      <c r="B37" s="87"/>
      <c r="C37" s="87"/>
      <c r="D37" s="211"/>
      <c r="E37" s="20"/>
      <c r="F37" s="20"/>
      <c r="G37" s="20"/>
      <c r="H37" s="20"/>
      <c r="I37" s="20"/>
      <c r="J37" s="20"/>
    </row>
    <row r="38" spans="1:10" ht="26.1" customHeight="1" x14ac:dyDescent="0.35">
      <c r="A38" s="20"/>
      <c r="B38" s="87"/>
      <c r="C38" s="87"/>
      <c r="D38" s="211"/>
      <c r="E38" s="20"/>
      <c r="F38" s="20"/>
      <c r="G38" s="20"/>
      <c r="H38" s="20"/>
      <c r="I38" s="20"/>
      <c r="J38" s="20"/>
    </row>
    <row r="39" spans="1:10" ht="23.25" x14ac:dyDescent="0.35">
      <c r="A39" s="20"/>
      <c r="B39" s="20"/>
      <c r="C39" s="20"/>
      <c r="D39" s="214"/>
      <c r="E39" s="20"/>
      <c r="F39" s="20"/>
      <c r="G39" s="20"/>
      <c r="H39" s="20"/>
      <c r="I39" s="20"/>
      <c r="J39" s="20"/>
    </row>
    <row r="40" spans="1:10" ht="23.25" x14ac:dyDescent="0.35">
      <c r="A40" s="20"/>
      <c r="B40" s="20"/>
      <c r="C40" s="20"/>
      <c r="D40" s="214"/>
      <c r="E40" s="20"/>
      <c r="F40" s="20"/>
      <c r="G40" s="20"/>
      <c r="H40" s="20"/>
      <c r="I40" s="20"/>
      <c r="J40" s="20"/>
    </row>
    <row r="41" spans="1:10" ht="23.25" x14ac:dyDescent="0.35">
      <c r="A41" s="20"/>
      <c r="B41" s="20"/>
      <c r="C41" s="20"/>
      <c r="D41" s="214"/>
      <c r="E41" s="20"/>
      <c r="F41" s="20"/>
      <c r="G41" s="20"/>
      <c r="H41" s="20"/>
      <c r="I41" s="20"/>
      <c r="J41" s="20"/>
    </row>
    <row r="42" spans="1:10" ht="23.25" x14ac:dyDescent="0.35">
      <c r="A42" s="20"/>
      <c r="B42" s="20"/>
      <c r="C42" s="20"/>
      <c r="D42" s="214"/>
      <c r="E42" s="20"/>
      <c r="F42" s="20"/>
      <c r="G42" s="20"/>
      <c r="H42" s="20"/>
      <c r="I42" s="20"/>
      <c r="J42" s="20"/>
    </row>
    <row r="43" spans="1:10" ht="23.25" x14ac:dyDescent="0.35">
      <c r="A43" s="20"/>
      <c r="B43" s="20"/>
      <c r="C43" s="20"/>
      <c r="D43" s="214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workbookViewId="0">
      <selection activeCell="D14" sqref="D14"/>
    </sheetView>
  </sheetViews>
  <sheetFormatPr defaultRowHeight="14.25" x14ac:dyDescent="0.2"/>
  <cols>
    <col min="1" max="1" width="30.875" customWidth="1"/>
    <col min="2" max="2" width="19.125" customWidth="1"/>
    <col min="3" max="3" width="19.25" customWidth="1"/>
    <col min="4" max="4" width="17.125" customWidth="1"/>
    <col min="5" max="5" width="21.375" customWidth="1"/>
    <col min="6" max="6" width="22.625" style="221" customWidth="1"/>
    <col min="7" max="7" width="18.375" customWidth="1"/>
    <col min="8" max="8" width="21.25" customWidth="1"/>
    <col min="9" max="9" width="12.375" customWidth="1"/>
  </cols>
  <sheetData>
    <row r="1" spans="1:8" ht="26.25" x14ac:dyDescent="0.4">
      <c r="A1" s="462" t="s">
        <v>753</v>
      </c>
      <c r="B1" s="462"/>
      <c r="C1" s="462"/>
      <c r="D1" s="462"/>
      <c r="E1" s="462"/>
      <c r="F1" s="462"/>
      <c r="G1" s="462"/>
      <c r="H1" s="462"/>
    </row>
    <row r="2" spans="1:8" ht="18" customHeight="1" x14ac:dyDescent="0.35">
      <c r="A2" s="463" t="s">
        <v>756</v>
      </c>
      <c r="B2" s="99" t="s">
        <v>1584</v>
      </c>
      <c r="C2" s="99" t="s">
        <v>1586</v>
      </c>
      <c r="D2" s="99" t="s">
        <v>1595</v>
      </c>
      <c r="E2" s="99" t="s">
        <v>1589</v>
      </c>
      <c r="F2" s="196" t="s">
        <v>1581</v>
      </c>
      <c r="G2" s="99" t="s">
        <v>1583</v>
      </c>
      <c r="H2" s="99" t="s">
        <v>1593</v>
      </c>
    </row>
    <row r="3" spans="1:8" ht="62.25" customHeight="1" x14ac:dyDescent="0.2">
      <c r="A3" s="464"/>
      <c r="B3" s="196" t="s">
        <v>1590</v>
      </c>
      <c r="C3" s="196" t="s">
        <v>1585</v>
      </c>
      <c r="D3" s="196" t="s">
        <v>1594</v>
      </c>
      <c r="E3" s="222" t="s">
        <v>1588</v>
      </c>
      <c r="F3" s="196" t="s">
        <v>1582</v>
      </c>
      <c r="G3" s="196" t="s">
        <v>1591</v>
      </c>
      <c r="H3" s="196" t="s">
        <v>1592</v>
      </c>
    </row>
    <row r="4" spans="1:8" ht="23.25" x14ac:dyDescent="0.35">
      <c r="A4" s="28" t="s">
        <v>772</v>
      </c>
      <c r="B4" s="328">
        <v>24063.27</v>
      </c>
      <c r="C4" s="328">
        <v>27672.76</v>
      </c>
      <c r="D4" s="337">
        <f t="shared" ref="D4:D10" si="0">SUM(B4:C4)</f>
        <v>51736.03</v>
      </c>
      <c r="E4" s="194">
        <v>51736.03</v>
      </c>
      <c r="F4" s="39"/>
      <c r="G4" s="28"/>
      <c r="H4" s="216">
        <f t="shared" ref="H4:H10" si="1">SUM(D4-E4-F4-G4)</f>
        <v>0</v>
      </c>
    </row>
    <row r="5" spans="1:8" ht="23.25" x14ac:dyDescent="0.35">
      <c r="A5" s="28" t="s">
        <v>773</v>
      </c>
      <c r="B5" s="328">
        <v>126466.45</v>
      </c>
      <c r="C5" s="328">
        <v>145436.42000000001</v>
      </c>
      <c r="D5" s="337">
        <f t="shared" si="0"/>
        <v>271902.87</v>
      </c>
      <c r="E5" s="194">
        <v>271902.87</v>
      </c>
      <c r="F5" s="39"/>
      <c r="G5" s="28"/>
      <c r="H5" s="216">
        <f t="shared" si="1"/>
        <v>0</v>
      </c>
    </row>
    <row r="6" spans="1:8" ht="23.25" x14ac:dyDescent="0.35">
      <c r="A6" s="28" t="s">
        <v>774</v>
      </c>
      <c r="B6" s="328">
        <v>133043.42000000001</v>
      </c>
      <c r="C6" s="328">
        <v>152999.94</v>
      </c>
      <c r="D6" s="337">
        <f t="shared" si="0"/>
        <v>286043.36</v>
      </c>
      <c r="E6" s="194">
        <v>286043.36</v>
      </c>
      <c r="F6" s="39"/>
      <c r="G6" s="28"/>
      <c r="H6" s="216">
        <f t="shared" si="1"/>
        <v>0</v>
      </c>
    </row>
    <row r="7" spans="1:8" s="327" customFormat="1" ht="23.25" x14ac:dyDescent="0.35">
      <c r="A7" s="335" t="s">
        <v>775</v>
      </c>
      <c r="B7" s="328">
        <v>373.09</v>
      </c>
      <c r="C7" s="328">
        <v>892.45</v>
      </c>
      <c r="D7" s="338">
        <f t="shared" si="0"/>
        <v>1265.54</v>
      </c>
      <c r="E7" s="336">
        <v>0</v>
      </c>
      <c r="F7" s="335"/>
      <c r="G7" s="336">
        <v>1265.54</v>
      </c>
      <c r="H7" s="216">
        <f t="shared" si="1"/>
        <v>0</v>
      </c>
    </row>
    <row r="8" spans="1:8" s="327" customFormat="1" ht="23.25" x14ac:dyDescent="0.35">
      <c r="A8" s="335" t="s">
        <v>776</v>
      </c>
      <c r="B8" s="328">
        <v>22905.82</v>
      </c>
      <c r="C8" s="328">
        <v>30804.99</v>
      </c>
      <c r="D8" s="338">
        <f t="shared" si="0"/>
        <v>53710.81</v>
      </c>
      <c r="E8" s="336">
        <v>0</v>
      </c>
      <c r="F8" s="335"/>
      <c r="G8" s="336">
        <v>53710.81</v>
      </c>
      <c r="H8" s="216">
        <f>SUM(D8-E8-F8-G8)</f>
        <v>0</v>
      </c>
    </row>
    <row r="9" spans="1:8" ht="23.25" x14ac:dyDescent="0.35">
      <c r="A9" s="28" t="s">
        <v>777</v>
      </c>
      <c r="B9" s="328">
        <v>74340.77</v>
      </c>
      <c r="C9" s="328">
        <v>85491.89</v>
      </c>
      <c r="D9" s="337">
        <f t="shared" si="0"/>
        <v>159832.66</v>
      </c>
      <c r="E9" s="194">
        <v>159832.66</v>
      </c>
      <c r="F9" s="39"/>
      <c r="G9" s="28"/>
      <c r="H9" s="216">
        <f t="shared" si="1"/>
        <v>0</v>
      </c>
    </row>
    <row r="10" spans="1:8" s="327" customFormat="1" ht="23.25" x14ac:dyDescent="0.35">
      <c r="A10" s="335" t="s">
        <v>778</v>
      </c>
      <c r="B10" s="328">
        <v>46442.47</v>
      </c>
      <c r="C10" s="328">
        <v>58413.84</v>
      </c>
      <c r="D10" s="338">
        <f t="shared" si="0"/>
        <v>104856.31</v>
      </c>
      <c r="E10" s="336">
        <v>0</v>
      </c>
      <c r="F10" s="335"/>
      <c r="G10" s="335">
        <v>104856.31</v>
      </c>
      <c r="H10" s="216">
        <f t="shared" si="1"/>
        <v>0</v>
      </c>
    </row>
    <row r="11" spans="1:8" ht="21" x14ac:dyDescent="0.35">
      <c r="A11" s="224" t="s">
        <v>666</v>
      </c>
      <c r="B11" s="225">
        <f>SUM(B4:B10)</f>
        <v>427635.29000000004</v>
      </c>
      <c r="C11" s="225">
        <f t="shared" ref="C11:G11" si="2">SUM(C4:C10)</f>
        <v>501712.29000000004</v>
      </c>
      <c r="D11" s="339">
        <f t="shared" si="2"/>
        <v>929347.58000000007</v>
      </c>
      <c r="E11" s="225">
        <f t="shared" si="2"/>
        <v>769514.92</v>
      </c>
      <c r="F11" s="225">
        <f t="shared" si="2"/>
        <v>0</v>
      </c>
      <c r="G11" s="225">
        <f t="shared" si="2"/>
        <v>159832.66</v>
      </c>
      <c r="H11" s="225">
        <f>SUM(H4:H10)</f>
        <v>0</v>
      </c>
    </row>
    <row r="14" spans="1:8" x14ac:dyDescent="0.2">
      <c r="F14" s="344"/>
    </row>
    <row r="16" spans="1:8" ht="21" x14ac:dyDescent="0.35">
      <c r="A16" s="25" t="s">
        <v>1900</v>
      </c>
      <c r="B16" s="345"/>
      <c r="C16" s="345"/>
      <c r="D16" s="345"/>
    </row>
    <row r="17" spans="1:5" ht="21" x14ac:dyDescent="0.35">
      <c r="A17" s="24" t="s">
        <v>1901</v>
      </c>
      <c r="B17" s="345">
        <v>85000000</v>
      </c>
      <c r="C17" s="345"/>
      <c r="D17" s="345">
        <v>85000000</v>
      </c>
      <c r="E17" s="348">
        <f>C11</f>
        <v>501712.29000000004</v>
      </c>
    </row>
    <row r="18" spans="1:5" ht="21" x14ac:dyDescent="0.35">
      <c r="A18" s="24" t="s">
        <v>1902</v>
      </c>
      <c r="B18" s="345">
        <v>20000000</v>
      </c>
      <c r="C18" s="345"/>
      <c r="D18" s="345">
        <v>10000000</v>
      </c>
      <c r="E18" s="348">
        <f>B11</f>
        <v>427635.29000000004</v>
      </c>
    </row>
    <row r="19" spans="1:5" ht="21" x14ac:dyDescent="0.35">
      <c r="A19" s="24" t="s">
        <v>1903</v>
      </c>
      <c r="B19" s="346" t="s">
        <v>1904</v>
      </c>
      <c r="C19" s="345"/>
      <c r="D19" s="345">
        <f>+D17/D18</f>
        <v>8.5</v>
      </c>
      <c r="E19" s="345">
        <f>+E17/E18</f>
        <v>1.1732247121139137</v>
      </c>
    </row>
    <row r="20" spans="1:5" ht="42" x14ac:dyDescent="0.35">
      <c r="A20" s="347" t="s">
        <v>1905</v>
      </c>
      <c r="B20" s="346" t="s">
        <v>1906</v>
      </c>
      <c r="C20" s="345"/>
      <c r="D20" s="345">
        <f>365/D19</f>
        <v>42.941176470588232</v>
      </c>
      <c r="E20" s="345">
        <f>365/E19</f>
        <v>311.10834627949816</v>
      </c>
    </row>
  </sheetData>
  <mergeCells count="2">
    <mergeCell ref="A1:H1"/>
    <mergeCell ref="A2:A3"/>
  </mergeCells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7"/>
  <sheetViews>
    <sheetView zoomScale="90" zoomScaleNormal="90" workbookViewId="0">
      <selection activeCell="A5" sqref="A5"/>
    </sheetView>
  </sheetViews>
  <sheetFormatPr defaultColWidth="9" defaultRowHeight="22.5" x14ac:dyDescent="0.3"/>
  <cols>
    <col min="1" max="1" width="47.875" style="82" customWidth="1"/>
    <col min="2" max="2" width="21.75" style="82" customWidth="1"/>
    <col min="3" max="3" width="17" style="82" customWidth="1"/>
    <col min="4" max="4" width="16.375" style="82" customWidth="1"/>
    <col min="5" max="5" width="19.375" style="82" customWidth="1"/>
    <col min="6" max="6" width="15.75" style="82" customWidth="1"/>
    <col min="7" max="7" width="20.375" style="82" customWidth="1"/>
    <col min="8" max="8" width="16.125" style="82" customWidth="1"/>
    <col min="9" max="16384" width="9" style="82"/>
  </cols>
  <sheetData>
    <row r="1" spans="1:8" ht="26.25" x14ac:dyDescent="0.4">
      <c r="A1" s="226" t="s">
        <v>779</v>
      </c>
      <c r="B1" s="227"/>
      <c r="C1" s="227"/>
      <c r="D1" s="227"/>
      <c r="E1" s="227"/>
      <c r="F1" s="227"/>
      <c r="G1" s="227"/>
      <c r="H1" s="228"/>
    </row>
    <row r="2" spans="1:8" ht="23.25" x14ac:dyDescent="0.35">
      <c r="A2" s="463" t="s">
        <v>756</v>
      </c>
      <c r="B2" s="229"/>
      <c r="C2" s="465" t="s">
        <v>780</v>
      </c>
      <c r="D2" s="466"/>
      <c r="E2" s="466"/>
      <c r="F2" s="467"/>
      <c r="G2" s="468" t="s">
        <v>1601</v>
      </c>
      <c r="H2" s="470" t="s">
        <v>781</v>
      </c>
    </row>
    <row r="3" spans="1:8" ht="42" x14ac:dyDescent="0.3">
      <c r="A3" s="464"/>
      <c r="B3" s="196" t="s">
        <v>1596</v>
      </c>
      <c r="C3" s="135" t="s">
        <v>1597</v>
      </c>
      <c r="D3" s="222" t="s">
        <v>1600</v>
      </c>
      <c r="E3" s="135" t="s">
        <v>1598</v>
      </c>
      <c r="F3" s="222" t="s">
        <v>1599</v>
      </c>
      <c r="G3" s="469"/>
      <c r="H3" s="471"/>
    </row>
    <row r="4" spans="1:8" s="91" customFormat="1" ht="23.25" x14ac:dyDescent="0.2">
      <c r="A4" s="141" t="s">
        <v>782</v>
      </c>
      <c r="B4" s="252">
        <f>420500+145400</f>
        <v>565900</v>
      </c>
      <c r="C4" s="329">
        <f>38+15</f>
        <v>53</v>
      </c>
      <c r="D4" s="230">
        <f>B4</f>
        <v>565900</v>
      </c>
      <c r="E4" s="329"/>
      <c r="F4" s="230"/>
      <c r="G4" s="230">
        <f>SUM(D4,F4)</f>
        <v>565900</v>
      </c>
      <c r="H4" s="90"/>
    </row>
    <row r="5" spans="1:8" ht="23.25" x14ac:dyDescent="0.35">
      <c r="A5" s="142" t="s">
        <v>783</v>
      </c>
      <c r="B5" s="328">
        <v>3408386.55</v>
      </c>
      <c r="C5" s="328">
        <v>27</v>
      </c>
      <c r="D5" s="328">
        <v>3408386.55</v>
      </c>
      <c r="E5" s="328"/>
      <c r="F5" s="328"/>
      <c r="G5" s="230">
        <f t="shared" ref="G5:G6" si="0">SUM(D5,F5)</f>
        <v>3408386.55</v>
      </c>
      <c r="H5" s="86"/>
    </row>
    <row r="6" spans="1:8" ht="23.25" x14ac:dyDescent="0.35">
      <c r="A6" s="28" t="s">
        <v>784</v>
      </c>
      <c r="B6" s="328">
        <v>8515200</v>
      </c>
      <c r="C6" s="328"/>
      <c r="D6" s="328"/>
      <c r="E6" s="328">
        <v>1</v>
      </c>
      <c r="F6" s="328">
        <v>8515200</v>
      </c>
      <c r="G6" s="230">
        <f t="shared" si="0"/>
        <v>8515200</v>
      </c>
      <c r="H6" s="86"/>
    </row>
    <row r="7" spans="1:8" ht="23.25" x14ac:dyDescent="0.35">
      <c r="A7" s="231" t="s">
        <v>666</v>
      </c>
      <c r="B7" s="194">
        <f>SUM(B4:B6)</f>
        <v>12489486.550000001</v>
      </c>
      <c r="C7" s="330"/>
      <c r="D7" s="194">
        <f t="shared" ref="D7:F7" si="1">SUM(D4:D6)</f>
        <v>3974286.55</v>
      </c>
      <c r="E7" s="23"/>
      <c r="F7" s="194">
        <f t="shared" si="1"/>
        <v>8515200</v>
      </c>
      <c r="G7" s="194">
        <f>SUM(G4:G6)</f>
        <v>12489486.550000001</v>
      </c>
      <c r="H7" s="39"/>
    </row>
  </sheetData>
  <mergeCells count="4">
    <mergeCell ref="A2:A3"/>
    <mergeCell ref="C2:F2"/>
    <mergeCell ref="G2:G3"/>
    <mergeCell ref="H2:H3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19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24.375" customWidth="1"/>
  </cols>
  <sheetData>
    <row r="1" spans="1:7" ht="23.25" x14ac:dyDescent="0.35">
      <c r="A1" s="85"/>
      <c r="B1" s="474" t="s">
        <v>785</v>
      </c>
      <c r="C1" s="475"/>
      <c r="D1" s="475"/>
      <c r="E1" s="475"/>
      <c r="F1" s="475"/>
      <c r="G1" s="475"/>
    </row>
    <row r="2" spans="1:7" ht="89.25" customHeight="1" x14ac:dyDescent="0.2">
      <c r="A2" s="92" t="s">
        <v>787</v>
      </c>
      <c r="B2" s="135" t="s">
        <v>788</v>
      </c>
      <c r="C2" s="94" t="s">
        <v>794</v>
      </c>
      <c r="D2" s="92" t="s">
        <v>791</v>
      </c>
      <c r="E2" s="135" t="s">
        <v>789</v>
      </c>
      <c r="F2" s="135" t="s">
        <v>790</v>
      </c>
      <c r="G2" s="232" t="s">
        <v>786</v>
      </c>
    </row>
    <row r="3" spans="1:7" ht="23.25" x14ac:dyDescent="0.35">
      <c r="A3" s="86">
        <v>1</v>
      </c>
      <c r="B3" s="86" t="s">
        <v>1693</v>
      </c>
      <c r="C3" s="331">
        <v>300000</v>
      </c>
      <c r="D3" s="328">
        <f>1385928-C3-147600-(3224*12)</f>
        <v>899640</v>
      </c>
      <c r="E3" s="328">
        <v>155232</v>
      </c>
      <c r="F3" s="332">
        <v>25000</v>
      </c>
      <c r="G3" s="333">
        <f t="shared" ref="G3:G10" si="0">SUM(C3:E3)</f>
        <v>1354872</v>
      </c>
    </row>
    <row r="4" spans="1:7" ht="23.25" x14ac:dyDescent="0.35">
      <c r="A4" s="86">
        <v>2</v>
      </c>
      <c r="B4" s="86" t="s">
        <v>1694</v>
      </c>
      <c r="C4" s="331">
        <v>330000</v>
      </c>
      <c r="D4" s="328">
        <f>1031484-C4-148800-(1717*12)</f>
        <v>532080</v>
      </c>
      <c r="E4" s="328">
        <v>262167</v>
      </c>
      <c r="F4" s="332">
        <v>430000</v>
      </c>
      <c r="G4" s="333">
        <f t="shared" si="0"/>
        <v>1124247</v>
      </c>
    </row>
    <row r="5" spans="1:7" ht="23.25" x14ac:dyDescent="0.35">
      <c r="A5" s="86">
        <v>3</v>
      </c>
      <c r="B5" s="86" t="s">
        <v>1695</v>
      </c>
      <c r="C5" s="331">
        <v>330000</v>
      </c>
      <c r="D5" s="328">
        <f>1015152-C5-134400-(1876*12)</f>
        <v>528240</v>
      </c>
      <c r="E5" s="328">
        <v>158480</v>
      </c>
      <c r="F5" s="332">
        <v>25000</v>
      </c>
      <c r="G5" s="333">
        <f t="shared" si="0"/>
        <v>1016720</v>
      </c>
    </row>
    <row r="6" spans="1:7" ht="24" customHeight="1" x14ac:dyDescent="0.35">
      <c r="A6" s="86">
        <v>4</v>
      </c>
      <c r="B6" s="86" t="s">
        <v>1696</v>
      </c>
      <c r="C6" s="331">
        <v>300000</v>
      </c>
      <c r="D6" s="328">
        <f>748032-C6-99600-(1216*12)</f>
        <v>333840</v>
      </c>
      <c r="E6" s="328">
        <v>130707</v>
      </c>
      <c r="F6" s="332"/>
      <c r="G6" s="333">
        <f t="shared" si="0"/>
        <v>764547</v>
      </c>
    </row>
    <row r="7" spans="1:7" ht="24" customHeight="1" x14ac:dyDescent="0.35">
      <c r="A7" s="86">
        <v>5</v>
      </c>
      <c r="B7" s="86" t="s">
        <v>1697</v>
      </c>
      <c r="C7" s="331">
        <v>300000</v>
      </c>
      <c r="D7" s="328">
        <f>643968-C7-104400-(784*12)</f>
        <v>230160</v>
      </c>
      <c r="E7" s="328">
        <v>84729</v>
      </c>
      <c r="F7" s="332">
        <v>35000</v>
      </c>
      <c r="G7" s="333">
        <f t="shared" si="0"/>
        <v>614889</v>
      </c>
    </row>
    <row r="8" spans="1:7" ht="24" customHeight="1" x14ac:dyDescent="0.35">
      <c r="A8" s="86">
        <v>6</v>
      </c>
      <c r="B8" s="86" t="s">
        <v>1698</v>
      </c>
      <c r="C8" s="331">
        <v>300000</v>
      </c>
      <c r="D8" s="328">
        <f>624108-C8-62400-(1039*12)</f>
        <v>249240</v>
      </c>
      <c r="E8" s="328">
        <v>35666</v>
      </c>
      <c r="F8" s="332"/>
      <c r="G8" s="333">
        <f t="shared" si="0"/>
        <v>584906</v>
      </c>
    </row>
    <row r="9" spans="1:7" ht="24" customHeight="1" x14ac:dyDescent="0.35">
      <c r="A9" s="86">
        <v>7</v>
      </c>
      <c r="B9" s="86" t="s">
        <v>1699</v>
      </c>
      <c r="C9" s="331">
        <v>300000</v>
      </c>
      <c r="D9" s="328">
        <f>557508-C9-117600-(389*12)</f>
        <v>135240</v>
      </c>
      <c r="E9" s="328">
        <v>56997</v>
      </c>
      <c r="F9" s="332"/>
      <c r="G9" s="333">
        <f t="shared" si="0"/>
        <v>492237</v>
      </c>
    </row>
    <row r="10" spans="1:7" ht="24" customHeight="1" x14ac:dyDescent="0.35">
      <c r="A10" s="86">
        <v>8</v>
      </c>
      <c r="B10" s="86" t="s">
        <v>1700</v>
      </c>
      <c r="C10" s="331">
        <v>300000</v>
      </c>
      <c r="D10" s="328">
        <f>545184-C10-104400-(392*12)</f>
        <v>136080</v>
      </c>
      <c r="E10" s="328">
        <v>146556</v>
      </c>
      <c r="F10" s="332"/>
      <c r="G10" s="333">
        <f t="shared" si="0"/>
        <v>582636</v>
      </c>
    </row>
    <row r="11" spans="1:7" ht="24" customHeight="1" x14ac:dyDescent="0.35">
      <c r="A11" s="86">
        <v>9</v>
      </c>
      <c r="B11" s="86" t="s">
        <v>1701</v>
      </c>
      <c r="C11" s="331">
        <v>330000</v>
      </c>
      <c r="D11" s="328">
        <f>1048896-C11-114000-(2258*12)</f>
        <v>577800</v>
      </c>
      <c r="E11" s="328">
        <v>127858</v>
      </c>
      <c r="F11" s="332"/>
      <c r="G11" s="333">
        <f>SUM(C11:E11)</f>
        <v>1035658</v>
      </c>
    </row>
    <row r="12" spans="1:7" ht="24" customHeight="1" x14ac:dyDescent="0.35">
      <c r="A12" s="86">
        <v>10</v>
      </c>
      <c r="B12" s="86" t="s">
        <v>1702</v>
      </c>
      <c r="C12" s="328"/>
      <c r="D12" s="328"/>
      <c r="E12" s="328"/>
      <c r="F12" s="332"/>
      <c r="G12" s="333"/>
    </row>
    <row r="13" spans="1:7" s="21" customFormat="1" ht="24.75" customHeight="1" x14ac:dyDescent="0.35">
      <c r="A13" s="476" t="s">
        <v>666</v>
      </c>
      <c r="B13" s="477"/>
      <c r="C13" s="334">
        <f>SUM(C3:C12)</f>
        <v>2790000</v>
      </c>
      <c r="D13" s="334">
        <f>SUM(D3:D12)</f>
        <v>3622320</v>
      </c>
      <c r="E13" s="334">
        <f>SUM(E3:E12)</f>
        <v>1158392</v>
      </c>
      <c r="F13" s="334">
        <f>SUM(F3:F12)</f>
        <v>515000</v>
      </c>
      <c r="G13" s="334">
        <f>SUM(G3:G12)</f>
        <v>7570712</v>
      </c>
    </row>
    <row r="14" spans="1:7" s="20" customFormat="1" ht="23.25" x14ac:dyDescent="0.35"/>
    <row r="15" spans="1:7" s="20" customFormat="1" ht="23.25" x14ac:dyDescent="0.35">
      <c r="B15" s="93" t="s">
        <v>795</v>
      </c>
      <c r="C15" s="20" t="s">
        <v>796</v>
      </c>
    </row>
    <row r="16" spans="1:7" s="20" customFormat="1" ht="23.25" x14ac:dyDescent="0.35">
      <c r="B16" s="93"/>
      <c r="C16" s="20" t="s">
        <v>797</v>
      </c>
    </row>
    <row r="17" spans="2:9" s="20" customFormat="1" ht="32.25" customHeight="1" x14ac:dyDescent="0.35">
      <c r="B17" s="96" t="s">
        <v>798</v>
      </c>
      <c r="C17" s="473" t="s">
        <v>799</v>
      </c>
      <c r="D17" s="473"/>
      <c r="E17" s="473"/>
      <c r="F17" s="473"/>
      <c r="G17" s="473"/>
    </row>
    <row r="18" spans="2:9" s="20" customFormat="1" ht="54" customHeight="1" x14ac:dyDescent="0.35">
      <c r="B18" s="472" t="s">
        <v>800</v>
      </c>
      <c r="C18" s="472"/>
      <c r="D18" s="472"/>
      <c r="E18" s="472"/>
      <c r="F18" s="472"/>
      <c r="G18" s="472"/>
      <c r="H18" s="95"/>
      <c r="I18" s="95"/>
    </row>
    <row r="19" spans="2:9" s="20" customFormat="1" ht="31.5" customHeight="1" x14ac:dyDescent="0.35">
      <c r="B19" s="20" t="s">
        <v>801</v>
      </c>
      <c r="C19" s="20" t="s">
        <v>802</v>
      </c>
    </row>
  </sheetData>
  <mergeCells count="4">
    <mergeCell ref="B18:G18"/>
    <mergeCell ref="C17:G17"/>
    <mergeCell ref="B1:G1"/>
    <mergeCell ref="A13:B13"/>
  </mergeCells>
  <pageMargins left="0.7" right="0.7" top="0.75" bottom="0.75" header="0.3" footer="0.3"/>
  <pageSetup paperSize="9"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B19" sqref="B19"/>
    </sheetView>
  </sheetViews>
  <sheetFormatPr defaultColWidth="16.875" defaultRowHeight="21" x14ac:dyDescent="0.35"/>
  <cols>
    <col min="1" max="1" width="10.25" style="25" customWidth="1"/>
    <col min="2" max="2" width="20.375" style="25" bestFit="1" customWidth="1"/>
    <col min="3" max="3" width="17.875" style="25" bestFit="1" customWidth="1"/>
    <col min="4" max="4" width="25.75" style="25" bestFit="1" customWidth="1"/>
    <col min="5" max="5" width="91.625" style="25" customWidth="1"/>
    <col min="6" max="16384" width="16.875" style="25"/>
  </cols>
  <sheetData>
    <row r="1" spans="1:7" s="233" customFormat="1" ht="21.75" thickBot="1" x14ac:dyDescent="0.4">
      <c r="A1" s="25"/>
      <c r="B1" s="276" t="s">
        <v>1633</v>
      </c>
      <c r="C1" s="276" t="s">
        <v>1634</v>
      </c>
      <c r="D1" s="276" t="s">
        <v>1635</v>
      </c>
      <c r="E1" s="277"/>
    </row>
    <row r="2" spans="1:7" ht="69.75" x14ac:dyDescent="0.35">
      <c r="A2" s="300" t="s">
        <v>1636</v>
      </c>
      <c r="B2" s="300" t="s">
        <v>1637</v>
      </c>
      <c r="C2" s="300" t="s">
        <v>1638</v>
      </c>
      <c r="D2" s="300" t="s">
        <v>1639</v>
      </c>
      <c r="E2" s="478" t="s">
        <v>1632</v>
      </c>
    </row>
    <row r="3" spans="1:7" ht="23.25" x14ac:dyDescent="0.35">
      <c r="A3" s="301" t="s">
        <v>1640</v>
      </c>
      <c r="B3" s="302" t="s">
        <v>1641</v>
      </c>
      <c r="C3" s="301" t="s">
        <v>1642</v>
      </c>
      <c r="D3" s="302" t="s">
        <v>1643</v>
      </c>
      <c r="E3" s="479"/>
    </row>
    <row r="4" spans="1:7" ht="23.25" x14ac:dyDescent="0.35">
      <c r="A4" s="303"/>
      <c r="B4" s="302" t="s">
        <v>1644</v>
      </c>
      <c r="C4" s="304" t="s">
        <v>1685</v>
      </c>
      <c r="D4" s="304" t="s">
        <v>1686</v>
      </c>
      <c r="E4" s="479"/>
    </row>
    <row r="5" spans="1:7" ht="21" customHeight="1" thickBot="1" x14ac:dyDescent="0.4">
      <c r="A5" s="305"/>
      <c r="B5" s="305"/>
      <c r="C5" s="306" t="s">
        <v>1645</v>
      </c>
      <c r="D5" s="305"/>
      <c r="E5" s="480"/>
    </row>
    <row r="6" spans="1:7" ht="27.75" thickTop="1" thickBot="1" x14ac:dyDescent="0.45">
      <c r="A6" s="307">
        <v>1</v>
      </c>
      <c r="B6" s="307" t="s">
        <v>1646</v>
      </c>
      <c r="C6" s="307" t="s">
        <v>1647</v>
      </c>
      <c r="D6" s="307" t="s">
        <v>1612</v>
      </c>
      <c r="E6" s="308" t="s">
        <v>1665</v>
      </c>
      <c r="F6" s="299"/>
      <c r="G6" s="324" t="s">
        <v>1612</v>
      </c>
    </row>
    <row r="7" spans="1:7" ht="27" thickBot="1" x14ac:dyDescent="0.45">
      <c r="A7" s="309">
        <v>2</v>
      </c>
      <c r="B7" s="309" t="s">
        <v>1646</v>
      </c>
      <c r="C7" s="309" t="s">
        <v>1647</v>
      </c>
      <c r="D7" s="310" t="s">
        <v>1613</v>
      </c>
      <c r="E7" s="311" t="s">
        <v>1650</v>
      </c>
      <c r="F7" s="321"/>
      <c r="G7" s="324" t="s">
        <v>1689</v>
      </c>
    </row>
    <row r="8" spans="1:7" ht="20.45" customHeight="1" thickBot="1" x14ac:dyDescent="0.45">
      <c r="A8" s="312">
        <v>3</v>
      </c>
      <c r="B8" s="312" t="s">
        <v>1646</v>
      </c>
      <c r="C8" s="312" t="s">
        <v>1687</v>
      </c>
      <c r="D8" s="312" t="s">
        <v>1612</v>
      </c>
      <c r="E8" s="313" t="s">
        <v>1659</v>
      </c>
      <c r="F8" s="321"/>
      <c r="G8" s="324" t="s">
        <v>1689</v>
      </c>
    </row>
    <row r="9" spans="1:7" ht="20.45" customHeight="1" thickBot="1" x14ac:dyDescent="0.45">
      <c r="A9" s="314">
        <v>4</v>
      </c>
      <c r="B9" s="314" t="s">
        <v>1646</v>
      </c>
      <c r="C9" s="314" t="s">
        <v>1687</v>
      </c>
      <c r="D9" s="315" t="s">
        <v>1613</v>
      </c>
      <c r="E9" s="316" t="s">
        <v>1664</v>
      </c>
      <c r="F9" s="322"/>
      <c r="G9" s="324" t="s">
        <v>1690</v>
      </c>
    </row>
    <row r="10" spans="1:7" ht="20.45" customHeight="1" thickBot="1" x14ac:dyDescent="0.45">
      <c r="A10" s="317">
        <v>5</v>
      </c>
      <c r="B10" s="318" t="s">
        <v>1613</v>
      </c>
      <c r="C10" s="318" t="s">
        <v>1688</v>
      </c>
      <c r="D10" s="317" t="s">
        <v>1612</v>
      </c>
      <c r="E10" s="319" t="s">
        <v>1651</v>
      </c>
      <c r="F10" s="321"/>
      <c r="G10" s="324" t="s">
        <v>1689</v>
      </c>
    </row>
    <row r="11" spans="1:7" ht="20.45" customHeight="1" thickBot="1" x14ac:dyDescent="0.45">
      <c r="A11" s="314">
        <v>6</v>
      </c>
      <c r="B11" s="315" t="s">
        <v>1613</v>
      </c>
      <c r="C11" s="315" t="s">
        <v>1688</v>
      </c>
      <c r="D11" s="315" t="s">
        <v>1652</v>
      </c>
      <c r="E11" s="316" t="s">
        <v>1662</v>
      </c>
      <c r="F11" s="322"/>
      <c r="G11" s="324" t="s">
        <v>1690</v>
      </c>
    </row>
    <row r="12" spans="1:7" ht="20.45" customHeight="1" thickBot="1" x14ac:dyDescent="0.45">
      <c r="A12" s="312">
        <v>7</v>
      </c>
      <c r="B12" s="320" t="s">
        <v>1613</v>
      </c>
      <c r="C12" s="320" t="s">
        <v>1652</v>
      </c>
      <c r="D12" s="312" t="s">
        <v>1612</v>
      </c>
      <c r="E12" s="313" t="s">
        <v>1660</v>
      </c>
      <c r="F12" s="322"/>
      <c r="G12" s="324" t="s">
        <v>1690</v>
      </c>
    </row>
    <row r="13" spans="1:7" ht="20.45" customHeight="1" x14ac:dyDescent="0.4">
      <c r="A13" s="314">
        <v>8</v>
      </c>
      <c r="B13" s="315" t="s">
        <v>1613</v>
      </c>
      <c r="C13" s="315" t="s">
        <v>1652</v>
      </c>
      <c r="D13" s="315" t="s">
        <v>1613</v>
      </c>
      <c r="E13" s="316" t="s">
        <v>1661</v>
      </c>
      <c r="F13" s="323"/>
      <c r="G13" s="324" t="s">
        <v>1691</v>
      </c>
    </row>
    <row r="14" spans="1:7" ht="60" customHeight="1" x14ac:dyDescent="0.35"/>
    <row r="15" spans="1:7" ht="20.45" customHeight="1" x14ac:dyDescent="0.35"/>
    <row r="16" spans="1:7" ht="27" customHeight="1" x14ac:dyDescent="0.35"/>
    <row r="17" ht="20.45" customHeight="1" x14ac:dyDescent="0.35"/>
    <row r="18" ht="20.45" customHeight="1" x14ac:dyDescent="0.35"/>
    <row r="19" ht="20.45" customHeight="1" x14ac:dyDescent="0.35"/>
    <row r="20" ht="20.45" customHeight="1" x14ac:dyDescent="0.35"/>
    <row r="21" ht="20.45" customHeight="1" x14ac:dyDescent="0.35"/>
    <row r="22" ht="20.45" customHeight="1" x14ac:dyDescent="0.35"/>
    <row r="23" ht="39" customHeight="1" x14ac:dyDescent="0.35"/>
  </sheetData>
  <mergeCells count="1">
    <mergeCell ref="E2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95"/>
  <sheetViews>
    <sheetView tabSelected="1"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ColWidth="9" defaultRowHeight="15" x14ac:dyDescent="0.25"/>
  <cols>
    <col min="1" max="1" width="7.25" style="184" customWidth="1"/>
    <col min="2" max="2" width="48.125" style="169" customWidth="1"/>
    <col min="3" max="3" width="20.125" style="169" customWidth="1"/>
    <col min="4" max="4" width="22.625" style="29" customWidth="1"/>
    <col min="5" max="5" width="16.25" style="169" customWidth="1"/>
    <col min="6" max="6" width="16.875" style="169" bestFit="1" customWidth="1"/>
    <col min="7" max="7" width="16.375" style="169" bestFit="1" customWidth="1"/>
    <col min="8" max="8" width="16.375" style="169" customWidth="1"/>
    <col min="9" max="9" width="13.625" style="169" customWidth="1"/>
    <col min="10" max="10" width="20" style="169" bestFit="1" customWidth="1"/>
    <col min="11" max="11" width="20.125" style="169" customWidth="1"/>
    <col min="12" max="12" width="18.875" style="169" customWidth="1"/>
    <col min="13" max="16384" width="9" style="169"/>
  </cols>
  <sheetData>
    <row r="1" spans="1:12" s="175" customFormat="1" ht="30" customHeight="1" x14ac:dyDescent="0.35">
      <c r="A1" s="430" t="s">
        <v>1557</v>
      </c>
      <c r="B1" s="430"/>
      <c r="C1" s="430"/>
      <c r="D1" s="430"/>
      <c r="E1" s="430"/>
      <c r="F1" s="278"/>
    </row>
    <row r="2" spans="1:12" ht="30.75" customHeight="1" x14ac:dyDescent="0.35">
      <c r="A2" s="431" t="s">
        <v>1654</v>
      </c>
      <c r="B2" s="431"/>
      <c r="C2" s="431"/>
      <c r="D2" s="431"/>
      <c r="E2" s="431"/>
      <c r="F2" s="427" t="s">
        <v>1670</v>
      </c>
      <c r="G2" s="427"/>
      <c r="H2" s="427"/>
      <c r="I2" s="427"/>
      <c r="J2" s="427"/>
      <c r="K2" s="428"/>
    </row>
    <row r="3" spans="1:12" ht="63.75" customHeight="1" x14ac:dyDescent="0.25">
      <c r="A3" s="359" t="s">
        <v>693</v>
      </c>
      <c r="B3" s="170" t="s">
        <v>694</v>
      </c>
      <c r="C3" s="359" t="s">
        <v>1666</v>
      </c>
      <c r="D3" s="414" t="s">
        <v>1558</v>
      </c>
      <c r="E3" s="284" t="s">
        <v>695</v>
      </c>
      <c r="F3" s="289" t="s">
        <v>665</v>
      </c>
      <c r="G3" s="295" t="s">
        <v>1676</v>
      </c>
      <c r="H3" s="295" t="s">
        <v>1680</v>
      </c>
      <c r="I3" s="295" t="s">
        <v>1668</v>
      </c>
      <c r="J3" s="295" t="s">
        <v>1669</v>
      </c>
      <c r="K3" s="296" t="s">
        <v>1681</v>
      </c>
      <c r="L3" s="283"/>
    </row>
    <row r="4" spans="1:12" ht="21" x14ac:dyDescent="0.35">
      <c r="A4" s="185" t="s">
        <v>0</v>
      </c>
      <c r="B4" s="39" t="s">
        <v>1</v>
      </c>
      <c r="C4" s="81">
        <v>22629679.48</v>
      </c>
      <c r="D4" s="23">
        <f>SUMIF('1.WS-Re-Exp'!$F$3:$F$599,Planfin2561!A4,'1.WS-Re-Exp'!$C$3:$C$599)</f>
        <v>35255341.349999994</v>
      </c>
      <c r="E4" s="285">
        <f>((D4-C4)/D4)*100</f>
        <v>35.812053965547534</v>
      </c>
      <c r="F4" s="286">
        <v>38071383.369999997</v>
      </c>
      <c r="G4" s="286">
        <f>VLOOKUP($A4,'HGR2559'!$B$2:$I$28,5,0)</f>
        <v>23701220.310802702</v>
      </c>
      <c r="H4" s="286">
        <f>VLOOKUP($A4,'HGR2559'!$B$2:$I$28,8,0)</f>
        <v>34189057.214436606</v>
      </c>
      <c r="I4" s="286">
        <f>VLOOKUP($A4,'HGR2559'!$B$2:$I$28,4,0)</f>
        <v>1924.4294148398562</v>
      </c>
      <c r="J4" s="286">
        <f>D4-G4</f>
        <v>11554121.039197292</v>
      </c>
      <c r="K4" s="286">
        <f>D4-H4</f>
        <v>1066284.1355633885</v>
      </c>
    </row>
    <row r="5" spans="1:12" ht="21" x14ac:dyDescent="0.35">
      <c r="A5" s="185" t="s">
        <v>2</v>
      </c>
      <c r="B5" s="39" t="s">
        <v>3</v>
      </c>
      <c r="C5" s="81">
        <v>0</v>
      </c>
      <c r="D5" s="23">
        <f>SUMIF('1.WS-Re-Exp'!$F$3:$F$599,Planfin2561!A5,'1.WS-Re-Exp'!$C$3:$C$599)</f>
        <v>29250</v>
      </c>
      <c r="E5" s="285">
        <f t="shared" ref="E5:E30" si="0">((D5-C5)/D5)*100</f>
        <v>100</v>
      </c>
      <c r="F5" s="286">
        <v>29250</v>
      </c>
      <c r="G5" s="286">
        <f>VLOOKUP($A5,'HGR2559'!$B$2:$I$28,5,0)</f>
        <v>47254.774776026999</v>
      </c>
      <c r="H5" s="286">
        <f>VLOOKUP($A5,'HGR2559'!$B$2:$I$28,8,0)</f>
        <v>117339.30407903899</v>
      </c>
      <c r="I5" s="286" t="e">
        <f>VLOOKUP($A5,'HGR2559'!$B$2:$I$28,4,0)</f>
        <v>#DIV/0!</v>
      </c>
      <c r="J5" s="286">
        <f t="shared" ref="J5:J30" si="1">D5-G5</f>
        <v>-18004.774776026999</v>
      </c>
      <c r="K5" s="286">
        <f t="shared" ref="K5:K30" si="2">D5-H5</f>
        <v>-88089.304079038993</v>
      </c>
    </row>
    <row r="6" spans="1:12" ht="21" x14ac:dyDescent="0.35">
      <c r="A6" s="185" t="s">
        <v>4</v>
      </c>
      <c r="B6" s="39" t="s">
        <v>5</v>
      </c>
      <c r="C6" s="81">
        <v>39849.5</v>
      </c>
      <c r="D6" s="23">
        <f>SUMIF('1.WS-Re-Exp'!$F$3:$F$599,Planfin2561!A6,'1.WS-Re-Exp'!$C$3:$C$599)</f>
        <v>0</v>
      </c>
      <c r="E6" s="285" t="e">
        <f t="shared" si="0"/>
        <v>#DIV/0!</v>
      </c>
      <c r="F6" s="286">
        <v>0</v>
      </c>
      <c r="G6" s="286">
        <f>VLOOKUP($A6,'HGR2559'!$B$2:$I$28,5,0)</f>
        <v>29776.1517152243</v>
      </c>
      <c r="H6" s="286">
        <f>VLOOKUP($A6,'HGR2559'!$B$2:$I$28,8,0)</f>
        <v>92957.177049540303</v>
      </c>
      <c r="I6" s="286" t="e">
        <f>VLOOKUP($A6,'HGR2559'!$B$2:$I$28,4,0)</f>
        <v>#DIV/0!</v>
      </c>
      <c r="J6" s="286">
        <f t="shared" si="1"/>
        <v>-29776.1517152243</v>
      </c>
      <c r="K6" s="286">
        <f t="shared" si="2"/>
        <v>-92957.177049540303</v>
      </c>
    </row>
    <row r="7" spans="1:12" ht="21" x14ac:dyDescent="0.35">
      <c r="A7" s="185" t="s">
        <v>1309</v>
      </c>
      <c r="B7" s="39" t="s">
        <v>731</v>
      </c>
      <c r="C7" s="81">
        <v>0</v>
      </c>
      <c r="D7" s="23">
        <f>SUMIF('1.WS-Re-Exp'!$F$3:$F$599,Planfin2561!A7,'1.WS-Re-Exp'!$C$3:$C$599)</f>
        <v>159832.66</v>
      </c>
      <c r="E7" s="285">
        <f t="shared" si="0"/>
        <v>100</v>
      </c>
      <c r="F7" s="286">
        <v>159832.66</v>
      </c>
      <c r="G7" s="286">
        <f>VLOOKUP($A7,'HGR2559'!$B$2:$I$28,5,0)</f>
        <v>208954.35206540499</v>
      </c>
      <c r="H7" s="286">
        <f>VLOOKUP($A7,'HGR2559'!$B$2:$I$28,8,0)</f>
        <v>382106.87652845297</v>
      </c>
      <c r="I7" s="286" t="e">
        <f>VLOOKUP($A7,'HGR2559'!$B$2:$I$28,4,0)</f>
        <v>#DIV/0!</v>
      </c>
      <c r="J7" s="286">
        <f t="shared" si="1"/>
        <v>-49121.69206540499</v>
      </c>
      <c r="K7" s="286">
        <f t="shared" si="2"/>
        <v>-222274.21652845296</v>
      </c>
    </row>
    <row r="8" spans="1:12" ht="21" x14ac:dyDescent="0.35">
      <c r="A8" s="185" t="s">
        <v>6</v>
      </c>
      <c r="B8" s="39" t="s">
        <v>7</v>
      </c>
      <c r="C8" s="81">
        <v>61561.96</v>
      </c>
      <c r="D8" s="23">
        <f>SUMIF('1.WS-Re-Exp'!$F$3:$F$599,Planfin2561!A8,'1.WS-Re-Exp'!$C$3:$C$599)</f>
        <v>907903.47</v>
      </c>
      <c r="E8" s="285">
        <f t="shared" si="0"/>
        <v>93.219327600983831</v>
      </c>
      <c r="F8" s="286">
        <v>907903.47</v>
      </c>
      <c r="G8" s="286">
        <f>VLOOKUP($A8,'HGR2559'!$B$2:$I$28,5,0)</f>
        <v>1279756.3794621599</v>
      </c>
      <c r="H8" s="286">
        <f>VLOOKUP($A8,'HGR2559'!$B$2:$I$28,8,0)</f>
        <v>2317596.0035149399</v>
      </c>
      <c r="I8" s="286" t="e">
        <f>VLOOKUP($A8,'HGR2559'!$B$2:$I$28,4,0)</f>
        <v>#DIV/0!</v>
      </c>
      <c r="J8" s="286">
        <f t="shared" si="1"/>
        <v>-371852.90946215997</v>
      </c>
      <c r="K8" s="286">
        <f t="shared" si="2"/>
        <v>-1409692.5335149399</v>
      </c>
    </row>
    <row r="9" spans="1:12" ht="21" x14ac:dyDescent="0.35">
      <c r="A9" s="185" t="s">
        <v>8</v>
      </c>
      <c r="B9" s="39" t="s">
        <v>9</v>
      </c>
      <c r="C9" s="81">
        <v>281664.55</v>
      </c>
      <c r="D9" s="23">
        <f>SUMIF('1.WS-Re-Exp'!$F$3:$F$599,Planfin2561!A9,'1.WS-Re-Exp'!$C$3:$C$599)</f>
        <v>308884.13</v>
      </c>
      <c r="E9" s="285">
        <f t="shared" si="0"/>
        <v>8.8122300100040789</v>
      </c>
      <c r="F9" s="286">
        <v>308884.13</v>
      </c>
      <c r="G9" s="286">
        <f>VLOOKUP($A9,'HGR2559'!$B$2:$I$28,5,0)</f>
        <v>613841.06737305399</v>
      </c>
      <c r="H9" s="286">
        <f>VLOOKUP($A9,'HGR2559'!$B$2:$I$28,8,0)</f>
        <v>1386310.507653174</v>
      </c>
      <c r="I9" s="286" t="e">
        <f>VLOOKUP($A9,'HGR2559'!$B$2:$I$28,4,0)</f>
        <v>#DIV/0!</v>
      </c>
      <c r="J9" s="286">
        <f t="shared" si="1"/>
        <v>-304956.93737305398</v>
      </c>
      <c r="K9" s="286">
        <f t="shared" si="2"/>
        <v>-1077426.3776531741</v>
      </c>
    </row>
    <row r="10" spans="1:12" ht="21" x14ac:dyDescent="0.35">
      <c r="A10" s="185" t="s">
        <v>10</v>
      </c>
      <c r="B10" s="39" t="s">
        <v>11</v>
      </c>
      <c r="C10" s="81">
        <v>0</v>
      </c>
      <c r="D10" s="23">
        <f>SUMIF('1.WS-Re-Exp'!$F$3:$F$599,Planfin2561!A10,'1.WS-Re-Exp'!$C$3:$C$599)</f>
        <v>0</v>
      </c>
      <c r="E10" s="285" t="e">
        <f t="shared" si="0"/>
        <v>#DIV/0!</v>
      </c>
      <c r="F10" s="286">
        <v>0</v>
      </c>
      <c r="G10" s="286">
        <f>VLOOKUP($A10,'HGR2559'!$B$2:$I$28,5,0)</f>
        <v>582807.09585533501</v>
      </c>
      <c r="H10" s="286">
        <f>VLOOKUP($A10,'HGR2559'!$B$2:$I$28,8,0)</f>
        <v>2730658.5152234947</v>
      </c>
      <c r="I10" s="286" t="e">
        <f>VLOOKUP($A10,'HGR2559'!$B$2:$I$28,4,0)</f>
        <v>#DIV/0!</v>
      </c>
      <c r="J10" s="286">
        <f t="shared" si="1"/>
        <v>-582807.09585533501</v>
      </c>
      <c r="K10" s="286">
        <f t="shared" si="2"/>
        <v>-2730658.5152234947</v>
      </c>
    </row>
    <row r="11" spans="1:12" ht="21" x14ac:dyDescent="0.35">
      <c r="A11" s="185" t="s">
        <v>12</v>
      </c>
      <c r="B11" s="39" t="s">
        <v>13</v>
      </c>
      <c r="C11" s="81">
        <v>645928.89</v>
      </c>
      <c r="D11" s="23">
        <f>SUMIF('1.WS-Re-Exp'!$F$3:$F$599,Planfin2561!A11,'1.WS-Re-Exp'!$C$3:$C$599)</f>
        <v>711308.66999999993</v>
      </c>
      <c r="E11" s="285">
        <f t="shared" si="0"/>
        <v>9.1914780119297461</v>
      </c>
      <c r="F11" s="286">
        <v>711308.66999999993</v>
      </c>
      <c r="G11" s="286">
        <f>VLOOKUP($A11,'HGR2559'!$B$2:$I$28,5,0)</f>
        <v>1823893.5852810801</v>
      </c>
      <c r="H11" s="286">
        <f>VLOOKUP($A11,'HGR2559'!$B$2:$I$28,8,0)</f>
        <v>3507438.23221929</v>
      </c>
      <c r="I11" s="286">
        <f>VLOOKUP($A11,'HGR2559'!$B$2:$I$28,4,0)</f>
        <v>308.86701390102792</v>
      </c>
      <c r="J11" s="286">
        <f t="shared" si="1"/>
        <v>-1112584.9152810802</v>
      </c>
      <c r="K11" s="286">
        <f t="shared" si="2"/>
        <v>-2796129.5622192901</v>
      </c>
    </row>
    <row r="12" spans="1:12" ht="21" x14ac:dyDescent="0.35">
      <c r="A12" s="185" t="s">
        <v>14</v>
      </c>
      <c r="B12" s="39" t="s">
        <v>15</v>
      </c>
      <c r="C12" s="81">
        <v>5254627.3</v>
      </c>
      <c r="D12" s="23">
        <f>SUMIF('1.WS-Re-Exp'!$F$3:$F$599,Planfin2561!A12,'1.WS-Re-Exp'!$C$3:$C$599)</f>
        <v>5912678.8600000003</v>
      </c>
      <c r="E12" s="285">
        <f t="shared" si="0"/>
        <v>11.129499429637558</v>
      </c>
      <c r="F12" s="286">
        <v>5912678.8600000003</v>
      </c>
      <c r="G12" s="286">
        <f>VLOOKUP($A12,'HGR2559'!$B$2:$I$28,5,0)</f>
        <v>8423493.2991810795</v>
      </c>
      <c r="H12" s="286">
        <f>VLOOKUP($A12,'HGR2559'!$B$2:$I$28,8,0)</f>
        <v>16336751.648589838</v>
      </c>
      <c r="I12" s="286" t="e">
        <f>VLOOKUP($A12,'HGR2559'!$B$2:$I$28,4,0)</f>
        <v>#DIV/0!</v>
      </c>
      <c r="J12" s="286">
        <f t="shared" si="1"/>
        <v>-2510814.4391810792</v>
      </c>
      <c r="K12" s="286">
        <f t="shared" si="2"/>
        <v>-10424072.788589839</v>
      </c>
    </row>
    <row r="13" spans="1:12" ht="21" x14ac:dyDescent="0.35">
      <c r="A13" s="185" t="s">
        <v>16</v>
      </c>
      <c r="B13" s="39" t="s">
        <v>17</v>
      </c>
      <c r="C13" s="81">
        <v>2391791.3199999998</v>
      </c>
      <c r="D13" s="23">
        <f>SUMIF('1.WS-Re-Exp'!$F$3:$F$599,Planfin2561!A13,'1.WS-Re-Exp'!$C$3:$C$599)</f>
        <v>1730518.1400000001</v>
      </c>
      <c r="E13" s="285">
        <f t="shared" si="0"/>
        <v>-38.212438501222515</v>
      </c>
      <c r="F13" s="286">
        <v>1730518.1400000001</v>
      </c>
      <c r="G13" s="286">
        <f>VLOOKUP($A13,'HGR2559'!$B$2:$I$28,5,0)</f>
        <v>6148482.9992162101</v>
      </c>
      <c r="H13" s="286">
        <f>VLOOKUP($A13,'HGR2559'!$B$2:$I$28,8,0)</f>
        <v>14483394.21429795</v>
      </c>
      <c r="I13" s="286">
        <f>VLOOKUP($A13,'HGR2559'!$B$2:$I$28,4,0)</f>
        <v>-74.852475488118017</v>
      </c>
      <c r="J13" s="286">
        <f t="shared" si="1"/>
        <v>-4417964.8592162095</v>
      </c>
      <c r="K13" s="286">
        <f t="shared" si="2"/>
        <v>-12752876.07429795</v>
      </c>
    </row>
    <row r="14" spans="1:12" ht="21" x14ac:dyDescent="0.35">
      <c r="A14" s="185" t="s">
        <v>18</v>
      </c>
      <c r="B14" s="39" t="s">
        <v>690</v>
      </c>
      <c r="C14" s="81">
        <v>3299223.09</v>
      </c>
      <c r="D14" s="23">
        <f>SUMIF('1.WS-Re-Exp'!$F$3:$F$599,Planfin2561!A14,'1.WS-Re-Exp'!$C$3:$C$599)</f>
        <v>3081926.94</v>
      </c>
      <c r="E14" s="285">
        <f t="shared" si="0"/>
        <v>-7.050658702506424</v>
      </c>
      <c r="F14" s="286">
        <v>3081926.94</v>
      </c>
      <c r="G14" s="286">
        <f>VLOOKUP($A14,'HGR2559'!$B$2:$I$28,5,0)</f>
        <v>2421071.8691810798</v>
      </c>
      <c r="H14" s="286">
        <f>VLOOKUP($A14,'HGR2559'!$B$2:$I$28,8,0)</f>
        <v>3935323.7950340197</v>
      </c>
      <c r="I14" s="286">
        <f>VLOOKUP($A14,'HGR2559'!$B$2:$I$28,4,0)</f>
        <v>21461.367966781043</v>
      </c>
      <c r="J14" s="286">
        <f t="shared" si="1"/>
        <v>660855.07081892015</v>
      </c>
      <c r="K14" s="286">
        <f t="shared" si="2"/>
        <v>-853396.8550340198</v>
      </c>
    </row>
    <row r="15" spans="1:12" ht="23.25" x14ac:dyDescent="0.35">
      <c r="A15" s="388" t="s">
        <v>696</v>
      </c>
      <c r="B15" s="389" t="s">
        <v>676</v>
      </c>
      <c r="C15" s="390">
        <f>SUM(C4:C14)</f>
        <v>34604326.090000004</v>
      </c>
      <c r="D15" s="390">
        <f>SUM(D4:D14)</f>
        <v>48097644.219999991</v>
      </c>
      <c r="E15" s="391">
        <f t="shared" si="0"/>
        <v>28.054010438185223</v>
      </c>
      <c r="F15" s="287">
        <v>50913686.239999995</v>
      </c>
      <c r="G15" s="287">
        <f>VLOOKUP($A15,'HGR2559'!$B$2:$I$28,5,0)</f>
        <v>45280551.885216199</v>
      </c>
      <c r="H15" s="287">
        <f>VLOOKUP($A15,'HGR2559'!$B$2:$I$28,8,0)</f>
        <v>63498973.075383298</v>
      </c>
      <c r="I15" s="287">
        <f>VLOOKUP($A15,'HGR2559'!$B$2:$I$28,4,0)</f>
        <v>436.40950949249338</v>
      </c>
      <c r="J15" s="286">
        <f t="shared" si="1"/>
        <v>2817092.3347837925</v>
      </c>
      <c r="K15" s="286">
        <f t="shared" si="2"/>
        <v>-15401328.855383307</v>
      </c>
    </row>
    <row r="16" spans="1:12" ht="23.25" x14ac:dyDescent="0.35">
      <c r="A16" s="182" t="s">
        <v>19</v>
      </c>
      <c r="B16" s="39" t="s">
        <v>20</v>
      </c>
      <c r="C16" s="392">
        <v>3256766.77</v>
      </c>
      <c r="D16" s="23">
        <f>SUMIF('1.WS-Re-Exp'!$F$3:$F$599,Planfin2561!A16,'1.WS-Re-Exp'!$C$3:$C$599)</f>
        <v>3869684.9</v>
      </c>
      <c r="E16" s="285">
        <f t="shared" si="0"/>
        <v>15.838967405330598</v>
      </c>
      <c r="F16" s="286">
        <v>3869684.9</v>
      </c>
      <c r="G16" s="286">
        <f>VLOOKUP($A16,'HGR2559'!$B$2:$I$28,5,0)</f>
        <v>3930176.15918918</v>
      </c>
      <c r="H16" s="286">
        <f>VLOOKUP($A16,'HGR2559'!$B$2:$I$28,8,0)</f>
        <v>5778013.19453499</v>
      </c>
      <c r="I16" s="286">
        <f>VLOOKUP($A16,'HGR2559'!$B$2:$I$28,4,0)</f>
        <v>-17.052498040668169</v>
      </c>
      <c r="J16" s="286">
        <f t="shared" si="1"/>
        <v>-60491.259189180098</v>
      </c>
      <c r="K16" s="286">
        <f t="shared" si="2"/>
        <v>-1908328.2945349901</v>
      </c>
    </row>
    <row r="17" spans="1:11" ht="23.25" x14ac:dyDescent="0.35">
      <c r="A17" s="182" t="s">
        <v>21</v>
      </c>
      <c r="B17" s="39" t="s">
        <v>22</v>
      </c>
      <c r="C17" s="81">
        <v>1124956.8600000001</v>
      </c>
      <c r="D17" s="23">
        <f>SUMIF('1.WS-Re-Exp'!$F$3:$F$599,Planfin2561!A17,'1.WS-Re-Exp'!$C$3:$C$599)</f>
        <v>1006433.41</v>
      </c>
      <c r="E17" s="285">
        <f t="shared" si="0"/>
        <v>-11.776581423305499</v>
      </c>
      <c r="F17" s="286">
        <v>1006433.41</v>
      </c>
      <c r="G17" s="286">
        <f>VLOOKUP($A17,'HGR2559'!$B$2:$I$28,5,0)</f>
        <v>1272656.15166756</v>
      </c>
      <c r="H17" s="286">
        <f>VLOOKUP($A17,'HGR2559'!$B$2:$I$28,8,0)</f>
        <v>2065714.4533245019</v>
      </c>
      <c r="I17" s="286">
        <f>VLOOKUP($A17,'HGR2559'!$B$2:$I$28,4,0)</f>
        <v>1086.1558843127957</v>
      </c>
      <c r="J17" s="286">
        <f t="shared" si="1"/>
        <v>-266222.74166755995</v>
      </c>
      <c r="K17" s="286">
        <f t="shared" si="2"/>
        <v>-1059281.0433245017</v>
      </c>
    </row>
    <row r="18" spans="1:11" ht="23.25" x14ac:dyDescent="0.35">
      <c r="A18" s="182" t="s">
        <v>732</v>
      </c>
      <c r="B18" s="39" t="s">
        <v>733</v>
      </c>
      <c r="C18" s="81">
        <v>177470.86</v>
      </c>
      <c r="D18" s="23">
        <f>SUMIF('1.WS-Re-Exp'!$F$3:$F$599,Planfin2561!A18,'1.WS-Re-Exp'!$C$3:$C$599)</f>
        <v>154243.07</v>
      </c>
      <c r="E18" s="285">
        <f t="shared" si="0"/>
        <v>-15.059211412220968</v>
      </c>
      <c r="F18" s="286">
        <v>154243.07</v>
      </c>
      <c r="G18" s="286">
        <f>VLOOKUP($A18,'HGR2559'!$B$2:$I$28,5,0)</f>
        <v>275337.83459378302</v>
      </c>
      <c r="H18" s="286">
        <f>VLOOKUP($A18,'HGR2559'!$B$2:$I$28,8,0)</f>
        <v>480249.58750418201</v>
      </c>
      <c r="I18" s="286" t="e">
        <f>VLOOKUP($A18,'HGR2559'!$B$2:$I$28,4,0)</f>
        <v>#DIV/0!</v>
      </c>
      <c r="J18" s="286">
        <f t="shared" si="1"/>
        <v>-121094.76459378301</v>
      </c>
      <c r="K18" s="286">
        <f t="shared" si="2"/>
        <v>-326006.517504182</v>
      </c>
    </row>
    <row r="19" spans="1:11" ht="23.25" x14ac:dyDescent="0.35">
      <c r="A19" s="182" t="s">
        <v>23</v>
      </c>
      <c r="B19" s="39" t="s">
        <v>24</v>
      </c>
      <c r="C19" s="81">
        <v>1947882.66</v>
      </c>
      <c r="D19" s="23">
        <f>SUMIF('1.WS-Re-Exp'!$F$3:$F$599,Planfin2561!A19,'1.WS-Re-Exp'!$C$3:$C$599)</f>
        <v>2712607.6999999997</v>
      </c>
      <c r="E19" s="285">
        <f t="shared" si="0"/>
        <v>28.191508856957086</v>
      </c>
      <c r="F19" s="286">
        <v>2712607.6999999997</v>
      </c>
      <c r="G19" s="286">
        <f>VLOOKUP($A19,'HGR2559'!$B$2:$I$28,5,0)</f>
        <v>1705707.2270883699</v>
      </c>
      <c r="H19" s="286">
        <f>VLOOKUP($A19,'HGR2559'!$B$2:$I$28,8,0)</f>
        <v>2811541.0124963997</v>
      </c>
      <c r="I19" s="286" t="e">
        <f>VLOOKUP($A19,'HGR2559'!$B$2:$I$28,4,0)</f>
        <v>#DIV/0!</v>
      </c>
      <c r="J19" s="286">
        <f t="shared" si="1"/>
        <v>1006900.4729116298</v>
      </c>
      <c r="K19" s="286">
        <f t="shared" si="2"/>
        <v>-98933.312496399973</v>
      </c>
    </row>
    <row r="20" spans="1:11" ht="23.25" x14ac:dyDescent="0.35">
      <c r="A20" s="182" t="s">
        <v>25</v>
      </c>
      <c r="B20" s="39" t="s">
        <v>26</v>
      </c>
      <c r="C20" s="81">
        <v>5254627.3</v>
      </c>
      <c r="D20" s="23">
        <f>SUMIF('1.WS-Re-Exp'!$F$3:$F$599,Planfin2561!A20,'1.WS-Re-Exp'!$C$3:$C$599)</f>
        <v>5912678.8600000003</v>
      </c>
      <c r="E20" s="285">
        <f t="shared" si="0"/>
        <v>11.129499429637558</v>
      </c>
      <c r="F20" s="286">
        <v>5912678.8600000003</v>
      </c>
      <c r="G20" s="286">
        <f>VLOOKUP($A20,'HGR2559'!$B$2:$I$28,5,0)</f>
        <v>8504636.8022080995</v>
      </c>
      <c r="H20" s="286">
        <f>VLOOKUP($A20,'HGR2559'!$B$2:$I$28,8,0)</f>
        <v>16522806.55970126</v>
      </c>
      <c r="I20" s="286" t="e">
        <f>VLOOKUP($A20,'HGR2559'!$B$2:$I$28,4,0)</f>
        <v>#DIV/0!</v>
      </c>
      <c r="J20" s="286">
        <f t="shared" si="1"/>
        <v>-2591957.9422080992</v>
      </c>
      <c r="K20" s="286">
        <f t="shared" si="2"/>
        <v>-10610127.699701261</v>
      </c>
    </row>
    <row r="21" spans="1:11" ht="23.25" x14ac:dyDescent="0.35">
      <c r="A21" s="182" t="s">
        <v>27</v>
      </c>
      <c r="B21" s="40" t="s">
        <v>724</v>
      </c>
      <c r="C21" s="81">
        <v>2525285.33</v>
      </c>
      <c r="D21" s="23">
        <f>SUMIF('1.WS-Re-Exp'!$F$3:$F$599,Planfin2561!A21,'1.WS-Re-Exp'!$C$3:$C$599)</f>
        <v>3322683</v>
      </c>
      <c r="E21" s="285">
        <f t="shared" si="0"/>
        <v>23.998608052588825</v>
      </c>
      <c r="F21" s="286">
        <v>3322683</v>
      </c>
      <c r="G21" s="286">
        <f>VLOOKUP($A21,'HGR2559'!$B$2:$I$28,5,0)</f>
        <v>4489630.3670837795</v>
      </c>
      <c r="H21" s="286">
        <f>VLOOKUP($A21,'HGR2559'!$B$2:$I$28,8,0)</f>
        <v>6932517.6680124495</v>
      </c>
      <c r="I21" s="286">
        <f>VLOOKUP($A21,'HGR2559'!$B$2:$I$28,4,0)</f>
        <v>545.9594990309796</v>
      </c>
      <c r="J21" s="286">
        <f t="shared" si="1"/>
        <v>-1166947.3670837795</v>
      </c>
      <c r="K21" s="286">
        <f t="shared" si="2"/>
        <v>-3609834.6680124495</v>
      </c>
    </row>
    <row r="22" spans="1:11" ht="23.25" x14ac:dyDescent="0.35">
      <c r="A22" s="182" t="s">
        <v>29</v>
      </c>
      <c r="B22" s="39" t="s">
        <v>30</v>
      </c>
      <c r="C22" s="81">
        <v>4198597.3099999996</v>
      </c>
      <c r="D22" s="23">
        <f>SUMIF('1.WS-Re-Exp'!$F$3:$F$599,Planfin2561!A22,'1.WS-Re-Exp'!$C$3:$C$599)</f>
        <v>7279324</v>
      </c>
      <c r="E22" s="285">
        <f t="shared" si="0"/>
        <v>42.321604176431769</v>
      </c>
      <c r="F22" s="286">
        <v>7279324</v>
      </c>
      <c r="G22" s="286">
        <f>VLOOKUP($A22,'HGR2559'!$B$2:$I$28,5,0)</f>
        <v>6935351.1670351299</v>
      </c>
      <c r="H22" s="286">
        <f>VLOOKUP($A22,'HGR2559'!$B$2:$I$28,8,0)</f>
        <v>9683539.7468651794</v>
      </c>
      <c r="I22" s="286">
        <f>VLOOKUP($A22,'HGR2559'!$B$2:$I$28,4,0)</f>
        <v>1075.1278800750367</v>
      </c>
      <c r="J22" s="286">
        <f t="shared" si="1"/>
        <v>343972.83296487015</v>
      </c>
      <c r="K22" s="286">
        <f t="shared" si="2"/>
        <v>-2404215.7468651794</v>
      </c>
    </row>
    <row r="23" spans="1:11" ht="23.25" x14ac:dyDescent="0.35">
      <c r="A23" s="182" t="s">
        <v>31</v>
      </c>
      <c r="B23" s="39" t="s">
        <v>32</v>
      </c>
      <c r="C23" s="32">
        <v>386072.1</v>
      </c>
      <c r="D23" s="23">
        <f>SUMIF('1.WS-Re-Exp'!$F$3:$F$599,Planfin2561!A23,'1.WS-Re-Exp'!$C$3:$C$599)</f>
        <v>781290.9</v>
      </c>
      <c r="E23" s="285">
        <f t="shared" si="0"/>
        <v>50.58535815532985</v>
      </c>
      <c r="F23" s="286">
        <v>781290.9</v>
      </c>
      <c r="G23" s="286">
        <f>VLOOKUP($A23,'HGR2559'!$B$2:$I$28,5,0)</f>
        <v>741664.88792964804</v>
      </c>
      <c r="H23" s="286">
        <f>VLOOKUP($A23,'HGR2559'!$B$2:$I$28,8,0)</f>
        <v>1248471.9067284171</v>
      </c>
      <c r="I23" s="286">
        <f>VLOOKUP($A23,'HGR2559'!$B$2:$I$28,4,0)</f>
        <v>656.16581046370163</v>
      </c>
      <c r="J23" s="286">
        <f t="shared" si="1"/>
        <v>39626.012070351979</v>
      </c>
      <c r="K23" s="286">
        <f t="shared" si="2"/>
        <v>-467181.00672841712</v>
      </c>
    </row>
    <row r="24" spans="1:11" ht="23.25" x14ac:dyDescent="0.35">
      <c r="A24" s="182" t="s">
        <v>33</v>
      </c>
      <c r="B24" s="39" t="s">
        <v>34</v>
      </c>
      <c r="C24" s="32">
        <v>2637922.12</v>
      </c>
      <c r="D24" s="23">
        <f>SUMIF('1.WS-Re-Exp'!$F$3:$F$599,Planfin2561!A24,'1.WS-Re-Exp'!$C$3:$C$599)</f>
        <v>1542728.62</v>
      </c>
      <c r="E24" s="285">
        <f t="shared" si="0"/>
        <v>-70.990677543792501</v>
      </c>
      <c r="F24" s="286">
        <v>1542728.62</v>
      </c>
      <c r="G24" s="286">
        <f>VLOOKUP($A24,'HGR2559'!$B$2:$I$28,5,0)</f>
        <v>2092020.7423243199</v>
      </c>
      <c r="H24" s="286">
        <f>VLOOKUP($A24,'HGR2559'!$B$2:$I$28,8,0)</f>
        <v>3275927.8244953998</v>
      </c>
      <c r="I24" s="286">
        <f>VLOOKUP($A24,'HGR2559'!$B$2:$I$28,4,0)</f>
        <v>545.27524706006591</v>
      </c>
      <c r="J24" s="286">
        <f t="shared" si="1"/>
        <v>-549292.12232431979</v>
      </c>
      <c r="K24" s="286">
        <f t="shared" si="2"/>
        <v>-1733199.2044953997</v>
      </c>
    </row>
    <row r="25" spans="1:11" ht="23.25" x14ac:dyDescent="0.35">
      <c r="A25" s="182" t="s">
        <v>35</v>
      </c>
      <c r="B25" s="39" t="s">
        <v>36</v>
      </c>
      <c r="C25" s="81">
        <v>482230.28</v>
      </c>
      <c r="D25" s="23">
        <f>SUMIF('1.WS-Re-Exp'!$F$3:$F$599,Planfin2561!A25,'1.WS-Re-Exp'!$C$3:$C$599)</f>
        <v>728480</v>
      </c>
      <c r="E25" s="285">
        <f t="shared" si="0"/>
        <v>33.803223149571707</v>
      </c>
      <c r="F25" s="286">
        <v>728480</v>
      </c>
      <c r="G25" s="286">
        <f>VLOOKUP($A25,'HGR2559'!$B$2:$I$28,5,0)</f>
        <v>967679.96722972905</v>
      </c>
      <c r="H25" s="286">
        <f>VLOOKUP($A25,'HGR2559'!$B$2:$I$28,8,0)</f>
        <v>1443232.4918829761</v>
      </c>
      <c r="I25" s="286">
        <f>VLOOKUP($A25,'HGR2559'!$B$2:$I$28,4,0)</f>
        <v>189.78253730003252</v>
      </c>
      <c r="J25" s="286">
        <f t="shared" si="1"/>
        <v>-239199.96722972905</v>
      </c>
      <c r="K25" s="286">
        <f t="shared" si="2"/>
        <v>-714752.49188297614</v>
      </c>
    </row>
    <row r="26" spans="1:11" ht="23.25" x14ac:dyDescent="0.35">
      <c r="A26" s="182" t="s">
        <v>37</v>
      </c>
      <c r="B26" s="39" t="s">
        <v>38</v>
      </c>
      <c r="C26" s="81">
        <v>1464326.04</v>
      </c>
      <c r="D26" s="23">
        <f>SUMIF('1.WS-Re-Exp'!$F$3:$F$599,Planfin2561!A26,'1.WS-Re-Exp'!$C$3:$C$599)</f>
        <v>1713901.87</v>
      </c>
      <c r="E26" s="285">
        <f t="shared" si="0"/>
        <v>14.561850615169705</v>
      </c>
      <c r="F26" s="286">
        <v>1713901.87</v>
      </c>
      <c r="G26" s="286">
        <f>VLOOKUP($A26,'HGR2559'!$B$2:$I$28,5,0)</f>
        <v>1415335.06915945</v>
      </c>
      <c r="H26" s="286">
        <f>VLOOKUP($A26,'HGR2559'!$B$2:$I$28,8,0)</f>
        <v>2104830.8179904302</v>
      </c>
      <c r="I26" s="286">
        <f>VLOOKUP($A26,'HGR2559'!$B$2:$I$28,4,0)</f>
        <v>254.76578115038461</v>
      </c>
      <c r="J26" s="286">
        <f t="shared" si="1"/>
        <v>298566.8008405501</v>
      </c>
      <c r="K26" s="286">
        <f t="shared" si="2"/>
        <v>-390928.94799043005</v>
      </c>
    </row>
    <row r="27" spans="1:11" ht="23.25" x14ac:dyDescent="0.35">
      <c r="A27" s="182" t="s">
        <v>39</v>
      </c>
      <c r="B27" s="39" t="s">
        <v>40</v>
      </c>
      <c r="C27" s="81">
        <v>2141574.0699999998</v>
      </c>
      <c r="D27" s="23">
        <f>SUMIF('1.WS-Re-Exp'!$F$3:$F$599,Planfin2561!A27,'1.WS-Re-Exp'!$C$3:$C$599)</f>
        <v>2014093.28</v>
      </c>
      <c r="E27" s="285">
        <f t="shared" si="0"/>
        <v>-6.3294382274091996</v>
      </c>
      <c r="F27" s="286">
        <v>2014093.28</v>
      </c>
      <c r="G27" s="286">
        <f>VLOOKUP($A27,'HGR2559'!$B$2:$I$28,5,0)</f>
        <v>4350882.7712513497</v>
      </c>
      <c r="H27" s="286">
        <f>VLOOKUP($A27,'HGR2559'!$B$2:$I$28,8,0)</f>
        <v>6878783.8918535691</v>
      </c>
      <c r="I27" s="286">
        <f>VLOOKUP($A27,'HGR2559'!$B$2:$I$28,4,0)</f>
        <v>5.7362133318236772</v>
      </c>
      <c r="J27" s="286">
        <f t="shared" si="1"/>
        <v>-2336789.4912513494</v>
      </c>
      <c r="K27" s="286">
        <f t="shared" si="2"/>
        <v>-4864690.6118535688</v>
      </c>
    </row>
    <row r="28" spans="1:11" ht="23.25" x14ac:dyDescent="0.35">
      <c r="A28" s="182" t="s">
        <v>734</v>
      </c>
      <c r="B28" s="39" t="s">
        <v>735</v>
      </c>
      <c r="C28" s="81">
        <v>0</v>
      </c>
      <c r="D28" s="23">
        <f>SUMIF('1.WS-Re-Exp'!$F$3:$F$599,Planfin2561!A28,'1.WS-Re-Exp'!$C$3:$C$599)</f>
        <v>159832.66</v>
      </c>
      <c r="E28" s="285">
        <f t="shared" si="0"/>
        <v>100</v>
      </c>
      <c r="F28" s="286">
        <v>159832.66</v>
      </c>
      <c r="G28" s="286">
        <f>VLOOKUP($A28,'HGR2559'!$B$2:$I$28,5,0)</f>
        <v>388868.65332343202</v>
      </c>
      <c r="H28" s="286">
        <f>VLOOKUP($A28,'HGR2559'!$B$2:$I$28,8,0)</f>
        <v>1211520.8542195321</v>
      </c>
      <c r="I28" s="286" t="e">
        <f>VLOOKUP($A28,'HGR2559'!$B$2:$I$28,4,0)</f>
        <v>#DIV/0!</v>
      </c>
      <c r="J28" s="286">
        <f t="shared" si="1"/>
        <v>-229035.99332343202</v>
      </c>
      <c r="K28" s="286">
        <f t="shared" si="2"/>
        <v>-1051688.1942195322</v>
      </c>
    </row>
    <row r="29" spans="1:11" ht="23.25" x14ac:dyDescent="0.35">
      <c r="A29" s="182" t="s">
        <v>41</v>
      </c>
      <c r="B29" s="39" t="s">
        <v>42</v>
      </c>
      <c r="C29" s="32">
        <v>5470621.0700000003</v>
      </c>
      <c r="D29" s="23">
        <f>SUMIF('1.WS-Re-Exp'!$F$3:$F$599,Planfin2561!A29,'1.WS-Re-Exp'!$C$3:$C$599)</f>
        <v>4672675.5600000005</v>
      </c>
      <c r="E29" s="285">
        <f t="shared" si="0"/>
        <v>-17.076843871437113</v>
      </c>
      <c r="F29" s="286">
        <v>4672675.5600000005</v>
      </c>
      <c r="G29" s="286">
        <f>VLOOKUP($A29,'HGR2559'!$B$2:$I$28,5,0)</f>
        <v>4880240.8632153198</v>
      </c>
      <c r="H29" s="286">
        <f>VLOOKUP($A29,'HGR2559'!$B$2:$I$28,8,0)</f>
        <v>8843377.8154034596</v>
      </c>
      <c r="I29" s="286">
        <f>VLOOKUP($A29,'HGR2559'!$B$2:$I$28,4,0)</f>
        <v>141210.75280833564</v>
      </c>
      <c r="J29" s="286">
        <f t="shared" si="1"/>
        <v>-207565.30321531929</v>
      </c>
      <c r="K29" s="286">
        <f t="shared" si="2"/>
        <v>-4170702.2554034591</v>
      </c>
    </row>
    <row r="30" spans="1:11" s="171" customFormat="1" ht="21" x14ac:dyDescent="0.35">
      <c r="A30" s="393" t="s">
        <v>697</v>
      </c>
      <c r="B30" s="393" t="s">
        <v>698</v>
      </c>
      <c r="C30" s="394">
        <f>SUM(C16:C29)</f>
        <v>31068332.770000003</v>
      </c>
      <c r="D30" s="394">
        <f>SUM(D16:D29)</f>
        <v>35870657.830000006</v>
      </c>
      <c r="E30" s="285">
        <f t="shared" si="0"/>
        <v>13.387892362496997</v>
      </c>
      <c r="F30" s="287">
        <v>35870657.830000006</v>
      </c>
      <c r="G30" s="287">
        <f>VLOOKUP($A30,'HGR2559'!$B$2:$I$28,5,0)</f>
        <v>41950188.664135098</v>
      </c>
      <c r="H30" s="287">
        <f>VLOOKUP($A30,'HGR2559'!$B$2:$I$28,8,0)</f>
        <v>57428372.056907594</v>
      </c>
      <c r="I30" s="287">
        <f>VLOOKUP($A30,'HGR2559'!$B$2:$I$28,4,0)</f>
        <v>277.17505336432413</v>
      </c>
      <c r="J30" s="286">
        <f t="shared" si="1"/>
        <v>-6079530.8341350928</v>
      </c>
      <c r="K30" s="286">
        <f t="shared" si="2"/>
        <v>-21557714.226907589</v>
      </c>
    </row>
    <row r="31" spans="1:11" s="171" customFormat="1" ht="23.25" x14ac:dyDescent="0.35">
      <c r="A31" s="388" t="s">
        <v>699</v>
      </c>
      <c r="B31" s="395" t="s">
        <v>700</v>
      </c>
      <c r="C31" s="251">
        <f>C15-C30</f>
        <v>3535993.3200000003</v>
      </c>
      <c r="D31" s="251">
        <f>D15-D30</f>
        <v>12226986.389999986</v>
      </c>
      <c r="E31" s="172"/>
      <c r="F31" s="172"/>
    </row>
    <row r="32" spans="1:11" s="171" customFormat="1" ht="26.25" x14ac:dyDescent="0.4">
      <c r="A32" s="186" t="s">
        <v>729</v>
      </c>
      <c r="B32" s="187" t="s">
        <v>730</v>
      </c>
      <c r="C32" s="396" t="str">
        <f>IF(D32&gt;0,"เกินดุล",IF(D32=0,"สมดุล","ขาดดุล"))</f>
        <v>เกินดุล</v>
      </c>
      <c r="D32" s="394">
        <f>D31-D14+D27</f>
        <v>11159152.729999986</v>
      </c>
      <c r="E32" s="172"/>
      <c r="F32" s="172"/>
      <c r="J32" s="30" t="s">
        <v>1682</v>
      </c>
    </row>
    <row r="33" spans="1:12" s="171" customFormat="1" ht="26.25" x14ac:dyDescent="0.4">
      <c r="A33" s="188"/>
      <c r="B33" s="189"/>
      <c r="C33" s="190"/>
      <c r="D33" s="172"/>
      <c r="E33" s="172"/>
      <c r="F33" s="172"/>
      <c r="J33" s="297"/>
      <c r="K33" s="429" t="s">
        <v>1683</v>
      </c>
      <c r="L33" s="429"/>
    </row>
    <row r="34" spans="1:12" ht="23.25" x14ac:dyDescent="0.35">
      <c r="A34" s="191"/>
      <c r="B34" s="192" t="s">
        <v>701</v>
      </c>
      <c r="C34" s="193"/>
      <c r="D34" s="147"/>
      <c r="E34" s="147"/>
      <c r="F34" s="147"/>
      <c r="J34" s="298"/>
      <c r="K34" s="429" t="s">
        <v>1684</v>
      </c>
      <c r="L34" s="429"/>
    </row>
    <row r="35" spans="1:12" ht="21" x14ac:dyDescent="0.35">
      <c r="A35" s="397" t="s">
        <v>738</v>
      </c>
      <c r="B35" s="398" t="s">
        <v>728</v>
      </c>
      <c r="C35" s="399">
        <v>0</v>
      </c>
      <c r="D35" s="400">
        <f>Expense!E39</f>
        <v>11159152.729999997</v>
      </c>
      <c r="E35" s="147"/>
      <c r="F35" s="147"/>
      <c r="I35" s="29"/>
      <c r="J35" s="29"/>
    </row>
    <row r="36" spans="1:12" ht="21" x14ac:dyDescent="0.35">
      <c r="A36" s="397"/>
      <c r="B36" s="401" t="s">
        <v>821</v>
      </c>
      <c r="C36" s="402" t="str">
        <f>IF(D36&gt;=0,"ไม่เกิน","เกิน")</f>
        <v>ไม่เกิน</v>
      </c>
      <c r="D36" s="400">
        <f>IF(D35&lt;0,0-D85,((D35*20%)-D85))</f>
        <v>1665930.5459999996</v>
      </c>
      <c r="E36" s="147"/>
      <c r="F36" s="147"/>
      <c r="I36" s="173"/>
      <c r="J36" s="173"/>
    </row>
    <row r="37" spans="1:12" ht="21" x14ac:dyDescent="0.35">
      <c r="A37" s="185" t="s">
        <v>43</v>
      </c>
      <c r="B37" s="403" t="s">
        <v>1001</v>
      </c>
      <c r="C37" s="392">
        <v>581615.17000000004</v>
      </c>
      <c r="D37" s="81">
        <v>-1753622.21</v>
      </c>
      <c r="E37" s="174"/>
      <c r="F37" s="174"/>
    </row>
    <row r="38" spans="1:12" ht="21" x14ac:dyDescent="0.35">
      <c r="A38" s="185" t="s">
        <v>44</v>
      </c>
      <c r="B38" s="404" t="s">
        <v>1002</v>
      </c>
      <c r="C38" s="81">
        <v>8722873.0899999999</v>
      </c>
      <c r="D38" s="81">
        <v>7247078.5</v>
      </c>
      <c r="E38" s="174"/>
      <c r="F38" s="174"/>
    </row>
    <row r="39" spans="1:12" ht="21" x14ac:dyDescent="0.35">
      <c r="A39" s="185" t="s">
        <v>702</v>
      </c>
      <c r="B39" s="404" t="s">
        <v>1003</v>
      </c>
      <c r="C39" s="81">
        <v>11306207.890000001</v>
      </c>
      <c r="D39" s="81">
        <v>12270199.310000001</v>
      </c>
      <c r="E39" s="174"/>
      <c r="F39" s="174"/>
    </row>
    <row r="40" spans="1:12" ht="16.5" customHeight="1" x14ac:dyDescent="0.35">
      <c r="A40" s="183"/>
      <c r="B40" s="24"/>
      <c r="C40" s="174"/>
      <c r="D40" s="27"/>
      <c r="E40" s="174"/>
      <c r="F40" s="174"/>
    </row>
    <row r="41" spans="1:12" ht="26.25" customHeight="1" x14ac:dyDescent="0.25">
      <c r="A41" s="432" t="s">
        <v>703</v>
      </c>
      <c r="B41" s="432"/>
      <c r="C41" s="433"/>
      <c r="D41" s="415" t="s">
        <v>1559</v>
      </c>
      <c r="E41" s="176"/>
      <c r="F41" s="176"/>
    </row>
    <row r="42" spans="1:12" ht="23.25" x14ac:dyDescent="0.35">
      <c r="A42" s="148"/>
      <c r="B42" s="434" t="s">
        <v>704</v>
      </c>
      <c r="C42" s="434"/>
      <c r="D42" s="23">
        <f>SUM('2.WS-ยา วชภฯ'!J3)</f>
        <v>2745346.91</v>
      </c>
      <c r="E42" s="146"/>
      <c r="F42" s="146"/>
    </row>
    <row r="43" spans="1:12" ht="23.25" x14ac:dyDescent="0.35">
      <c r="A43" s="148"/>
      <c r="B43" s="420" t="s">
        <v>705</v>
      </c>
      <c r="C43" s="420"/>
      <c r="D43" s="23">
        <f>SUM('2.WS-ยา วชภฯ'!J4)</f>
        <v>1047894.8599999999</v>
      </c>
      <c r="E43" s="146"/>
      <c r="F43" s="146"/>
    </row>
    <row r="44" spans="1:12" ht="26.25" customHeight="1" x14ac:dyDescent="0.35">
      <c r="A44" s="148"/>
      <c r="B44" s="420" t="s">
        <v>706</v>
      </c>
      <c r="C44" s="420"/>
      <c r="D44" s="23">
        <f>SUM('2.WS-ยา วชภฯ'!J5)</f>
        <v>1138775.83</v>
      </c>
      <c r="E44" s="146"/>
      <c r="F44" s="146"/>
    </row>
    <row r="45" spans="1:12" ht="26.25" customHeight="1" x14ac:dyDescent="0.35">
      <c r="A45" s="148"/>
      <c r="B45" s="435" t="s">
        <v>666</v>
      </c>
      <c r="C45" s="436"/>
      <c r="D45" s="23">
        <f>SUM(D42:D44)</f>
        <v>4932017.5999999996</v>
      </c>
      <c r="E45" s="146"/>
      <c r="F45" s="146"/>
    </row>
    <row r="46" spans="1:12" ht="23.25" customHeight="1" x14ac:dyDescent="0.35">
      <c r="A46" s="148"/>
      <c r="B46" s="146"/>
      <c r="C46" s="146"/>
      <c r="D46" s="26"/>
      <c r="E46" s="146"/>
      <c r="F46" s="146"/>
    </row>
    <row r="47" spans="1:12" ht="21" customHeight="1" x14ac:dyDescent="0.25">
      <c r="A47" s="176" t="s">
        <v>743</v>
      </c>
      <c r="C47" s="176"/>
      <c r="D47" s="415" t="s">
        <v>1559</v>
      </c>
      <c r="E47" s="176"/>
      <c r="F47" s="176"/>
    </row>
    <row r="48" spans="1:12" ht="23.25" x14ac:dyDescent="0.35">
      <c r="A48" s="148"/>
      <c r="B48" s="424" t="s">
        <v>624</v>
      </c>
      <c r="C48" s="424"/>
      <c r="D48" s="81">
        <f>SUM('3.WS-วัสดุอื่น'!G3)</f>
        <v>165341.31999999995</v>
      </c>
      <c r="E48" s="146"/>
      <c r="F48" s="146"/>
    </row>
    <row r="49" spans="1:8" ht="23.25" x14ac:dyDescent="0.35">
      <c r="A49" s="148"/>
      <c r="B49" s="424" t="s">
        <v>625</v>
      </c>
      <c r="C49" s="424"/>
      <c r="D49" s="81">
        <f>SUM('3.WS-วัสดุอื่น'!G4)</f>
        <v>133242.04999999999</v>
      </c>
      <c r="E49" s="146"/>
      <c r="F49" s="146"/>
    </row>
    <row r="50" spans="1:8" ht="23.25" x14ac:dyDescent="0.35">
      <c r="A50" s="148"/>
      <c r="B50" s="424" t="s">
        <v>626</v>
      </c>
      <c r="C50" s="424"/>
      <c r="D50" s="81">
        <f>SUM('3.WS-วัสดุอื่น'!G5)</f>
        <v>148107.6</v>
      </c>
      <c r="E50" s="146"/>
      <c r="F50" s="146"/>
      <c r="G50" s="177"/>
      <c r="H50" s="177"/>
    </row>
    <row r="51" spans="1:8" ht="23.25" x14ac:dyDescent="0.35">
      <c r="A51" s="148"/>
      <c r="B51" s="424" t="s">
        <v>627</v>
      </c>
      <c r="C51" s="424"/>
      <c r="D51" s="81">
        <f>SUM('3.WS-วัสดุอื่น'!G6)</f>
        <v>51074.400000000001</v>
      </c>
      <c r="G51" s="177"/>
      <c r="H51" s="177"/>
    </row>
    <row r="52" spans="1:8" ht="23.25" x14ac:dyDescent="0.35">
      <c r="A52" s="148"/>
      <c r="B52" s="424" t="s">
        <v>628</v>
      </c>
      <c r="C52" s="424"/>
      <c r="D52" s="81">
        <f>SUM('3.WS-วัสดุอื่น'!G7)</f>
        <v>18209</v>
      </c>
      <c r="G52" s="177"/>
      <c r="H52" s="177"/>
    </row>
    <row r="53" spans="1:8" ht="23.25" x14ac:dyDescent="0.35">
      <c r="A53" s="148"/>
      <c r="B53" s="424" t="s">
        <v>629</v>
      </c>
      <c r="C53" s="424"/>
      <c r="D53" s="81">
        <f>SUM('3.WS-วัสดุอื่น'!G8)</f>
        <v>228956.36</v>
      </c>
      <c r="G53" s="177"/>
      <c r="H53" s="177"/>
    </row>
    <row r="54" spans="1:8" ht="23.25" x14ac:dyDescent="0.35">
      <c r="A54" s="148"/>
      <c r="B54" s="424" t="s">
        <v>630</v>
      </c>
      <c r="C54" s="424"/>
      <c r="D54" s="81">
        <f>SUM('3.WS-วัสดุอื่น'!G9)</f>
        <v>306394.80000000005</v>
      </c>
      <c r="G54" s="177"/>
      <c r="H54" s="177"/>
    </row>
    <row r="55" spans="1:8" ht="23.25" x14ac:dyDescent="0.35">
      <c r="A55" s="148"/>
      <c r="B55" s="424" t="s">
        <v>631</v>
      </c>
      <c r="C55" s="424"/>
      <c r="D55" s="81">
        <f>SUM('3.WS-วัสดุอื่น'!G10)</f>
        <v>0</v>
      </c>
      <c r="G55" s="177"/>
      <c r="H55" s="177"/>
    </row>
    <row r="56" spans="1:8" ht="23.25" x14ac:dyDescent="0.35">
      <c r="A56" s="148"/>
      <c r="B56" s="424" t="s">
        <v>632</v>
      </c>
      <c r="C56" s="424"/>
      <c r="D56" s="81">
        <f>SUM('3.WS-วัสดุอื่น'!G11)</f>
        <v>67775</v>
      </c>
      <c r="G56" s="177"/>
      <c r="H56" s="177"/>
    </row>
    <row r="57" spans="1:8" ht="23.25" x14ac:dyDescent="0.35">
      <c r="A57" s="148"/>
      <c r="B57" s="424" t="s">
        <v>633</v>
      </c>
      <c r="C57" s="424"/>
      <c r="D57" s="81">
        <f>SUM('3.WS-วัสดุอื่น'!G12)</f>
        <v>556700</v>
      </c>
      <c r="G57" s="177"/>
      <c r="H57" s="177"/>
    </row>
    <row r="58" spans="1:8" ht="23.25" x14ac:dyDescent="0.35">
      <c r="A58" s="148"/>
      <c r="B58" s="424" t="s">
        <v>634</v>
      </c>
      <c r="C58" s="424"/>
      <c r="D58" s="81">
        <f>SUM('3.WS-วัสดุอื่น'!G13)</f>
        <v>31981.969999999972</v>
      </c>
      <c r="G58" s="177"/>
      <c r="H58" s="177"/>
    </row>
    <row r="59" spans="1:8" ht="23.25" x14ac:dyDescent="0.35">
      <c r="A59" s="148"/>
      <c r="B59" s="419" t="s">
        <v>666</v>
      </c>
      <c r="C59" s="419"/>
      <c r="D59" s="23">
        <f>SUM(D48:D58)</f>
        <v>1707782.5</v>
      </c>
      <c r="G59" s="177"/>
      <c r="H59" s="177"/>
    </row>
    <row r="60" spans="1:8" ht="28.5" customHeight="1" x14ac:dyDescent="0.35">
      <c r="A60" s="148"/>
      <c r="B60" s="178"/>
      <c r="C60" s="146"/>
      <c r="D60" s="27"/>
      <c r="E60" s="24"/>
      <c r="F60" s="24"/>
      <c r="G60" s="177"/>
      <c r="H60" s="177"/>
    </row>
    <row r="61" spans="1:8" ht="28.5" customHeight="1" x14ac:dyDescent="0.25">
      <c r="A61" s="422" t="s">
        <v>752</v>
      </c>
      <c r="B61" s="422"/>
      <c r="C61" s="422"/>
      <c r="D61" s="422"/>
      <c r="E61" s="176"/>
      <c r="F61" s="176"/>
      <c r="G61" s="177"/>
      <c r="H61" s="177"/>
    </row>
    <row r="62" spans="1:8" ht="23.25" x14ac:dyDescent="0.35">
      <c r="A62" s="148"/>
      <c r="B62" s="425" t="s">
        <v>1560</v>
      </c>
      <c r="C62" s="426"/>
      <c r="D62" s="415" t="s">
        <v>707</v>
      </c>
      <c r="E62" s="179"/>
      <c r="F62" s="179"/>
      <c r="G62" s="177"/>
      <c r="H62" s="177"/>
    </row>
    <row r="63" spans="1:8" ht="23.25" x14ac:dyDescent="0.35">
      <c r="A63" s="148"/>
      <c r="B63" s="418" t="s">
        <v>708</v>
      </c>
      <c r="C63" s="418"/>
      <c r="D63" s="81">
        <f>SUM('4.WS-แผน จน.'!E4)</f>
        <v>3801534.6249999995</v>
      </c>
      <c r="E63" s="24"/>
      <c r="F63" s="24"/>
      <c r="G63" s="177"/>
      <c r="H63" s="177"/>
    </row>
    <row r="64" spans="1:8" ht="23.25" x14ac:dyDescent="0.35">
      <c r="A64" s="148"/>
      <c r="B64" s="418" t="s">
        <v>709</v>
      </c>
      <c r="C64" s="418"/>
      <c r="D64" s="81">
        <f>SUM('4.WS-แผน จน.'!E5)</f>
        <v>1004633.3</v>
      </c>
      <c r="E64" s="24"/>
      <c r="F64" s="24"/>
      <c r="G64" s="177"/>
      <c r="H64" s="177"/>
    </row>
    <row r="65" spans="1:10" ht="23.25" x14ac:dyDescent="0.35">
      <c r="A65" s="148"/>
      <c r="B65" s="418" t="s">
        <v>710</v>
      </c>
      <c r="C65" s="418"/>
      <c r="D65" s="81">
        <f>SUM('4.WS-แผน จน.'!E6)</f>
        <v>1594799.3583333332</v>
      </c>
      <c r="E65" s="24"/>
      <c r="F65" s="24"/>
      <c r="G65" s="177"/>
      <c r="H65" s="177"/>
    </row>
    <row r="66" spans="1:10" ht="23.25" x14ac:dyDescent="0.35">
      <c r="A66" s="148"/>
      <c r="B66" s="418" t="s">
        <v>711</v>
      </c>
      <c r="C66" s="418"/>
      <c r="D66" s="81">
        <f>SUM('4.WS-แผน จน.'!E7)</f>
        <v>3923944.6333333338</v>
      </c>
      <c r="E66" s="24"/>
      <c r="F66" s="24"/>
      <c r="G66" s="177"/>
      <c r="H66" s="177"/>
    </row>
    <row r="67" spans="1:10" ht="23.25" x14ac:dyDescent="0.35">
      <c r="A67" s="148"/>
      <c r="B67" s="418" t="s">
        <v>712</v>
      </c>
      <c r="C67" s="418"/>
      <c r="D67" s="81">
        <f>SUM('4.WS-แผน จน.'!E13)</f>
        <v>2633500</v>
      </c>
      <c r="E67" s="24"/>
      <c r="F67" s="24"/>
      <c r="G67" s="177"/>
      <c r="H67" s="177"/>
    </row>
    <row r="68" spans="1:10" ht="23.25" x14ac:dyDescent="0.35">
      <c r="A68" s="148"/>
      <c r="B68" s="418" t="s">
        <v>713</v>
      </c>
      <c r="C68" s="418"/>
      <c r="D68" s="81">
        <f>SUM('4.WS-แผน จน.'!E14)</f>
        <v>2012650</v>
      </c>
      <c r="E68" s="24"/>
      <c r="F68" s="24"/>
      <c r="G68" s="177"/>
      <c r="H68" s="177"/>
    </row>
    <row r="69" spans="1:10" ht="23.25" x14ac:dyDescent="0.35">
      <c r="A69" s="148"/>
      <c r="B69" s="418" t="s">
        <v>807</v>
      </c>
      <c r="C69" s="418"/>
      <c r="D69" s="81">
        <f>SUM('4.WS-แผน จน.'!E15)</f>
        <v>1956265.6000000003</v>
      </c>
      <c r="E69" s="24"/>
      <c r="F69" s="24"/>
      <c r="G69" s="177"/>
      <c r="H69" s="177"/>
      <c r="I69" s="173"/>
      <c r="J69" s="173"/>
    </row>
    <row r="70" spans="1:10" ht="23.25" x14ac:dyDescent="0.35">
      <c r="A70" s="148"/>
      <c r="B70" s="418" t="s">
        <v>714</v>
      </c>
      <c r="C70" s="418"/>
      <c r="D70" s="81">
        <f>SUM('4.WS-แผน จน.'!E16)</f>
        <v>740947.70833333326</v>
      </c>
      <c r="E70" s="24"/>
      <c r="F70" s="24"/>
      <c r="G70" s="177"/>
      <c r="H70" s="177"/>
    </row>
    <row r="71" spans="1:10" ht="23.25" x14ac:dyDescent="0.35">
      <c r="A71" s="148"/>
      <c r="B71" s="419" t="s">
        <v>666</v>
      </c>
      <c r="C71" s="419"/>
      <c r="D71" s="23">
        <f>SUM(D63:D70)</f>
        <v>17668275.225000001</v>
      </c>
      <c r="E71" s="24"/>
      <c r="F71" s="24"/>
      <c r="G71" s="177"/>
      <c r="H71" s="177"/>
    </row>
    <row r="72" spans="1:10" ht="12.75" customHeight="1" x14ac:dyDescent="0.35">
      <c r="A72" s="148"/>
      <c r="B72" s="24"/>
      <c r="C72" s="146"/>
      <c r="D72" s="27"/>
      <c r="E72" s="24"/>
      <c r="F72" s="24"/>
      <c r="G72" s="177"/>
      <c r="H72" s="177"/>
    </row>
    <row r="73" spans="1:10" ht="24.75" customHeight="1" x14ac:dyDescent="0.35">
      <c r="A73" s="180" t="s">
        <v>753</v>
      </c>
      <c r="C73" s="180"/>
      <c r="D73" s="169"/>
      <c r="E73" s="180"/>
      <c r="F73" s="180"/>
      <c r="G73" s="177"/>
      <c r="H73" s="177"/>
    </row>
    <row r="74" spans="1:10" ht="27" customHeight="1" x14ac:dyDescent="0.35">
      <c r="A74" s="148"/>
      <c r="B74" s="423" t="s">
        <v>1561</v>
      </c>
      <c r="C74" s="423"/>
      <c r="D74" s="405" t="s">
        <v>707</v>
      </c>
      <c r="E74" s="24"/>
      <c r="F74" s="24"/>
      <c r="G74" s="177"/>
      <c r="H74" s="177"/>
    </row>
    <row r="75" spans="1:10" ht="23.25" customHeight="1" x14ac:dyDescent="0.35">
      <c r="A75" s="148"/>
      <c r="B75" s="417" t="s">
        <v>715</v>
      </c>
      <c r="C75" s="417"/>
      <c r="D75" s="81">
        <f>SUM('5.WS-แผน ลน.'!E4)</f>
        <v>51736.03</v>
      </c>
      <c r="E75" s="24"/>
      <c r="F75" s="24"/>
    </row>
    <row r="76" spans="1:10" ht="27" customHeight="1" x14ac:dyDescent="0.35">
      <c r="A76" s="148"/>
      <c r="B76" s="417" t="s">
        <v>716</v>
      </c>
      <c r="C76" s="417"/>
      <c r="D76" s="81">
        <f>SUM('5.WS-แผน ลน.'!E5)</f>
        <v>271902.87</v>
      </c>
      <c r="E76" s="24"/>
      <c r="F76" s="24"/>
    </row>
    <row r="77" spans="1:10" ht="26.25" customHeight="1" x14ac:dyDescent="0.35">
      <c r="A77" s="148"/>
      <c r="B77" s="417" t="s">
        <v>717</v>
      </c>
      <c r="C77" s="417"/>
      <c r="D77" s="81">
        <f>SUM('5.WS-แผน ลน.'!E6)</f>
        <v>286043.36</v>
      </c>
      <c r="E77" s="24"/>
      <c r="F77" s="24"/>
    </row>
    <row r="78" spans="1:10" ht="25.5" customHeight="1" x14ac:dyDescent="0.35">
      <c r="A78" s="148"/>
      <c r="B78" s="417" t="s">
        <v>718</v>
      </c>
      <c r="C78" s="417"/>
      <c r="D78" s="81">
        <f>SUM('5.WS-แผน ลน.'!E7)</f>
        <v>0</v>
      </c>
      <c r="E78" s="24"/>
      <c r="F78" s="24"/>
    </row>
    <row r="79" spans="1:10" ht="25.5" customHeight="1" x14ac:dyDescent="0.35">
      <c r="A79" s="148"/>
      <c r="B79" s="417" t="s">
        <v>719</v>
      </c>
      <c r="C79" s="417"/>
      <c r="D79" s="81">
        <f>SUM('5.WS-แผน ลน.'!E8)</f>
        <v>0</v>
      </c>
      <c r="E79" s="24"/>
      <c r="F79" s="24"/>
    </row>
    <row r="80" spans="1:10" ht="25.5" customHeight="1" x14ac:dyDescent="0.35">
      <c r="A80" s="148"/>
      <c r="B80" s="417" t="s">
        <v>720</v>
      </c>
      <c r="C80" s="417"/>
      <c r="D80" s="81">
        <f>SUM('5.WS-แผน ลน.'!E9)</f>
        <v>159832.66</v>
      </c>
      <c r="E80" s="24"/>
      <c r="F80" s="24"/>
    </row>
    <row r="81" spans="1:13" ht="24.75" customHeight="1" x14ac:dyDescent="0.35">
      <c r="A81" s="148"/>
      <c r="B81" s="417" t="s">
        <v>721</v>
      </c>
      <c r="C81" s="417"/>
      <c r="D81" s="81">
        <f>SUM('5.WS-แผน ลน.'!E10)</f>
        <v>0</v>
      </c>
      <c r="E81" s="146"/>
      <c r="F81" s="146"/>
    </row>
    <row r="82" spans="1:13" ht="23.25" customHeight="1" x14ac:dyDescent="0.35">
      <c r="A82" s="148"/>
      <c r="B82" s="419" t="s">
        <v>666</v>
      </c>
      <c r="C82" s="419"/>
      <c r="D82" s="23">
        <f>SUM(D75:D81)</f>
        <v>769514.92</v>
      </c>
      <c r="E82" s="24"/>
      <c r="F82" s="24"/>
      <c r="G82" s="177"/>
      <c r="H82" s="177"/>
    </row>
    <row r="83" spans="1:13" ht="27" customHeight="1" x14ac:dyDescent="0.35">
      <c r="A83" s="148"/>
      <c r="B83" s="24"/>
      <c r="C83" s="146"/>
      <c r="D83" s="27"/>
      <c r="E83" s="146"/>
      <c r="F83" s="146"/>
    </row>
    <row r="84" spans="1:13" ht="23.25" customHeight="1" x14ac:dyDescent="0.35">
      <c r="A84" s="180" t="s">
        <v>754</v>
      </c>
      <c r="C84" s="180"/>
      <c r="D84" s="195" t="s">
        <v>707</v>
      </c>
      <c r="E84" s="180"/>
      <c r="F84" s="180"/>
    </row>
    <row r="85" spans="1:13" ht="23.25" x14ac:dyDescent="0.35">
      <c r="A85" s="183"/>
      <c r="B85" s="417" t="s">
        <v>1562</v>
      </c>
      <c r="C85" s="417"/>
      <c r="D85" s="23">
        <f>SUM('6.WS-แผนลงทุน'!G4)</f>
        <v>565900</v>
      </c>
      <c r="E85" s="174"/>
      <c r="F85" s="174"/>
    </row>
    <row r="86" spans="1:13" ht="23.25" x14ac:dyDescent="0.35">
      <c r="A86" s="183"/>
      <c r="B86" s="417" t="s">
        <v>1563</v>
      </c>
      <c r="C86" s="417"/>
      <c r="D86" s="23">
        <f>SUM('6.WS-แผนลงทุน'!G5)</f>
        <v>3408386.55</v>
      </c>
      <c r="E86" s="174"/>
      <c r="F86" s="174"/>
      <c r="I86" s="177"/>
      <c r="J86" s="177"/>
      <c r="K86" s="177"/>
      <c r="L86" s="177"/>
      <c r="M86" s="177"/>
    </row>
    <row r="87" spans="1:13" ht="23.25" x14ac:dyDescent="0.35">
      <c r="A87" s="183"/>
      <c r="B87" s="417" t="s">
        <v>1564</v>
      </c>
      <c r="C87" s="417"/>
      <c r="D87" s="23">
        <f>SUM('6.WS-แผนลงทุน'!G6)</f>
        <v>8515200</v>
      </c>
      <c r="E87" s="174"/>
      <c r="F87" s="174"/>
      <c r="I87" s="177"/>
      <c r="J87" s="177"/>
      <c r="K87" s="177"/>
      <c r="L87" s="177"/>
      <c r="M87" s="177"/>
    </row>
    <row r="88" spans="1:13" ht="25.5" customHeight="1" x14ac:dyDescent="0.35">
      <c r="A88" s="148"/>
      <c r="B88" s="419" t="s">
        <v>666</v>
      </c>
      <c r="C88" s="419"/>
      <c r="D88" s="23">
        <f>SUM(D85:D87)</f>
        <v>12489486.550000001</v>
      </c>
      <c r="E88" s="146"/>
      <c r="F88" s="146"/>
      <c r="I88" s="177"/>
      <c r="J88" s="177"/>
      <c r="K88" s="177"/>
      <c r="L88" s="177"/>
      <c r="M88" s="177"/>
    </row>
    <row r="89" spans="1:13" ht="21.75" customHeight="1" x14ac:dyDescent="0.35">
      <c r="A89" s="148"/>
      <c r="B89" s="146"/>
      <c r="C89" s="146"/>
      <c r="D89" s="26"/>
      <c r="E89" s="146"/>
      <c r="F89" s="146"/>
      <c r="I89" s="177"/>
      <c r="J89" s="177"/>
      <c r="K89" s="177"/>
      <c r="L89" s="177"/>
      <c r="M89" s="177"/>
    </row>
    <row r="90" spans="1:13" ht="23.25" customHeight="1" x14ac:dyDescent="0.35">
      <c r="A90" s="148"/>
      <c r="B90" s="180" t="s">
        <v>755</v>
      </c>
      <c r="C90" s="180"/>
      <c r="D90" s="195" t="s">
        <v>707</v>
      </c>
      <c r="E90" s="180"/>
      <c r="F90" s="180"/>
    </row>
    <row r="91" spans="1:13" ht="23.25" x14ac:dyDescent="0.35">
      <c r="A91" s="183"/>
      <c r="B91" s="420" t="s">
        <v>794</v>
      </c>
      <c r="C91" s="420"/>
      <c r="D91" s="23">
        <f>SUM('7.WS-แผน รพ.สต.'!C13)</f>
        <v>2790000</v>
      </c>
      <c r="E91" s="24"/>
      <c r="F91" s="24"/>
    </row>
    <row r="92" spans="1:13" ht="23.25" x14ac:dyDescent="0.35">
      <c r="A92" s="183"/>
      <c r="B92" s="417" t="s">
        <v>791</v>
      </c>
      <c r="C92" s="417"/>
      <c r="D92" s="23">
        <f>SUM('7.WS-แผน รพ.สต.'!D13)</f>
        <v>3622320</v>
      </c>
      <c r="E92" s="24"/>
      <c r="F92" s="24"/>
    </row>
    <row r="93" spans="1:13" ht="23.25" x14ac:dyDescent="0.35">
      <c r="A93" s="183"/>
      <c r="B93" s="421" t="s">
        <v>789</v>
      </c>
      <c r="C93" s="421"/>
      <c r="D93" s="23">
        <f>SUM('7.WS-แผน รพ.สต.'!E13)</f>
        <v>1158392</v>
      </c>
      <c r="E93" s="24"/>
      <c r="F93" s="24"/>
    </row>
    <row r="94" spans="1:13" ht="21" x14ac:dyDescent="0.35">
      <c r="B94" s="421" t="s">
        <v>790</v>
      </c>
      <c r="C94" s="421"/>
      <c r="D94" s="23">
        <f>SUM('7.WS-แผน รพ.สต.'!F13)</f>
        <v>515000</v>
      </c>
    </row>
    <row r="95" spans="1:13" ht="21" x14ac:dyDescent="0.35">
      <c r="B95" s="419" t="s">
        <v>666</v>
      </c>
      <c r="C95" s="419"/>
      <c r="D95" s="23">
        <f>SUM(D91:D94)</f>
        <v>8085712</v>
      </c>
    </row>
  </sheetData>
  <mergeCells count="51">
    <mergeCell ref="F2:K2"/>
    <mergeCell ref="K33:L33"/>
    <mergeCell ref="K34:L34"/>
    <mergeCell ref="B52:C52"/>
    <mergeCell ref="A1:E1"/>
    <mergeCell ref="A2:E2"/>
    <mergeCell ref="A41:C41"/>
    <mergeCell ref="B42:C42"/>
    <mergeCell ref="B43:C43"/>
    <mergeCell ref="B44:C44"/>
    <mergeCell ref="B45:C45"/>
    <mergeCell ref="B48:C48"/>
    <mergeCell ref="B49:C49"/>
    <mergeCell ref="B50:C50"/>
    <mergeCell ref="B51:C51"/>
    <mergeCell ref="B58:C58"/>
    <mergeCell ref="B62:C62"/>
    <mergeCell ref="B59:C59"/>
    <mergeCell ref="B63:C63"/>
    <mergeCell ref="B64:C64"/>
    <mergeCell ref="B53:C53"/>
    <mergeCell ref="B54:C54"/>
    <mergeCell ref="B55:C55"/>
    <mergeCell ref="B56:C56"/>
    <mergeCell ref="B57:C57"/>
    <mergeCell ref="B77:C77"/>
    <mergeCell ref="B78:C78"/>
    <mergeCell ref="B66:C66"/>
    <mergeCell ref="A61:D61"/>
    <mergeCell ref="B65:C65"/>
    <mergeCell ref="B69:C69"/>
    <mergeCell ref="B70:C70"/>
    <mergeCell ref="B71:C71"/>
    <mergeCell ref="B74:C74"/>
    <mergeCell ref="B75:C75"/>
    <mergeCell ref="B79:C79"/>
    <mergeCell ref="B67:C67"/>
    <mergeCell ref="B68:C68"/>
    <mergeCell ref="B95:C95"/>
    <mergeCell ref="B80:C80"/>
    <mergeCell ref="B81:C81"/>
    <mergeCell ref="B82:C82"/>
    <mergeCell ref="B85:C85"/>
    <mergeCell ref="B86:C86"/>
    <mergeCell ref="B87:C87"/>
    <mergeCell ref="B88:C88"/>
    <mergeCell ref="B91:C91"/>
    <mergeCell ref="B92:C92"/>
    <mergeCell ref="B93:C93"/>
    <mergeCell ref="B94:C94"/>
    <mergeCell ref="B76:C76"/>
  </mergeCells>
  <conditionalFormatting sqref="C32">
    <cfRule type="containsText" dxfId="19" priority="5" operator="containsText" text="สมดุล">
      <formula>NOT(ISERROR(SEARCH("สมดุล",C32)))</formula>
    </cfRule>
    <cfRule type="containsText" dxfId="18" priority="6" operator="containsText" text="ขาดดุล">
      <formula>NOT(ISERROR(SEARCH("ขาดดุล",C32)))</formula>
    </cfRule>
    <cfRule type="containsText" dxfId="17" priority="7" operator="containsText" text="เกินดุล">
      <formula>NOT(ISERROR(SEARCH("เกินดุล",C32)))</formula>
    </cfRule>
  </conditionalFormatting>
  <conditionalFormatting sqref="J4:J30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J4:K30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43307086614173229" right="0.19685039370078741" top="0.27559055118110237" bottom="0.27559055118110237" header="0" footer="0"/>
  <pageSetup paperSize="9" scale="79" fitToHeight="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13" zoomScale="90" zoomScaleNormal="90" workbookViewId="0">
      <selection activeCell="G3" sqref="G3"/>
    </sheetView>
  </sheetViews>
  <sheetFormatPr defaultColWidth="9" defaultRowHeight="21" x14ac:dyDescent="0.35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1" customWidth="1"/>
    <col min="11" max="11" width="11.75" style="1" bestFit="1" customWidth="1"/>
    <col min="12" max="16384" width="9" style="1"/>
  </cols>
  <sheetData>
    <row r="1" spans="3:10" ht="30.75" x14ac:dyDescent="0.7">
      <c r="C1" s="44"/>
      <c r="D1" s="97" t="s">
        <v>742</v>
      </c>
      <c r="E1" s="437">
        <v>2561</v>
      </c>
      <c r="F1" s="438"/>
      <c r="G1" s="439"/>
    </row>
    <row r="2" spans="3:10" s="4" customFormat="1" ht="53.25" customHeight="1" x14ac:dyDescent="0.35">
      <c r="C2" s="45">
        <v>1</v>
      </c>
      <c r="D2" s="46" t="s">
        <v>637</v>
      </c>
      <c r="E2" s="5" t="s">
        <v>641</v>
      </c>
      <c r="F2" s="36" t="s">
        <v>643</v>
      </c>
      <c r="G2" s="51" t="s">
        <v>642</v>
      </c>
      <c r="J2" s="42"/>
    </row>
    <row r="3" spans="3:10" x14ac:dyDescent="0.35">
      <c r="C3" s="52">
        <v>41010</v>
      </c>
      <c r="D3" s="53" t="s">
        <v>1</v>
      </c>
      <c r="E3" s="33">
        <v>31442</v>
      </c>
      <c r="F3" s="6">
        <f>G3/E3</f>
        <v>494.5586435341263</v>
      </c>
      <c r="G3" s="54">
        <f>SUMIF('1.WS-Re-Exp'!$E$3:$E$599,Revenue!C3,'1.WS-Re-Exp'!$C$3:$C$599)</f>
        <v>15549912.869999999</v>
      </c>
    </row>
    <row r="4" spans="3:10" x14ac:dyDescent="0.35">
      <c r="C4" s="52">
        <v>41020</v>
      </c>
      <c r="D4" s="53" t="s">
        <v>5</v>
      </c>
      <c r="E4" s="34"/>
      <c r="F4" s="7" t="e">
        <f t="shared" ref="F4:F10" si="0">G4/E4</f>
        <v>#DIV/0!</v>
      </c>
      <c r="G4" s="55">
        <f>SUMIF('1.WS-Re-Exp'!$E$3:$E$599,Revenue!C4,'1.WS-Re-Exp'!$C$3:$C$599)</f>
        <v>0</v>
      </c>
      <c r="H4" s="1">
        <v>1</v>
      </c>
    </row>
    <row r="5" spans="3:10" x14ac:dyDescent="0.35">
      <c r="C5" s="52">
        <v>41030</v>
      </c>
      <c r="D5" s="53" t="s">
        <v>679</v>
      </c>
      <c r="E5" s="34">
        <v>136</v>
      </c>
      <c r="F5" s="7">
        <f t="shared" si="0"/>
        <v>1175.2401470588236</v>
      </c>
      <c r="G5" s="55">
        <v>159832.66</v>
      </c>
    </row>
    <row r="6" spans="3:10" x14ac:dyDescent="0.35">
      <c r="C6" s="52">
        <v>41040</v>
      </c>
      <c r="D6" s="53" t="s">
        <v>7</v>
      </c>
      <c r="E6" s="34">
        <v>1728</v>
      </c>
      <c r="F6" s="7">
        <f t="shared" si="0"/>
        <v>518.46265625000001</v>
      </c>
      <c r="G6" s="55">
        <f>SUMIF('1.WS-Re-Exp'!$E$3:$E$599,Revenue!C6,'1.WS-Re-Exp'!$C$3:$C$599)</f>
        <v>895903.47</v>
      </c>
    </row>
    <row r="7" spans="3:10" x14ac:dyDescent="0.35">
      <c r="C7" s="52">
        <v>41050</v>
      </c>
      <c r="D7" s="53" t="s">
        <v>9</v>
      </c>
      <c r="E7" s="34">
        <v>1405</v>
      </c>
      <c r="F7" s="7">
        <f t="shared" si="0"/>
        <v>214.46630604982204</v>
      </c>
      <c r="G7" s="55">
        <f>SUMIF('1.WS-Re-Exp'!$E$3:$E$599,Revenue!C7,'1.WS-Re-Exp'!$C$3:$C$599)</f>
        <v>301325.15999999997</v>
      </c>
    </row>
    <row r="8" spans="3:10" x14ac:dyDescent="0.35">
      <c r="C8" s="52">
        <v>41060</v>
      </c>
      <c r="D8" s="53" t="s">
        <v>11</v>
      </c>
      <c r="E8" s="34">
        <v>0</v>
      </c>
      <c r="F8" s="7" t="e">
        <f t="shared" si="0"/>
        <v>#DIV/0!</v>
      </c>
      <c r="G8" s="55">
        <f>SUMIF('1.WS-Re-Exp'!$E$3:$E$599,Revenue!C8,'1.WS-Re-Exp'!$C$3:$C$599)</f>
        <v>0</v>
      </c>
    </row>
    <row r="9" spans="3:10" x14ac:dyDescent="0.35">
      <c r="C9" s="52">
        <v>41070</v>
      </c>
      <c r="D9" s="53" t="s">
        <v>13</v>
      </c>
      <c r="E9" s="34">
        <v>1560</v>
      </c>
      <c r="F9" s="7">
        <f t="shared" si="0"/>
        <v>455.96709615384611</v>
      </c>
      <c r="G9" s="55">
        <f>SUMIF('1.WS-Re-Exp'!$E$3:$E$599,Revenue!C9,'1.WS-Re-Exp'!$C$3:$C$599)</f>
        <v>711308.66999999993</v>
      </c>
    </row>
    <row r="10" spans="3:10" x14ac:dyDescent="0.35">
      <c r="C10" s="52">
        <v>41111</v>
      </c>
      <c r="D10" s="18" t="s">
        <v>677</v>
      </c>
      <c r="E10" s="37">
        <f>SUM(E3:E9)</f>
        <v>36271</v>
      </c>
      <c r="F10" s="7">
        <f t="shared" si="0"/>
        <v>485.74020098701436</v>
      </c>
      <c r="G10" s="56">
        <f>SUM(G3:G9)</f>
        <v>17618282.829999998</v>
      </c>
    </row>
    <row r="11" spans="3:10" x14ac:dyDescent="0.35">
      <c r="C11" s="47">
        <v>2</v>
      </c>
      <c r="D11" s="48" t="s">
        <v>740</v>
      </c>
      <c r="E11" s="15" t="s">
        <v>792</v>
      </c>
      <c r="F11" s="38" t="s">
        <v>640</v>
      </c>
      <c r="G11" s="57" t="s">
        <v>741</v>
      </c>
    </row>
    <row r="12" spans="3:10" s="3" customFormat="1" x14ac:dyDescent="0.35">
      <c r="C12" s="52">
        <v>42010</v>
      </c>
      <c r="D12" s="356" t="s">
        <v>1</v>
      </c>
      <c r="E12" s="35">
        <v>360</v>
      </c>
      <c r="F12" s="62">
        <f>G12/E12</f>
        <v>4400</v>
      </c>
      <c r="G12" s="75">
        <f>SUMIF('1.WS-Re-Exp'!$E$3:$E$599,Revenue!C12,'1.WS-Re-Exp'!$C$3:$C$599)</f>
        <v>1584000</v>
      </c>
      <c r="J12" s="357"/>
    </row>
    <row r="13" spans="3:10" x14ac:dyDescent="0.35">
      <c r="C13" s="52">
        <v>42020</v>
      </c>
      <c r="D13" s="53" t="s">
        <v>5</v>
      </c>
      <c r="E13" s="35">
        <v>0</v>
      </c>
      <c r="F13" s="8" t="e">
        <f t="shared" ref="F13:F19" si="1">G13/E13</f>
        <v>#DIV/0!</v>
      </c>
      <c r="G13" s="55">
        <f>SUMIF('1.WS-Re-Exp'!$E$3:$E$599,Revenue!C13,'1.WS-Re-Exp'!$C$3:$C$599)</f>
        <v>0</v>
      </c>
      <c r="H13" s="1">
        <v>2</v>
      </c>
    </row>
    <row r="14" spans="3:10" x14ac:dyDescent="0.35">
      <c r="C14" s="52">
        <v>42030</v>
      </c>
      <c r="D14" s="53" t="s">
        <v>679</v>
      </c>
      <c r="E14" s="35">
        <v>0</v>
      </c>
      <c r="F14" s="8" t="e">
        <f t="shared" si="1"/>
        <v>#DIV/0!</v>
      </c>
      <c r="G14" s="55">
        <f>SUMIF('1.WS-Re-Exp'!$E$3:$E$599,Revenue!C14,'1.WS-Re-Exp'!$C$3:$C$599)</f>
        <v>0</v>
      </c>
    </row>
    <row r="15" spans="3:10" x14ac:dyDescent="0.35">
      <c r="C15" s="52">
        <v>42040</v>
      </c>
      <c r="D15" s="53" t="s">
        <v>7</v>
      </c>
      <c r="E15" s="35">
        <v>0</v>
      </c>
      <c r="F15" s="8" t="e">
        <f t="shared" si="1"/>
        <v>#DIV/0!</v>
      </c>
      <c r="G15" s="55">
        <f>SUMIF('1.WS-Re-Exp'!$E$3:$E$599,Revenue!C15,'1.WS-Re-Exp'!$C$3:$C$599)</f>
        <v>12000</v>
      </c>
    </row>
    <row r="16" spans="3:10" x14ac:dyDescent="0.35">
      <c r="C16" s="52">
        <v>42050</v>
      </c>
      <c r="D16" s="53" t="s">
        <v>9</v>
      </c>
      <c r="E16" s="35">
        <v>0</v>
      </c>
      <c r="F16" s="8" t="e">
        <f t="shared" si="1"/>
        <v>#DIV/0!</v>
      </c>
      <c r="G16" s="55">
        <f>SUMIF('1.WS-Re-Exp'!$E$3:$E$599,Revenue!C16,'1.WS-Re-Exp'!$C$3:$C$599)</f>
        <v>0</v>
      </c>
    </row>
    <row r="17" spans="3:11" x14ac:dyDescent="0.35">
      <c r="C17" s="52">
        <v>42060</v>
      </c>
      <c r="D17" s="53" t="s">
        <v>11</v>
      </c>
      <c r="E17" s="35">
        <v>0</v>
      </c>
      <c r="F17" s="8" t="e">
        <f t="shared" si="1"/>
        <v>#DIV/0!</v>
      </c>
      <c r="G17" s="55">
        <f>SUMIF('1.WS-Re-Exp'!$E$3:$E$599,Revenue!C17,'1.WS-Re-Exp'!$C$3:$C$599)</f>
        <v>0</v>
      </c>
    </row>
    <row r="18" spans="3:11" x14ac:dyDescent="0.35">
      <c r="C18" s="52">
        <v>42070</v>
      </c>
      <c r="D18" s="53" t="s">
        <v>13</v>
      </c>
      <c r="E18" s="35">
        <v>0</v>
      </c>
      <c r="F18" s="8" t="e">
        <f t="shared" si="1"/>
        <v>#DIV/0!</v>
      </c>
      <c r="G18" s="55">
        <f>SUMIF('1.WS-Re-Exp'!$E$3:$E$599,Revenue!C18,'1.WS-Re-Exp'!$C$3:$C$599)</f>
        <v>0</v>
      </c>
    </row>
    <row r="19" spans="3:11" x14ac:dyDescent="0.35">
      <c r="C19" s="52">
        <v>42222</v>
      </c>
      <c r="D19" s="18" t="s">
        <v>678</v>
      </c>
      <c r="E19" s="14">
        <f>SUM(E12:E18)</f>
        <v>360</v>
      </c>
      <c r="F19" s="8">
        <f t="shared" si="1"/>
        <v>4433.333333333333</v>
      </c>
      <c r="G19" s="56">
        <f>SUM(G12:G18)</f>
        <v>1596000</v>
      </c>
    </row>
    <row r="20" spans="3:11" x14ac:dyDescent="0.35">
      <c r="C20" s="47">
        <v>3</v>
      </c>
      <c r="D20" s="48" t="s">
        <v>664</v>
      </c>
      <c r="E20" s="9"/>
      <c r="F20" s="8"/>
      <c r="G20" s="55"/>
    </row>
    <row r="21" spans="3:11" x14ac:dyDescent="0.35">
      <c r="C21" s="52">
        <v>43010</v>
      </c>
      <c r="D21" s="53" t="s">
        <v>1</v>
      </c>
      <c r="E21" s="9"/>
      <c r="F21" s="8"/>
      <c r="G21" s="55">
        <f>SUMIF('1.WS-Re-Exp'!$E$3:$E$599,Revenue!C21,'1.WS-Re-Exp'!$C$3:$C$599)</f>
        <v>12686181.08</v>
      </c>
    </row>
    <row r="22" spans="3:11" x14ac:dyDescent="0.35">
      <c r="C22" s="52">
        <v>43020</v>
      </c>
      <c r="D22" s="58" t="s">
        <v>7</v>
      </c>
      <c r="E22" s="9"/>
      <c r="F22" s="8"/>
      <c r="G22" s="55">
        <f>SUMIF('1.WS-Re-Exp'!$E$3:$E$599,Revenue!C22,'1.WS-Re-Exp'!$C$3:$C$599)</f>
        <v>0</v>
      </c>
      <c r="H22" s="1">
        <v>3</v>
      </c>
    </row>
    <row r="23" spans="3:11" x14ac:dyDescent="0.35">
      <c r="C23" s="52">
        <v>43030</v>
      </c>
      <c r="D23" s="53" t="s">
        <v>9</v>
      </c>
      <c r="E23" s="9"/>
      <c r="F23" s="8"/>
      <c r="G23" s="55">
        <f>SUMIF('1.WS-Re-Exp'!$E$3:$E$599,Revenue!C23,'1.WS-Re-Exp'!$C$3:$C$599)</f>
        <v>7321.28</v>
      </c>
    </row>
    <row r="24" spans="3:11" x14ac:dyDescent="0.35">
      <c r="C24" s="52">
        <v>43040</v>
      </c>
      <c r="D24" s="53" t="s">
        <v>11</v>
      </c>
      <c r="E24" s="9"/>
      <c r="F24" s="8"/>
      <c r="G24" s="55">
        <f>SUMIF('1.WS-Re-Exp'!$E$3:$E$599,Revenue!C24,'1.WS-Re-Exp'!$C$3:$C$599)</f>
        <v>0</v>
      </c>
    </row>
    <row r="25" spans="3:11" x14ac:dyDescent="0.35">
      <c r="C25" s="52">
        <v>43050</v>
      </c>
      <c r="D25" s="53" t="s">
        <v>13</v>
      </c>
      <c r="E25" s="9"/>
      <c r="F25" s="8"/>
      <c r="G25" s="55">
        <f>SUMIF('1.WS-Re-Exp'!$E$3:$E$599,Revenue!C25,'1.WS-Re-Exp'!$C$3:$C$599)</f>
        <v>0</v>
      </c>
    </row>
    <row r="26" spans="3:11" ht="18" customHeight="1" x14ac:dyDescent="0.35">
      <c r="C26" s="52">
        <v>43060</v>
      </c>
      <c r="D26" s="53" t="s">
        <v>3</v>
      </c>
      <c r="E26" s="9"/>
      <c r="F26" s="8"/>
      <c r="G26" s="55">
        <f>SUMIF('1.WS-Re-Exp'!$E$3:$E$599,Revenue!C26,'1.WS-Re-Exp'!$C$3:$C$599)</f>
        <v>29250</v>
      </c>
    </row>
    <row r="27" spans="3:11" s="10" customFormat="1" x14ac:dyDescent="0.35">
      <c r="C27" s="59">
        <v>43333</v>
      </c>
      <c r="D27" s="60" t="s">
        <v>682</v>
      </c>
      <c r="E27" s="12"/>
      <c r="F27" s="13"/>
      <c r="G27" s="56">
        <f>SUM(G21:G26)</f>
        <v>12722752.359999999</v>
      </c>
      <c r="J27" s="11"/>
    </row>
    <row r="28" spans="3:11" x14ac:dyDescent="0.35">
      <c r="C28" s="47">
        <v>4</v>
      </c>
      <c r="D28" s="48" t="s">
        <v>749</v>
      </c>
      <c r="E28" s="8"/>
      <c r="F28" s="8"/>
      <c r="G28" s="61"/>
    </row>
    <row r="29" spans="3:11" x14ac:dyDescent="0.35">
      <c r="C29" s="52">
        <v>44010</v>
      </c>
      <c r="D29" s="104" t="s">
        <v>668</v>
      </c>
      <c r="E29" s="105"/>
      <c r="F29" s="106"/>
      <c r="G29" s="107">
        <f>SUMIF('1.WS-Re-Exp'!$E$3:$E$599,Revenue!C29,'1.WS-Re-Exp'!$C$3:$C$599)</f>
        <v>5435247.4000000004</v>
      </c>
      <c r="K29" s="43"/>
    </row>
    <row r="30" spans="3:11" x14ac:dyDescent="0.35">
      <c r="C30" s="52">
        <v>44020</v>
      </c>
      <c r="D30" s="104" t="s">
        <v>669</v>
      </c>
      <c r="E30" s="105"/>
      <c r="F30" s="106"/>
      <c r="G30" s="107">
        <f>SUMIF('1.WS-Re-Exp'!$E$3:$E$599,Revenue!C30,'1.WS-Re-Exp'!$C$3:$C$599)</f>
        <v>0</v>
      </c>
      <c r="K30" s="43"/>
    </row>
    <row r="31" spans="3:11" x14ac:dyDescent="0.35">
      <c r="C31" s="52">
        <v>44030</v>
      </c>
      <c r="D31" s="104" t="s">
        <v>670</v>
      </c>
      <c r="E31" s="105"/>
      <c r="F31" s="106"/>
      <c r="G31" s="107">
        <f>SUMIF('1.WS-Re-Exp'!$E$3:$E$599,Revenue!C31,'1.WS-Re-Exp'!$C$3:$C$599)</f>
        <v>0</v>
      </c>
      <c r="K31" s="43"/>
    </row>
    <row r="32" spans="3:11" x14ac:dyDescent="0.35">
      <c r="C32" s="52">
        <v>44040</v>
      </c>
      <c r="D32" s="104" t="s">
        <v>671</v>
      </c>
      <c r="E32" s="105"/>
      <c r="F32" s="106"/>
      <c r="G32" s="107">
        <f>SUMIF('1.WS-Re-Exp'!$E$3:$E$599,Revenue!C32,'1.WS-Re-Exp'!$C$3:$C$599)</f>
        <v>237.69</v>
      </c>
      <c r="K32" s="43"/>
    </row>
    <row r="33" spans="3:11" x14ac:dyDescent="0.35">
      <c r="C33" s="52">
        <v>44050</v>
      </c>
      <c r="D33" s="104" t="s">
        <v>672</v>
      </c>
      <c r="E33" s="105"/>
      <c r="F33" s="106"/>
      <c r="G33" s="107">
        <f>SUMIF('1.WS-Re-Exp'!$E$3:$E$599,Revenue!C33,'1.WS-Re-Exp'!$C$3:$C$599)</f>
        <v>0</v>
      </c>
      <c r="K33" s="43"/>
    </row>
    <row r="34" spans="3:11" x14ac:dyDescent="0.35">
      <c r="C34" s="52">
        <v>44444</v>
      </c>
      <c r="D34" s="108" t="s">
        <v>723</v>
      </c>
      <c r="E34" s="105"/>
      <c r="F34" s="106"/>
      <c r="G34" s="109">
        <f>SUM(G29:G33)</f>
        <v>5435485.0900000008</v>
      </c>
    </row>
    <row r="35" spans="3:11" x14ac:dyDescent="0.35">
      <c r="C35" s="49">
        <v>5</v>
      </c>
      <c r="D35" s="48" t="s">
        <v>744</v>
      </c>
      <c r="E35" s="9"/>
      <c r="F35" s="8"/>
      <c r="G35" s="55"/>
    </row>
    <row r="36" spans="3:11" x14ac:dyDescent="0.35">
      <c r="C36" s="52">
        <v>45010</v>
      </c>
      <c r="D36" s="106" t="s">
        <v>683</v>
      </c>
      <c r="E36" s="105"/>
      <c r="F36" s="106"/>
      <c r="G36" s="107">
        <f>SUM(G3,G12,G21,G29)</f>
        <v>35255341.349999994</v>
      </c>
      <c r="H36" s="1">
        <v>5</v>
      </c>
    </row>
    <row r="37" spans="3:11" x14ac:dyDescent="0.35">
      <c r="C37" s="52">
        <v>45020</v>
      </c>
      <c r="D37" s="106" t="s">
        <v>684</v>
      </c>
      <c r="E37" s="105"/>
      <c r="F37" s="106"/>
      <c r="G37" s="107">
        <f>SUM(G4,G13)</f>
        <v>0</v>
      </c>
    </row>
    <row r="38" spans="3:11" x14ac:dyDescent="0.35">
      <c r="C38" s="52">
        <v>45030</v>
      </c>
      <c r="D38" s="106" t="s">
        <v>679</v>
      </c>
      <c r="E38" s="105"/>
      <c r="F38" s="106"/>
      <c r="G38" s="107">
        <f>SUM(G5,G14,G31)</f>
        <v>159832.66</v>
      </c>
    </row>
    <row r="39" spans="3:11" x14ac:dyDescent="0.35">
      <c r="C39" s="52">
        <v>45040</v>
      </c>
      <c r="D39" s="106" t="s">
        <v>685</v>
      </c>
      <c r="E39" s="105"/>
      <c r="F39" s="106"/>
      <c r="G39" s="107">
        <f>SUM(G6,G15,G22,G30)</f>
        <v>907903.47</v>
      </c>
    </row>
    <row r="40" spans="3:11" x14ac:dyDescent="0.35">
      <c r="C40" s="52">
        <v>45050</v>
      </c>
      <c r="D40" s="106" t="s">
        <v>686</v>
      </c>
      <c r="E40" s="105"/>
      <c r="F40" s="106"/>
      <c r="G40" s="107">
        <f>SUM(G7,G16,G23,G32)</f>
        <v>308884.13</v>
      </c>
    </row>
    <row r="41" spans="3:11" x14ac:dyDescent="0.35">
      <c r="C41" s="52">
        <v>45060</v>
      </c>
      <c r="D41" s="106" t="s">
        <v>687</v>
      </c>
      <c r="E41" s="105"/>
      <c r="F41" s="106"/>
      <c r="G41" s="107">
        <f>SUM(G8,G17,G24,G33)</f>
        <v>0</v>
      </c>
    </row>
    <row r="42" spans="3:11" x14ac:dyDescent="0.35">
      <c r="C42" s="52">
        <v>45070</v>
      </c>
      <c r="D42" s="62" t="s">
        <v>13</v>
      </c>
      <c r="E42" s="9"/>
      <c r="F42" s="8"/>
      <c r="G42" s="55">
        <f>SUM(G9,G18,G25)</f>
        <v>711308.66999999993</v>
      </c>
    </row>
    <row r="43" spans="3:11" x14ac:dyDescent="0.35">
      <c r="C43" s="52">
        <v>45080</v>
      </c>
      <c r="D43" s="63" t="s">
        <v>3</v>
      </c>
      <c r="E43" s="9"/>
      <c r="F43" s="8"/>
      <c r="G43" s="55">
        <f>G26</f>
        <v>29250</v>
      </c>
    </row>
    <row r="44" spans="3:11" x14ac:dyDescent="0.35">
      <c r="C44" s="52">
        <v>45090</v>
      </c>
      <c r="D44" s="60" t="s">
        <v>688</v>
      </c>
      <c r="E44" s="9"/>
      <c r="F44" s="8"/>
      <c r="G44" s="56">
        <f>SUM(G36:G43)</f>
        <v>37372520.279999994</v>
      </c>
    </row>
    <row r="45" spans="3:11" s="2" customFormat="1" x14ac:dyDescent="0.35">
      <c r="C45" s="52">
        <v>45100</v>
      </c>
      <c r="D45" s="53" t="s">
        <v>15</v>
      </c>
      <c r="E45" s="17"/>
      <c r="F45" s="18"/>
      <c r="G45" s="64">
        <f>SUMIF('1.WS-Re-Exp'!$E$3:$E$599,Revenue!C45,'1.WS-Re-Exp'!$C$3:$C$599)</f>
        <v>5912678.8600000003</v>
      </c>
      <c r="J45" s="11"/>
    </row>
    <row r="46" spans="3:11" x14ac:dyDescent="0.35">
      <c r="C46" s="52">
        <v>45110</v>
      </c>
      <c r="D46" s="8" t="s">
        <v>17</v>
      </c>
      <c r="E46" s="9"/>
      <c r="F46" s="8"/>
      <c r="G46" s="55">
        <f>SUMIF('1.WS-Re-Exp'!$E$3:$E$599,Revenue!C46,'1.WS-Re-Exp'!$C$3:$C$599)</f>
        <v>1730518.1400000001</v>
      </c>
    </row>
    <row r="47" spans="3:11" x14ac:dyDescent="0.35">
      <c r="C47" s="52">
        <v>45555</v>
      </c>
      <c r="D47" s="18" t="s">
        <v>689</v>
      </c>
      <c r="E47" s="9"/>
      <c r="F47" s="8"/>
      <c r="G47" s="56">
        <f>SUM(G44:G46)</f>
        <v>45015717.279999994</v>
      </c>
    </row>
    <row r="48" spans="3:11" x14ac:dyDescent="0.35">
      <c r="C48" s="49">
        <v>6</v>
      </c>
      <c r="D48" s="50" t="s">
        <v>690</v>
      </c>
      <c r="E48" s="9"/>
      <c r="F48" s="8"/>
      <c r="G48" s="55"/>
    </row>
    <row r="49" spans="3:7" x14ac:dyDescent="0.35">
      <c r="C49" s="52">
        <v>46010</v>
      </c>
      <c r="D49" s="8" t="s">
        <v>673</v>
      </c>
      <c r="E49" s="9"/>
      <c r="F49" s="8"/>
      <c r="G49" s="55">
        <f>SUMIF('1.WS-Re-Exp'!$E$3:$E$599,Revenue!C49,'1.WS-Re-Exp'!$C$3:$C$599)</f>
        <v>0</v>
      </c>
    </row>
    <row r="50" spans="3:7" x14ac:dyDescent="0.35">
      <c r="C50" s="52">
        <v>46020</v>
      </c>
      <c r="D50" s="8" t="s">
        <v>674</v>
      </c>
      <c r="E50" s="9"/>
      <c r="F50" s="8"/>
      <c r="G50" s="55">
        <f>SUMIF('1.WS-Re-Exp'!$E$3:$E$599,Revenue!C50,'1.WS-Re-Exp'!$C$3:$C$599)</f>
        <v>3081926.94</v>
      </c>
    </row>
    <row r="51" spans="3:7" x14ac:dyDescent="0.35">
      <c r="C51" s="52">
        <v>46030</v>
      </c>
      <c r="D51" s="8" t="s">
        <v>675</v>
      </c>
      <c r="E51" s="9"/>
      <c r="F51" s="8"/>
      <c r="G51" s="55">
        <f>SUMIF('1.WS-Re-Exp'!$E$3:$E$599,Revenue!C51,'1.WS-Re-Exp'!$C$3:$C$599)</f>
        <v>0</v>
      </c>
    </row>
    <row r="52" spans="3:7" ht="21.75" thickBot="1" x14ac:dyDescent="0.4">
      <c r="C52" s="65" t="s">
        <v>725</v>
      </c>
      <c r="D52" s="13" t="s">
        <v>676</v>
      </c>
      <c r="E52" s="8"/>
      <c r="F52" s="8"/>
      <c r="G52" s="66">
        <f>SUM(G47,G49:G51)</f>
        <v>48097644.219999991</v>
      </c>
    </row>
    <row r="53" spans="3:7" ht="21.75" thickBot="1" x14ac:dyDescent="0.4">
      <c r="C53" s="67"/>
      <c r="D53" s="68"/>
      <c r="E53" s="68"/>
      <c r="F53" s="68"/>
      <c r="G53" s="69"/>
    </row>
    <row r="55" spans="3:7" x14ac:dyDescent="0.35">
      <c r="E55" s="10" t="s">
        <v>750</v>
      </c>
    </row>
    <row r="56" spans="3:7" x14ac:dyDescent="0.35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topLeftCell="A22" zoomScaleNormal="100" workbookViewId="0">
      <selection activeCell="A10" sqref="A10:XFD10"/>
    </sheetView>
  </sheetViews>
  <sheetFormatPr defaultColWidth="9" defaultRowHeight="18.75" x14ac:dyDescent="0.3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35">
      <c r="C1" s="440" t="s">
        <v>805</v>
      </c>
      <c r="D1" s="441"/>
      <c r="E1" s="118" t="s">
        <v>1667</v>
      </c>
      <c r="F1" s="71"/>
    </row>
    <row r="2" spans="3:6" s="16" customFormat="1" ht="21" x14ac:dyDescent="0.2">
      <c r="C2" s="119">
        <v>1</v>
      </c>
      <c r="D2" s="112" t="s">
        <v>639</v>
      </c>
      <c r="E2" s="120" t="s">
        <v>665</v>
      </c>
      <c r="F2" s="111" t="s">
        <v>739</v>
      </c>
    </row>
    <row r="3" spans="3:6" x14ac:dyDescent="0.3">
      <c r="C3" s="121">
        <v>51010</v>
      </c>
      <c r="D3" s="113" t="s">
        <v>221</v>
      </c>
      <c r="E3" s="122">
        <f>SUMIF('1.WS-Re-Exp'!$E$3:$E$599,Expense!C3,'1.WS-Re-Exp'!$C$3:$C$599)</f>
        <v>3869684.9</v>
      </c>
      <c r="F3" s="72"/>
    </row>
    <row r="4" spans="3:6" x14ac:dyDescent="0.3">
      <c r="C4" s="121">
        <v>51020</v>
      </c>
      <c r="D4" s="113" t="s">
        <v>223</v>
      </c>
      <c r="E4" s="122">
        <f>SUMIF('1.WS-Re-Exp'!$E$3:$E$599,Expense!C4,'1.WS-Re-Exp'!$C$3:$C$599)</f>
        <v>369428.41000000003</v>
      </c>
      <c r="F4" s="72"/>
    </row>
    <row r="5" spans="3:6" x14ac:dyDescent="0.3">
      <c r="C5" s="121">
        <v>51030</v>
      </c>
      <c r="D5" s="113" t="s">
        <v>644</v>
      </c>
      <c r="E5" s="122">
        <f>SUMIF('1.WS-Re-Exp'!$E$3:$E$599,Expense!C5,'1.WS-Re-Exp'!$C$3:$C$599)</f>
        <v>637005</v>
      </c>
      <c r="F5" s="72"/>
    </row>
    <row r="6" spans="3:6" x14ac:dyDescent="0.3">
      <c r="C6" s="121">
        <v>51040</v>
      </c>
      <c r="D6" s="113" t="s">
        <v>645</v>
      </c>
      <c r="E6" s="122">
        <f>SUMIF('1.WS-Re-Exp'!$E$3:$E$599,Expense!C6,'1.WS-Re-Exp'!$C$3:$C$599)</f>
        <v>2712607.6999999997</v>
      </c>
      <c r="F6" s="72"/>
    </row>
    <row r="7" spans="3:6" x14ac:dyDescent="0.3">
      <c r="C7" s="121">
        <v>51050</v>
      </c>
      <c r="D7" s="113" t="s">
        <v>226</v>
      </c>
      <c r="E7" s="122">
        <f>SUMIF('1.WS-Re-Exp'!$E$3:$E$599,Expense!C7,'1.WS-Re-Exp'!$C$3:$C$599)</f>
        <v>154243.07</v>
      </c>
      <c r="F7" s="72"/>
    </row>
    <row r="8" spans="3:6" x14ac:dyDescent="0.3">
      <c r="C8" s="121">
        <v>51060</v>
      </c>
      <c r="D8" s="113" t="s">
        <v>646</v>
      </c>
      <c r="E8" s="122">
        <f>SUMIF('1.WS-Re-Exp'!$E$3:$E$599,Expense!C8,'1.WS-Re-Exp'!$C$3:$C$599)</f>
        <v>1713901.87</v>
      </c>
      <c r="F8" s="72"/>
    </row>
    <row r="9" spans="3:6" x14ac:dyDescent="0.3">
      <c r="C9" s="121">
        <v>51070</v>
      </c>
      <c r="D9" s="113" t="s">
        <v>647</v>
      </c>
      <c r="E9" s="122">
        <f>SUMIF('1.WS-Re-Exp'!$E$3:$E$599,Expense!C9,'1.WS-Re-Exp'!$C$3:$C$599)</f>
        <v>4958524</v>
      </c>
      <c r="F9" s="72"/>
    </row>
    <row r="10" spans="3:6" x14ac:dyDescent="0.3">
      <c r="C10" s="121">
        <v>51080</v>
      </c>
      <c r="D10" s="113" t="s">
        <v>648</v>
      </c>
      <c r="E10" s="122">
        <f>SUMIF('1.WS-Re-Exp'!$E$3:$E$599,Expense!C10,'1.WS-Re-Exp'!$C$3:$C$599)</f>
        <v>728480</v>
      </c>
      <c r="F10" s="72"/>
    </row>
    <row r="11" spans="3:6" x14ac:dyDescent="0.3">
      <c r="C11" s="121">
        <v>51090</v>
      </c>
      <c r="D11" s="113" t="s">
        <v>372</v>
      </c>
      <c r="E11" s="123">
        <f>SUMIF('1.WS-Re-Exp'!$E$3:$E$599,Expense!C11,'1.WS-Re-Exp'!$C$3:$C$599)</f>
        <v>546722.32000000007</v>
      </c>
      <c r="F11" s="64"/>
    </row>
    <row r="12" spans="3:6" x14ac:dyDescent="0.3">
      <c r="C12" s="121">
        <v>51100</v>
      </c>
      <c r="D12" s="113" t="s">
        <v>649</v>
      </c>
      <c r="E12" s="123">
        <f>SUMIF('1.WS-Re-Exp'!$E$3:$E$599,Expense!C12,'1.WS-Re-Exp'!$C$3:$C$599)</f>
        <v>0</v>
      </c>
      <c r="F12" s="64"/>
    </row>
    <row r="13" spans="3:6" x14ac:dyDescent="0.3">
      <c r="C13" s="121">
        <v>51110</v>
      </c>
      <c r="D13" s="113" t="s">
        <v>650</v>
      </c>
      <c r="E13" s="123">
        <f>SUMIF('1.WS-Re-Exp'!$E$3:$E$599,Expense!C13,'1.WS-Re-Exp'!$C$3:$C$599)</f>
        <v>336452.28</v>
      </c>
      <c r="F13" s="64"/>
    </row>
    <row r="14" spans="3:6" x14ac:dyDescent="0.3">
      <c r="C14" s="121">
        <v>51120</v>
      </c>
      <c r="D14" s="113" t="s">
        <v>651</v>
      </c>
      <c r="E14" s="123">
        <f>SUMIF('1.WS-Re-Exp'!$E$3:$E$599,Expense!C14,'1.WS-Re-Exp'!$C$3:$C$599)</f>
        <v>97450</v>
      </c>
      <c r="F14" s="64"/>
    </row>
    <row r="15" spans="3:6" x14ac:dyDescent="0.3">
      <c r="C15" s="121">
        <v>51130</v>
      </c>
      <c r="D15" s="113" t="s">
        <v>652</v>
      </c>
      <c r="E15" s="123">
        <f>SUMIF('1.WS-Re-Exp'!$E$3:$E$599,Expense!C15,'1.WS-Re-Exp'!$C$3:$C$599)</f>
        <v>562104.02</v>
      </c>
      <c r="F15" s="64"/>
    </row>
    <row r="16" spans="3:6" x14ac:dyDescent="0.3">
      <c r="C16" s="121">
        <v>51140</v>
      </c>
      <c r="D16" s="113" t="s">
        <v>653</v>
      </c>
      <c r="E16" s="123">
        <f>SUMIF('1.WS-Re-Exp'!$E$3:$E$599,Expense!C16,'1.WS-Re-Exp'!$C$3:$C$599)</f>
        <v>155510</v>
      </c>
      <c r="F16" s="64"/>
    </row>
    <row r="17" spans="2:6" ht="24" thickBot="1" x14ac:dyDescent="0.4">
      <c r="C17" s="124">
        <v>51111</v>
      </c>
      <c r="D17" s="110" t="s">
        <v>666</v>
      </c>
      <c r="E17" s="125">
        <f>SUM(E3:E16)</f>
        <v>16842113.57</v>
      </c>
      <c r="F17" s="73">
        <f>SUM(F3:F16)</f>
        <v>0</v>
      </c>
    </row>
    <row r="18" spans="2:6" ht="21" x14ac:dyDescent="0.35">
      <c r="C18" s="126">
        <v>2</v>
      </c>
      <c r="D18" s="114" t="s">
        <v>638</v>
      </c>
      <c r="E18" s="125"/>
      <c r="F18" s="74"/>
    </row>
    <row r="19" spans="2:6" ht="21" x14ac:dyDescent="0.35">
      <c r="B19" s="30"/>
      <c r="C19" s="121">
        <v>52010</v>
      </c>
      <c r="D19" s="113" t="s">
        <v>26</v>
      </c>
      <c r="E19" s="123">
        <f>SUMIF('1.WS-Re-Exp'!$E$3:$E$599,Expense!C19,'1.WS-Re-Exp'!$C$3:$C$599)</f>
        <v>5912678.8600000003</v>
      </c>
      <c r="F19" s="75"/>
    </row>
    <row r="20" spans="2:6" x14ac:dyDescent="0.3">
      <c r="C20" s="121">
        <v>52020</v>
      </c>
      <c r="D20" s="113" t="s">
        <v>654</v>
      </c>
      <c r="E20" s="123">
        <f>SUMIF('1.WS-Re-Exp'!$E$3:$E$599,Expense!C20,'1.WS-Re-Exp'!$C$3:$C$599)</f>
        <v>193404</v>
      </c>
      <c r="F20" s="75"/>
    </row>
    <row r="21" spans="2:6" x14ac:dyDescent="0.3">
      <c r="C21" s="121">
        <v>52030</v>
      </c>
      <c r="D21" s="113" t="s">
        <v>28</v>
      </c>
      <c r="E21" s="123">
        <f>SUMIF('1.WS-Re-Exp'!$E$3:$E$599,Expense!C21,'1.WS-Re-Exp'!$C$3:$C$599)</f>
        <v>3129279</v>
      </c>
      <c r="F21" s="75"/>
    </row>
    <row r="22" spans="2:6" x14ac:dyDescent="0.3">
      <c r="C22" s="121">
        <v>52040</v>
      </c>
      <c r="D22" s="113" t="s">
        <v>655</v>
      </c>
      <c r="E22" s="123">
        <f>SUMIF('1.WS-Re-Exp'!$E$3:$E$599,Expense!C22,'1.WS-Re-Exp'!$C$3:$C$599)</f>
        <v>0</v>
      </c>
      <c r="F22" s="75"/>
    </row>
    <row r="23" spans="2:6" x14ac:dyDescent="0.3">
      <c r="C23" s="127">
        <v>52050</v>
      </c>
      <c r="D23" s="115" t="s">
        <v>656</v>
      </c>
      <c r="E23" s="125">
        <f>SUM(E19:E22)</f>
        <v>9235361.8599999994</v>
      </c>
      <c r="F23" s="74">
        <f>SUM(F19:F22)</f>
        <v>0</v>
      </c>
    </row>
    <row r="24" spans="2:6" x14ac:dyDescent="0.3">
      <c r="C24" s="121">
        <v>52060</v>
      </c>
      <c r="D24" s="113" t="s">
        <v>657</v>
      </c>
      <c r="E24" s="123">
        <f>SUMIF('1.WS-Re-Exp'!$E$3:$E$599,Expense!C24,'1.WS-Re-Exp'!$C$3:$C$599)</f>
        <v>781290.9</v>
      </c>
      <c r="F24" s="75"/>
    </row>
    <row r="25" spans="2:6" ht="21" x14ac:dyDescent="0.35">
      <c r="C25" s="121">
        <v>52070</v>
      </c>
      <c r="D25" s="113" t="s">
        <v>658</v>
      </c>
      <c r="E25" s="128">
        <f>SUMIF('1.WS-Re-Exp'!$E$3:$E$599,Expense!C25,'1.WS-Re-Exp'!$C$3:$C$599)</f>
        <v>702000</v>
      </c>
      <c r="F25" s="76"/>
    </row>
    <row r="26" spans="2:6" x14ac:dyDescent="0.3">
      <c r="C26" s="121">
        <v>52080</v>
      </c>
      <c r="D26" s="113" t="s">
        <v>691</v>
      </c>
      <c r="E26" s="123">
        <f>SUMIF('1.WS-Re-Exp'!$E$3:$E$599,Expense!C26,'1.WS-Re-Exp'!$C$3:$C$599)</f>
        <v>1618800</v>
      </c>
      <c r="F26" s="75"/>
    </row>
    <row r="27" spans="2:6" x14ac:dyDescent="0.3">
      <c r="C27" s="121">
        <v>52090</v>
      </c>
      <c r="D27" s="113" t="s">
        <v>692</v>
      </c>
      <c r="E27" s="123">
        <f>SUMIF('1.WS-Re-Exp'!$E$3:$E$599,Expense!C27,'1.WS-Re-Exp'!$C$3:$C$599)</f>
        <v>0</v>
      </c>
      <c r="F27" s="75"/>
    </row>
    <row r="28" spans="2:6" x14ac:dyDescent="0.3">
      <c r="C28" s="121">
        <v>52100</v>
      </c>
      <c r="D28" s="113" t="s">
        <v>663</v>
      </c>
      <c r="E28" s="409">
        <f>SUMIF('1.WS-Re-Exp'!$E$3:$E$599,Expense!C28,'1.WS-Re-Exp'!$C$3:$C$599)</f>
        <v>868600</v>
      </c>
      <c r="F28" s="77"/>
    </row>
    <row r="29" spans="2:6" s="10" customFormat="1" ht="21" x14ac:dyDescent="0.35">
      <c r="C29" s="129">
        <v>52222</v>
      </c>
      <c r="D29" s="116" t="s">
        <v>667</v>
      </c>
      <c r="E29" s="130">
        <f>SUM(E23,E24,E25,E26,E27,E28)</f>
        <v>13206052.76</v>
      </c>
      <c r="F29" s="76">
        <f>SUM(F23,F24,F25,F26,F27,F28)</f>
        <v>0</v>
      </c>
    </row>
    <row r="30" spans="2:6" s="10" customFormat="1" ht="21" x14ac:dyDescent="0.35">
      <c r="C30" s="126">
        <v>3</v>
      </c>
      <c r="D30" s="114" t="s">
        <v>664</v>
      </c>
      <c r="E30" s="130"/>
      <c r="F30" s="76"/>
    </row>
    <row r="31" spans="2:6" x14ac:dyDescent="0.3">
      <c r="C31" s="121">
        <v>53010</v>
      </c>
      <c r="D31" s="113" t="s">
        <v>662</v>
      </c>
      <c r="E31" s="123">
        <f>SUMIF('1.WS-Re-Exp'!$E$3:$E$599,Expense!C31,'1.WS-Re-Exp'!$C$3:$C$599)</f>
        <v>159832.66</v>
      </c>
      <c r="F31" s="77"/>
    </row>
    <row r="32" spans="2:6" ht="21" x14ac:dyDescent="0.35">
      <c r="C32" s="121">
        <v>53020</v>
      </c>
      <c r="D32" s="113" t="s">
        <v>659</v>
      </c>
      <c r="E32" s="123">
        <f>SUMIF('1.WS-Re-Exp'!$E$3:$E$599,Expense!C32,'1.WS-Re-Exp'!$C$3:$C$599)</f>
        <v>411360.55</v>
      </c>
      <c r="F32" s="76"/>
    </row>
    <row r="33" spans="3:7" x14ac:dyDescent="0.3">
      <c r="C33" s="121">
        <v>53030</v>
      </c>
      <c r="D33" s="113" t="s">
        <v>660</v>
      </c>
      <c r="E33" s="123">
        <f>SUMIF('1.WS-Re-Exp'!$E$3:$E$599,Expense!C33,'1.WS-Re-Exp'!$C$3:$C$599)</f>
        <v>1602732.7299999997</v>
      </c>
      <c r="F33" s="77"/>
    </row>
    <row r="34" spans="3:7" x14ac:dyDescent="0.3">
      <c r="C34" s="121">
        <v>53040</v>
      </c>
      <c r="D34" s="113" t="s">
        <v>680</v>
      </c>
      <c r="E34" s="123">
        <f>SUMIF('1.WS-Re-Exp'!$E$3:$E$599,Expense!C34,'1.WS-Re-Exp'!$C$3:$C$599)</f>
        <v>3648475.56</v>
      </c>
      <c r="F34" s="77"/>
    </row>
    <row r="35" spans="3:7" x14ac:dyDescent="0.3">
      <c r="C35" s="121">
        <v>53050</v>
      </c>
      <c r="D35" s="117" t="s">
        <v>681</v>
      </c>
      <c r="E35" s="123">
        <f>SUMIF('1.WS-Re-Exp'!$E$3:$E$599,Expense!C35,'1.WS-Re-Exp'!$C$3:$C$599)</f>
        <v>90</v>
      </c>
      <c r="F35" s="77"/>
    </row>
    <row r="36" spans="3:7" x14ac:dyDescent="0.3">
      <c r="C36" s="121">
        <v>53060</v>
      </c>
      <c r="D36" s="113" t="s">
        <v>661</v>
      </c>
      <c r="E36" s="123">
        <f>SUMIF('1.WS-Re-Exp'!$E$3:$E$599,Expense!C36,'1.WS-Re-Exp'!$C$3:$C$599)</f>
        <v>0</v>
      </c>
      <c r="F36" s="77"/>
    </row>
    <row r="37" spans="3:7" ht="21" x14ac:dyDescent="0.35">
      <c r="C37" s="121" t="s">
        <v>726</v>
      </c>
      <c r="D37" s="115" t="s">
        <v>722</v>
      </c>
      <c r="E37" s="130">
        <f>SUM(E17,E29,E31:E36)</f>
        <v>35870657.829999998</v>
      </c>
      <c r="F37" s="78">
        <f>SUM(F17,F29,F31:F36)</f>
        <v>0</v>
      </c>
    </row>
    <row r="38" spans="3:7" s="10" customFormat="1" ht="21" x14ac:dyDescent="0.35">
      <c r="C38" s="129">
        <v>61000</v>
      </c>
      <c r="D38" s="116" t="s">
        <v>727</v>
      </c>
      <c r="E38" s="131">
        <f>Revenue!G52-Expense!E37</f>
        <v>12226986.389999993</v>
      </c>
      <c r="F38" s="79"/>
    </row>
    <row r="39" spans="3:7" s="10" customFormat="1" ht="21" x14ac:dyDescent="0.35">
      <c r="C39" s="129">
        <v>62000</v>
      </c>
      <c r="D39" s="116" t="s">
        <v>793</v>
      </c>
      <c r="E39" s="131">
        <f>Revenue!G47-Expense!E37+E32+E33+E36</f>
        <v>11159152.729999997</v>
      </c>
      <c r="F39" s="80"/>
      <c r="G39" s="11"/>
    </row>
    <row r="40" spans="3:7" ht="19.5" thickBot="1" x14ac:dyDescent="0.35">
      <c r="C40" s="132"/>
      <c r="D40" s="133"/>
      <c r="E40" s="134"/>
      <c r="F40" s="69"/>
    </row>
    <row r="41" spans="3:7" x14ac:dyDescent="0.3">
      <c r="D41" s="2"/>
    </row>
    <row r="42" spans="3:7" ht="21" x14ac:dyDescent="0.35">
      <c r="D42" s="70"/>
      <c r="E42" s="10" t="s">
        <v>750</v>
      </c>
    </row>
    <row r="43" spans="3:7" x14ac:dyDescent="0.3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D2" sqref="D2:D28"/>
    </sheetView>
  </sheetViews>
  <sheetFormatPr defaultRowHeight="14.25" x14ac:dyDescent="0.2"/>
  <cols>
    <col min="3" max="3" width="39.75" bestFit="1" customWidth="1"/>
    <col min="4" max="4" width="14.25" style="98" bestFit="1" customWidth="1"/>
    <col min="5" max="5" width="12.5" style="98" bestFit="1" customWidth="1"/>
    <col min="6" max="6" width="17.375" style="98" customWidth="1"/>
    <col min="7" max="7" width="15.25" style="288" bestFit="1" customWidth="1"/>
    <col min="8" max="8" width="12.75" customWidth="1"/>
    <col min="9" max="9" width="14.25" bestFit="1" customWidth="1"/>
  </cols>
  <sheetData>
    <row r="1" spans="1:9" x14ac:dyDescent="0.2">
      <c r="A1" s="293" t="s">
        <v>1671</v>
      </c>
      <c r="B1" s="293" t="s">
        <v>1672</v>
      </c>
      <c r="C1" s="293" t="s">
        <v>1673</v>
      </c>
      <c r="D1" s="293" t="s">
        <v>665</v>
      </c>
      <c r="E1" s="293" t="s">
        <v>1674</v>
      </c>
      <c r="F1" s="293" t="s">
        <v>1675</v>
      </c>
      <c r="G1" s="294" t="s">
        <v>1677</v>
      </c>
      <c r="H1" s="293" t="s">
        <v>1678</v>
      </c>
      <c r="I1" s="293" t="s">
        <v>1679</v>
      </c>
    </row>
    <row r="2" spans="1:9" x14ac:dyDescent="0.2">
      <c r="A2">
        <v>1</v>
      </c>
      <c r="B2" t="s">
        <v>0</v>
      </c>
      <c r="C2" t="s">
        <v>1</v>
      </c>
      <c r="D2" s="290">
        <v>38071383.369999997</v>
      </c>
      <c r="E2" s="290">
        <v>1924.4294148398562</v>
      </c>
      <c r="F2" s="290">
        <v>23701220.310802702</v>
      </c>
      <c r="G2" s="291">
        <v>10487836.9036339</v>
      </c>
      <c r="H2" s="292">
        <v>2</v>
      </c>
      <c r="I2" s="164">
        <f>SUM(F2:G2)</f>
        <v>34189057.214436606</v>
      </c>
    </row>
    <row r="3" spans="1:9" x14ac:dyDescent="0.2">
      <c r="A3">
        <v>2</v>
      </c>
      <c r="B3" t="s">
        <v>2</v>
      </c>
      <c r="C3" t="s">
        <v>3</v>
      </c>
      <c r="D3" s="290">
        <v>29250</v>
      </c>
      <c r="E3" s="290" t="e">
        <v>#DIV/0!</v>
      </c>
      <c r="F3" s="290">
        <v>47254.774776026999</v>
      </c>
      <c r="G3" s="291">
        <v>70084.529303011994</v>
      </c>
      <c r="H3" s="292">
        <v>0</v>
      </c>
      <c r="I3" s="164">
        <f>SUM(F3:G3)</f>
        <v>117339.30407903899</v>
      </c>
    </row>
    <row r="4" spans="1:9" x14ac:dyDescent="0.2">
      <c r="A4">
        <v>3</v>
      </c>
      <c r="B4" t="s">
        <v>4</v>
      </c>
      <c r="C4" t="s">
        <v>5</v>
      </c>
      <c r="D4" s="290">
        <v>0</v>
      </c>
      <c r="E4" s="290" t="e">
        <v>#DIV/0!</v>
      </c>
      <c r="F4" s="290">
        <v>29776.1517152243</v>
      </c>
      <c r="G4" s="291">
        <v>63181.025334316</v>
      </c>
      <c r="H4" s="292">
        <v>1</v>
      </c>
      <c r="I4" s="164">
        <f t="shared" ref="I4:I27" si="0">SUM(F4:G4)</f>
        <v>92957.177049540303</v>
      </c>
    </row>
    <row r="5" spans="1:9" x14ac:dyDescent="0.2">
      <c r="A5">
        <v>4</v>
      </c>
      <c r="B5" t="s">
        <v>1309</v>
      </c>
      <c r="C5" t="s">
        <v>731</v>
      </c>
      <c r="D5" s="290">
        <v>159832.66</v>
      </c>
      <c r="E5" s="290" t="e">
        <v>#DIV/0!</v>
      </c>
      <c r="F5" s="290">
        <v>208954.35206540499</v>
      </c>
      <c r="G5" s="291">
        <v>173152.524463048</v>
      </c>
      <c r="H5" s="292">
        <v>0</v>
      </c>
      <c r="I5" s="164">
        <f t="shared" si="0"/>
        <v>382106.87652845297</v>
      </c>
    </row>
    <row r="6" spans="1:9" x14ac:dyDescent="0.2">
      <c r="A6">
        <v>5</v>
      </c>
      <c r="B6" t="s">
        <v>6</v>
      </c>
      <c r="C6" t="s">
        <v>7</v>
      </c>
      <c r="D6" s="290">
        <v>907903.47</v>
      </c>
      <c r="E6" s="290" t="e">
        <v>#DIV/0!</v>
      </c>
      <c r="F6" s="290">
        <v>1279756.3794621599</v>
      </c>
      <c r="G6" s="291">
        <v>1037839.62405278</v>
      </c>
      <c r="H6" s="292">
        <v>0</v>
      </c>
      <c r="I6" s="164">
        <f t="shared" si="0"/>
        <v>2317596.0035149399</v>
      </c>
    </row>
    <row r="7" spans="1:9" x14ac:dyDescent="0.2">
      <c r="A7">
        <v>6</v>
      </c>
      <c r="B7" t="s">
        <v>8</v>
      </c>
      <c r="C7" t="s">
        <v>9</v>
      </c>
      <c r="D7" s="290">
        <v>308884.13</v>
      </c>
      <c r="E7" s="290" t="e">
        <v>#DIV/0!</v>
      </c>
      <c r="F7" s="290">
        <v>613841.06737305399</v>
      </c>
      <c r="G7" s="291">
        <v>772469.44028012</v>
      </c>
      <c r="H7" s="292">
        <v>0</v>
      </c>
      <c r="I7" s="164">
        <f t="shared" si="0"/>
        <v>1386310.507653174</v>
      </c>
    </row>
    <row r="8" spans="1:9" x14ac:dyDescent="0.2">
      <c r="A8">
        <v>7</v>
      </c>
      <c r="B8" t="s">
        <v>10</v>
      </c>
      <c r="C8" t="s">
        <v>11</v>
      </c>
      <c r="D8" s="290">
        <v>0</v>
      </c>
      <c r="E8" s="290" t="e">
        <v>#DIV/0!</v>
      </c>
      <c r="F8" s="290">
        <v>582807.09585533501</v>
      </c>
      <c r="G8" s="291">
        <v>2147851.41936816</v>
      </c>
      <c r="H8" s="292">
        <v>0</v>
      </c>
      <c r="I8" s="164">
        <f t="shared" si="0"/>
        <v>2730658.5152234947</v>
      </c>
    </row>
    <row r="9" spans="1:9" x14ac:dyDescent="0.2">
      <c r="A9">
        <v>8</v>
      </c>
      <c r="B9" t="s">
        <v>12</v>
      </c>
      <c r="C9" t="s">
        <v>13</v>
      </c>
      <c r="D9" s="290">
        <v>711308.66999999993</v>
      </c>
      <c r="E9" s="290">
        <v>308.86701390102792</v>
      </c>
      <c r="F9" s="290">
        <v>1823893.5852810801</v>
      </c>
      <c r="G9" s="291">
        <v>1683544.6469382099</v>
      </c>
      <c r="H9" s="292">
        <v>0</v>
      </c>
      <c r="I9" s="164">
        <f t="shared" si="0"/>
        <v>3507438.23221929</v>
      </c>
    </row>
    <row r="10" spans="1:9" x14ac:dyDescent="0.2">
      <c r="A10">
        <v>9</v>
      </c>
      <c r="B10" t="s">
        <v>14</v>
      </c>
      <c r="C10" t="s">
        <v>15</v>
      </c>
      <c r="D10" s="290">
        <v>5912678.8600000003</v>
      </c>
      <c r="E10" s="290" t="e">
        <v>#DIV/0!</v>
      </c>
      <c r="F10" s="290">
        <v>8423493.2991810795</v>
      </c>
      <c r="G10" s="291">
        <v>7913258.3494087597</v>
      </c>
      <c r="H10" s="292">
        <v>0</v>
      </c>
      <c r="I10" s="164">
        <f t="shared" si="0"/>
        <v>16336751.648589838</v>
      </c>
    </row>
    <row r="11" spans="1:9" x14ac:dyDescent="0.2">
      <c r="A11">
        <v>10</v>
      </c>
      <c r="B11" t="s">
        <v>16</v>
      </c>
      <c r="C11" t="s">
        <v>17</v>
      </c>
      <c r="D11" s="290">
        <v>1730518.1400000001</v>
      </c>
      <c r="E11" s="290">
        <v>-74.852475488118017</v>
      </c>
      <c r="F11" s="290">
        <v>6148482.9992162101</v>
      </c>
      <c r="G11" s="291">
        <v>8334911.2150817402</v>
      </c>
      <c r="H11" s="292">
        <v>0</v>
      </c>
      <c r="I11" s="164">
        <f t="shared" si="0"/>
        <v>14483394.21429795</v>
      </c>
    </row>
    <row r="12" spans="1:9" x14ac:dyDescent="0.2">
      <c r="A12">
        <v>11</v>
      </c>
      <c r="B12" t="s">
        <v>18</v>
      </c>
      <c r="C12" t="s">
        <v>690</v>
      </c>
      <c r="D12" s="290">
        <v>3081926.94</v>
      </c>
      <c r="E12" s="290">
        <v>21461.367966781043</v>
      </c>
      <c r="F12" s="290">
        <v>2421071.8691810798</v>
      </c>
      <c r="G12" s="291">
        <v>1514251.92585294</v>
      </c>
      <c r="H12" s="292">
        <v>1</v>
      </c>
      <c r="I12" s="164">
        <f t="shared" si="0"/>
        <v>3935323.7950340197</v>
      </c>
    </row>
    <row r="13" spans="1:9" s="292" customFormat="1" x14ac:dyDescent="0.2">
      <c r="A13" s="292">
        <v>12</v>
      </c>
      <c r="B13" s="292" t="s">
        <v>696</v>
      </c>
      <c r="C13" s="292" t="s">
        <v>676</v>
      </c>
      <c r="D13" s="290">
        <v>50913686.239999995</v>
      </c>
      <c r="E13" s="290">
        <v>436.40950949249338</v>
      </c>
      <c r="F13" s="290">
        <v>45280551.885216199</v>
      </c>
      <c r="G13" s="291">
        <v>18218421.190167099</v>
      </c>
      <c r="H13" s="292">
        <v>1</v>
      </c>
      <c r="I13" s="358">
        <f t="shared" si="0"/>
        <v>63498973.075383298</v>
      </c>
    </row>
    <row r="14" spans="1:9" x14ac:dyDescent="0.2">
      <c r="A14">
        <v>13</v>
      </c>
      <c r="B14" t="s">
        <v>19</v>
      </c>
      <c r="C14" t="s">
        <v>20</v>
      </c>
      <c r="D14" s="290">
        <v>3869684.9</v>
      </c>
      <c r="E14" s="290">
        <v>-17.052498040668169</v>
      </c>
      <c r="F14" s="290">
        <v>3930176.15918918</v>
      </c>
      <c r="G14" s="291">
        <v>1847837.03534581</v>
      </c>
      <c r="H14" s="292">
        <v>0</v>
      </c>
      <c r="I14" s="164">
        <f t="shared" si="0"/>
        <v>5778013.19453499</v>
      </c>
    </row>
    <row r="15" spans="1:9" x14ac:dyDescent="0.2">
      <c r="A15">
        <v>14</v>
      </c>
      <c r="B15" t="s">
        <v>21</v>
      </c>
      <c r="C15" t="s">
        <v>22</v>
      </c>
      <c r="D15" s="290">
        <v>1006433.41</v>
      </c>
      <c r="E15" s="290">
        <v>1086.1558843127957</v>
      </c>
      <c r="F15" s="290">
        <v>1272656.15166756</v>
      </c>
      <c r="G15" s="291">
        <v>793058.301656942</v>
      </c>
      <c r="H15" s="292">
        <v>0</v>
      </c>
      <c r="I15" s="164">
        <f t="shared" si="0"/>
        <v>2065714.4533245019</v>
      </c>
    </row>
    <row r="16" spans="1:9" x14ac:dyDescent="0.2">
      <c r="A16">
        <v>15</v>
      </c>
      <c r="B16" t="s">
        <v>732</v>
      </c>
      <c r="C16" t="s">
        <v>733</v>
      </c>
      <c r="D16" s="290">
        <v>154243.07</v>
      </c>
      <c r="E16" s="290" t="e">
        <v>#DIV/0!</v>
      </c>
      <c r="F16" s="290">
        <v>275337.83459378302</v>
      </c>
      <c r="G16" s="291">
        <v>204911.75291039899</v>
      </c>
      <c r="H16" s="292">
        <v>0</v>
      </c>
      <c r="I16" s="164">
        <f t="shared" si="0"/>
        <v>480249.58750418201</v>
      </c>
    </row>
    <row r="17" spans="1:9" x14ac:dyDescent="0.2">
      <c r="A17">
        <v>16</v>
      </c>
      <c r="B17" t="s">
        <v>23</v>
      </c>
      <c r="C17" t="s">
        <v>24</v>
      </c>
      <c r="D17" s="290">
        <v>2712607.6999999997</v>
      </c>
      <c r="E17" s="290" t="e">
        <v>#DIV/0!</v>
      </c>
      <c r="F17" s="290">
        <v>1705707.2270883699</v>
      </c>
      <c r="G17" s="291">
        <v>1105833.78540803</v>
      </c>
      <c r="H17" s="292">
        <v>1</v>
      </c>
      <c r="I17" s="164">
        <f t="shared" si="0"/>
        <v>2811541.0124963997</v>
      </c>
    </row>
    <row r="18" spans="1:9" x14ac:dyDescent="0.2">
      <c r="A18">
        <v>17</v>
      </c>
      <c r="B18" t="s">
        <v>25</v>
      </c>
      <c r="C18" t="s">
        <v>26</v>
      </c>
      <c r="D18" s="290">
        <v>5912678.8600000003</v>
      </c>
      <c r="E18" s="290" t="e">
        <v>#DIV/0!</v>
      </c>
      <c r="F18" s="290">
        <v>8504636.8022080995</v>
      </c>
      <c r="G18" s="291">
        <v>8018169.7574931597</v>
      </c>
      <c r="H18" s="292">
        <v>0</v>
      </c>
      <c r="I18" s="164">
        <f t="shared" si="0"/>
        <v>16522806.55970126</v>
      </c>
    </row>
    <row r="19" spans="1:9" x14ac:dyDescent="0.2">
      <c r="A19">
        <v>18</v>
      </c>
      <c r="B19" t="s">
        <v>27</v>
      </c>
      <c r="C19" t="s">
        <v>724</v>
      </c>
      <c r="D19" s="290">
        <v>3322683</v>
      </c>
      <c r="E19" s="290">
        <v>545.9594990309796</v>
      </c>
      <c r="F19" s="290">
        <v>4489630.3670837795</v>
      </c>
      <c r="G19" s="291">
        <v>2442887.30092867</v>
      </c>
      <c r="H19" s="292">
        <v>0</v>
      </c>
      <c r="I19" s="164">
        <f t="shared" si="0"/>
        <v>6932517.6680124495</v>
      </c>
    </row>
    <row r="20" spans="1:9" x14ac:dyDescent="0.2">
      <c r="A20">
        <v>19</v>
      </c>
      <c r="B20" t="s">
        <v>29</v>
      </c>
      <c r="C20" t="s">
        <v>30</v>
      </c>
      <c r="D20" s="290">
        <v>7279324</v>
      </c>
      <c r="E20" s="290">
        <v>1075.1278800750367</v>
      </c>
      <c r="F20" s="290">
        <v>6935351.1670351299</v>
      </c>
      <c r="G20" s="291">
        <v>2748188.57983005</v>
      </c>
      <c r="H20" s="292">
        <v>0</v>
      </c>
      <c r="I20" s="164">
        <f t="shared" si="0"/>
        <v>9683539.7468651794</v>
      </c>
    </row>
    <row r="21" spans="1:9" x14ac:dyDescent="0.2">
      <c r="A21">
        <v>20</v>
      </c>
      <c r="B21" t="s">
        <v>31</v>
      </c>
      <c r="C21" t="s">
        <v>32</v>
      </c>
      <c r="D21" s="290">
        <v>781290.9</v>
      </c>
      <c r="E21" s="290">
        <v>656.16581046370163</v>
      </c>
      <c r="F21" s="290">
        <v>741664.88792964804</v>
      </c>
      <c r="G21" s="291">
        <v>506807.01879876899</v>
      </c>
      <c r="H21" s="292">
        <v>0</v>
      </c>
      <c r="I21" s="164">
        <f t="shared" si="0"/>
        <v>1248471.9067284171</v>
      </c>
    </row>
    <row r="22" spans="1:9" x14ac:dyDescent="0.2">
      <c r="A22">
        <v>21</v>
      </c>
      <c r="B22" t="s">
        <v>33</v>
      </c>
      <c r="C22" t="s">
        <v>34</v>
      </c>
      <c r="D22" s="290">
        <v>1542728.62</v>
      </c>
      <c r="E22" s="290">
        <v>545.27524706006591</v>
      </c>
      <c r="F22" s="290">
        <v>2092020.7423243199</v>
      </c>
      <c r="G22" s="291">
        <v>1183907.0821710799</v>
      </c>
      <c r="H22" s="292">
        <v>1</v>
      </c>
      <c r="I22" s="164">
        <f t="shared" si="0"/>
        <v>3275927.8244953998</v>
      </c>
    </row>
    <row r="23" spans="1:9" x14ac:dyDescent="0.2">
      <c r="A23">
        <v>22</v>
      </c>
      <c r="B23" t="s">
        <v>35</v>
      </c>
      <c r="C23" t="s">
        <v>36</v>
      </c>
      <c r="D23" s="290">
        <v>728480</v>
      </c>
      <c r="E23" s="290">
        <v>189.78253730003252</v>
      </c>
      <c r="F23" s="290">
        <v>967679.96722972905</v>
      </c>
      <c r="G23" s="291">
        <v>475552.52465324698</v>
      </c>
      <c r="H23" s="292">
        <v>0</v>
      </c>
      <c r="I23" s="164">
        <f t="shared" si="0"/>
        <v>1443232.4918829761</v>
      </c>
    </row>
    <row r="24" spans="1:9" x14ac:dyDescent="0.2">
      <c r="A24">
        <v>23</v>
      </c>
      <c r="B24" t="s">
        <v>37</v>
      </c>
      <c r="C24" t="s">
        <v>38</v>
      </c>
      <c r="D24" s="290">
        <v>1713901.87</v>
      </c>
      <c r="E24" s="290">
        <v>254.76578115038461</v>
      </c>
      <c r="F24" s="290">
        <v>1415335.06915945</v>
      </c>
      <c r="G24" s="291">
        <v>689495.74883098004</v>
      </c>
      <c r="H24" s="292">
        <v>1</v>
      </c>
      <c r="I24" s="164">
        <f t="shared" si="0"/>
        <v>2104830.8179904302</v>
      </c>
    </row>
    <row r="25" spans="1:9" x14ac:dyDescent="0.2">
      <c r="A25">
        <v>24</v>
      </c>
      <c r="B25" t="s">
        <v>39</v>
      </c>
      <c r="C25" t="s">
        <v>40</v>
      </c>
      <c r="D25" s="290">
        <v>2014093.28</v>
      </c>
      <c r="E25" s="290">
        <v>5.7362133318236772</v>
      </c>
      <c r="F25" s="290">
        <v>4350882.7712513497</v>
      </c>
      <c r="G25" s="291">
        <v>2527901.1206022198</v>
      </c>
      <c r="H25" s="292">
        <v>0</v>
      </c>
      <c r="I25" s="164">
        <f t="shared" si="0"/>
        <v>6878783.8918535691</v>
      </c>
    </row>
    <row r="26" spans="1:9" x14ac:dyDescent="0.2">
      <c r="A26">
        <v>25</v>
      </c>
      <c r="B26" t="s">
        <v>734</v>
      </c>
      <c r="C26" t="s">
        <v>735</v>
      </c>
      <c r="D26" s="290">
        <v>159832.66</v>
      </c>
      <c r="E26" s="290" t="e">
        <v>#DIV/0!</v>
      </c>
      <c r="F26" s="290">
        <v>388868.65332343202</v>
      </c>
      <c r="G26" s="291">
        <v>822652.20089610002</v>
      </c>
      <c r="H26" s="292">
        <v>0</v>
      </c>
      <c r="I26" s="164">
        <f t="shared" si="0"/>
        <v>1211520.8542195321</v>
      </c>
    </row>
    <row r="27" spans="1:9" x14ac:dyDescent="0.2">
      <c r="A27">
        <v>26</v>
      </c>
      <c r="B27" t="s">
        <v>41</v>
      </c>
      <c r="C27" t="s">
        <v>42</v>
      </c>
      <c r="D27" s="290">
        <v>4672675.5600000005</v>
      </c>
      <c r="E27" s="290">
        <v>141210.75280833564</v>
      </c>
      <c r="F27" s="290">
        <v>4880240.8632153198</v>
      </c>
      <c r="G27" s="291">
        <v>3963136.9521881398</v>
      </c>
      <c r="H27" s="292">
        <v>0</v>
      </c>
      <c r="I27" s="164">
        <f t="shared" si="0"/>
        <v>8843377.8154034596</v>
      </c>
    </row>
    <row r="28" spans="1:9" x14ac:dyDescent="0.2">
      <c r="A28">
        <v>27</v>
      </c>
      <c r="B28" t="s">
        <v>697</v>
      </c>
      <c r="C28" t="s">
        <v>698</v>
      </c>
      <c r="D28" s="290">
        <v>35870657.830000006</v>
      </c>
      <c r="E28" s="290">
        <v>277.17505336432413</v>
      </c>
      <c r="F28" s="290">
        <v>41950188.664135098</v>
      </c>
      <c r="G28" s="291">
        <v>15478183.392772499</v>
      </c>
      <c r="H28" s="292">
        <v>0</v>
      </c>
      <c r="I28" s="164">
        <f>SUM(F28:G28)</f>
        <v>57428372.056907594</v>
      </c>
    </row>
    <row r="31" spans="1:9" x14ac:dyDescent="0.2">
      <c r="D31" s="325" t="s">
        <v>1692</v>
      </c>
      <c r="E31" s="3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opLeftCell="N1" zoomScale="90" zoomScaleNormal="90" workbookViewId="0">
      <selection activeCell="S7" sqref="S7"/>
    </sheetView>
  </sheetViews>
  <sheetFormatPr defaultColWidth="9.125" defaultRowHeight="21" x14ac:dyDescent="0.35"/>
  <cols>
    <col min="1" max="1" width="26.875" style="25" customWidth="1"/>
    <col min="2" max="2" width="21.25" style="25" bestFit="1" customWidth="1"/>
    <col min="3" max="3" width="17.875" style="25" customWidth="1"/>
    <col min="4" max="4" width="13.25" style="25" bestFit="1" customWidth="1"/>
    <col min="5" max="5" width="17.125" style="25" bestFit="1" customWidth="1"/>
    <col min="6" max="6" width="16.75" style="25" bestFit="1" customWidth="1"/>
    <col min="7" max="7" width="21.125" style="25" customWidth="1"/>
    <col min="8" max="8" width="17.625" style="25" bestFit="1" customWidth="1"/>
    <col min="9" max="9" width="17.125" style="25" customWidth="1"/>
    <col min="10" max="10" width="14.625" style="25" bestFit="1" customWidth="1"/>
    <col min="11" max="11" width="21.125" style="25" customWidth="1"/>
    <col min="12" max="12" width="14.75" style="25" bestFit="1" customWidth="1"/>
    <col min="13" max="13" width="17.75" style="25" bestFit="1" customWidth="1"/>
    <col min="14" max="14" width="22.125" style="25" customWidth="1"/>
    <col min="15" max="15" width="20.125" style="25" bestFit="1" customWidth="1"/>
    <col min="16" max="16" width="19.375" style="25" bestFit="1" customWidth="1"/>
    <col min="17" max="17" width="20.75" style="25" bestFit="1" customWidth="1"/>
    <col min="18" max="18" width="13.625" style="25" customWidth="1"/>
    <col min="19" max="19" width="52" style="25" customWidth="1"/>
    <col min="20" max="23" width="9.125" style="25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5" customWidth="1"/>
    <col min="30" max="16384" width="9.125" style="25"/>
  </cols>
  <sheetData>
    <row r="1" spans="1:28" s="245" customFormat="1" ht="28.5" customHeight="1" x14ac:dyDescent="0.2">
      <c r="A1" s="445" t="s">
        <v>1584</v>
      </c>
      <c r="B1" s="445" t="s">
        <v>1615</v>
      </c>
      <c r="C1" s="445" t="s">
        <v>1587</v>
      </c>
      <c r="D1" s="445" t="s">
        <v>1589</v>
      </c>
      <c r="E1" s="445" t="s">
        <v>1616</v>
      </c>
      <c r="F1" s="445" t="s">
        <v>1583</v>
      </c>
      <c r="G1" s="445" t="s">
        <v>1618</v>
      </c>
      <c r="H1" s="445" t="s">
        <v>1619</v>
      </c>
      <c r="I1" s="445" t="s">
        <v>1621</v>
      </c>
      <c r="J1" s="447" t="s">
        <v>1622</v>
      </c>
      <c r="K1" s="447" t="s">
        <v>1623</v>
      </c>
      <c r="L1" s="447" t="s">
        <v>1624</v>
      </c>
      <c r="M1" s="447" t="s">
        <v>1626</v>
      </c>
      <c r="N1" s="447" t="s">
        <v>1907</v>
      </c>
      <c r="O1" s="244" t="s">
        <v>1628</v>
      </c>
      <c r="P1" s="244" t="s">
        <v>1629</v>
      </c>
      <c r="Q1" s="244" t="s">
        <v>1630</v>
      </c>
      <c r="R1" s="246"/>
      <c r="S1" s="247"/>
      <c r="X1" s="279"/>
      <c r="Y1" s="279"/>
      <c r="Z1" s="279"/>
      <c r="AA1" s="279"/>
      <c r="AB1" s="279"/>
    </row>
    <row r="2" spans="1:28" s="245" customFormat="1" ht="28.5" customHeight="1" thickBot="1" x14ac:dyDescent="0.4">
      <c r="A2" s="446"/>
      <c r="B2" s="446"/>
      <c r="C2" s="446"/>
      <c r="D2" s="446"/>
      <c r="E2" s="446"/>
      <c r="F2" s="446"/>
      <c r="G2" s="446"/>
      <c r="H2" s="446"/>
      <c r="I2" s="446"/>
      <c r="J2" s="448"/>
      <c r="K2" s="448"/>
      <c r="L2" s="448"/>
      <c r="M2" s="448"/>
      <c r="N2" s="448"/>
      <c r="O2" s="282" t="s">
        <v>1631</v>
      </c>
      <c r="P2" s="280"/>
      <c r="Q2" s="280"/>
      <c r="R2" s="281"/>
      <c r="S2" s="281"/>
      <c r="X2" s="279"/>
      <c r="Y2" s="279"/>
      <c r="Z2" s="279"/>
      <c r="AA2" s="279"/>
      <c r="AB2" s="279"/>
    </row>
    <row r="3" spans="1:28" s="234" customFormat="1" ht="84" x14ac:dyDescent="0.3">
      <c r="A3" s="196" t="s">
        <v>689</v>
      </c>
      <c r="B3" s="196" t="s">
        <v>1602</v>
      </c>
      <c r="C3" s="196" t="s">
        <v>1603</v>
      </c>
      <c r="D3" s="196" t="s">
        <v>730</v>
      </c>
      <c r="E3" s="196" t="s">
        <v>1604</v>
      </c>
      <c r="F3" s="196" t="s">
        <v>1617</v>
      </c>
      <c r="G3" s="235" t="s">
        <v>1614</v>
      </c>
      <c r="H3" s="196" t="s">
        <v>821</v>
      </c>
      <c r="I3" s="196" t="s">
        <v>1620</v>
      </c>
      <c r="J3" s="196" t="s">
        <v>1605</v>
      </c>
      <c r="K3" s="235" t="s">
        <v>1606</v>
      </c>
      <c r="L3" s="196" t="s">
        <v>1625</v>
      </c>
      <c r="M3" s="240" t="s">
        <v>1607</v>
      </c>
      <c r="N3" s="196" t="s">
        <v>1627</v>
      </c>
      <c r="O3" s="196" t="s">
        <v>1608</v>
      </c>
      <c r="P3" s="275" t="s">
        <v>1609</v>
      </c>
      <c r="Q3" s="275" t="s">
        <v>1610</v>
      </c>
      <c r="R3" s="250" t="s">
        <v>1611</v>
      </c>
      <c r="S3" s="249" t="s">
        <v>1632</v>
      </c>
      <c r="X3" s="1"/>
      <c r="Y3" s="1"/>
      <c r="Z3" s="1"/>
      <c r="AA3" s="1"/>
      <c r="AB3" s="1"/>
    </row>
    <row r="4" spans="1:28" ht="21.75" thickBot="1" x14ac:dyDescent="0.4">
      <c r="A4" s="223">
        <f>SUM(Planfin2561!D15-Planfin2561!D14)</f>
        <v>45015717.279999994</v>
      </c>
      <c r="B4" s="223">
        <f>SUM(Planfin2561!D30-Planfin2561!D27)</f>
        <v>33856564.550000004</v>
      </c>
      <c r="C4" s="216">
        <f>SUM(A4-B4)</f>
        <v>11159152.729999989</v>
      </c>
      <c r="D4" s="238" t="str">
        <f>IF(C4&gt;0,"เกินดุล",IF(C4=0,"สมดุล","ขาดดุล"))</f>
        <v>เกินดุล</v>
      </c>
      <c r="E4" s="236">
        <f>IF(C4&lt;=0,0,ROUNDUP((C4*20%),2))</f>
        <v>2231830.5499999998</v>
      </c>
      <c r="F4" s="216">
        <f>SUM(Planfin2561!D85)</f>
        <v>565900</v>
      </c>
      <c r="G4" s="237">
        <f>IF(C4=0,0,(F4/C4)*100)</f>
        <v>5.0711735352330871</v>
      </c>
      <c r="H4" s="236">
        <f>E4-F4</f>
        <v>1665930.5499999998</v>
      </c>
      <c r="I4" s="28">
        <f>SUM(Planfin2561!C37)</f>
        <v>581615.17000000004</v>
      </c>
      <c r="J4" s="28">
        <f>SUM(Planfin2561!C38-Planfin2561!C39)</f>
        <v>-2583334.8000000007</v>
      </c>
      <c r="K4" s="239">
        <f>SUM(B4/12)</f>
        <v>2821380.3791666669</v>
      </c>
      <c r="L4" s="216">
        <f>SUM(I4/K4)</f>
        <v>0.20614560670184712</v>
      </c>
      <c r="M4" s="241">
        <f>SUM(H4:I4)</f>
        <v>2247545.7199999997</v>
      </c>
      <c r="N4" s="216">
        <f>SUM(M4/K4)</f>
        <v>0.79661208981110265</v>
      </c>
      <c r="O4" s="242" t="str">
        <f>IF(C4&gt;=0, "Normal", "Risk")</f>
        <v>Normal</v>
      </c>
      <c r="P4" s="242" t="str">
        <f t="shared" ref="P4" si="0">IF(H4&gt;=0, "Normal", "Risk")</f>
        <v>Normal</v>
      </c>
      <c r="Q4" s="243" t="str">
        <f t="shared" ref="Q4" si="1">IF(N4&gt;1, "Normal", "Risk")</f>
        <v>Risk</v>
      </c>
      <c r="R4" s="99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2</v>
      </c>
      <c r="S4" s="248" t="str">
        <f>VLOOKUP(R4,$X$9:$AB$16,5,0)</f>
        <v xml:space="preserve"> ทบทวนการลงทุนอีกครั้ง </v>
      </c>
      <c r="Y4" s="253" t="s">
        <v>1633</v>
      </c>
      <c r="Z4" s="253" t="s">
        <v>1634</v>
      </c>
      <c r="AA4" s="253" t="s">
        <v>1635</v>
      </c>
      <c r="AB4" s="253"/>
    </row>
    <row r="5" spans="1:28" x14ac:dyDescent="0.35">
      <c r="X5" s="254" t="s">
        <v>1636</v>
      </c>
      <c r="Y5" s="254" t="s">
        <v>1637</v>
      </c>
      <c r="Z5" s="254" t="s">
        <v>1638</v>
      </c>
      <c r="AA5" s="254" t="s">
        <v>1639</v>
      </c>
      <c r="AB5" s="442" t="s">
        <v>1632</v>
      </c>
    </row>
    <row r="6" spans="1:28" x14ac:dyDescent="0.35">
      <c r="X6" s="255" t="s">
        <v>1640</v>
      </c>
      <c r="Y6" s="256" t="s">
        <v>1641</v>
      </c>
      <c r="Z6" s="255" t="s">
        <v>1642</v>
      </c>
      <c r="AA6" s="256" t="s">
        <v>1643</v>
      </c>
      <c r="AB6" s="443"/>
    </row>
    <row r="7" spans="1:28" x14ac:dyDescent="0.35">
      <c r="X7" s="257"/>
      <c r="Y7" s="256" t="s">
        <v>1644</v>
      </c>
      <c r="Z7" s="258" t="s">
        <v>1655</v>
      </c>
      <c r="AA7" s="258" t="s">
        <v>1656</v>
      </c>
      <c r="AB7" s="443"/>
    </row>
    <row r="8" spans="1:28" ht="21.75" thickBot="1" x14ac:dyDescent="0.4">
      <c r="X8" s="259"/>
      <c r="Y8" s="259"/>
      <c r="Z8" s="260" t="s">
        <v>1645</v>
      </c>
      <c r="AA8" s="259"/>
      <c r="AB8" s="444"/>
    </row>
    <row r="9" spans="1:28" ht="22.5" thickTop="1" thickBot="1" x14ac:dyDescent="0.4">
      <c r="X9" s="261">
        <v>1</v>
      </c>
      <c r="Y9" s="261" t="s">
        <v>1646</v>
      </c>
      <c r="Z9" s="261" t="s">
        <v>1647</v>
      </c>
      <c r="AA9" s="261" t="s">
        <v>1612</v>
      </c>
      <c r="AB9" s="270" t="s">
        <v>1648</v>
      </c>
    </row>
    <row r="10" spans="1:28" ht="21.75" thickBot="1" x14ac:dyDescent="0.4">
      <c r="X10" s="262">
        <v>2</v>
      </c>
      <c r="Y10" s="262" t="s">
        <v>1646</v>
      </c>
      <c r="Z10" s="262" t="s">
        <v>1647</v>
      </c>
      <c r="AA10" s="263" t="s">
        <v>1613</v>
      </c>
      <c r="AB10" s="271" t="s">
        <v>1649</v>
      </c>
    </row>
    <row r="11" spans="1:28" ht="21.75" thickBot="1" x14ac:dyDescent="0.4">
      <c r="X11" s="266">
        <v>3</v>
      </c>
      <c r="Y11" s="266" t="s">
        <v>1646</v>
      </c>
      <c r="Z11" s="266" t="s">
        <v>1657</v>
      </c>
      <c r="AA11" s="266" t="s">
        <v>1612</v>
      </c>
      <c r="AB11" s="272" t="s">
        <v>1659</v>
      </c>
    </row>
    <row r="12" spans="1:28" ht="21.75" thickBot="1" x14ac:dyDescent="0.4">
      <c r="X12" s="267">
        <v>4</v>
      </c>
      <c r="Y12" s="267" t="s">
        <v>1646</v>
      </c>
      <c r="Z12" s="267" t="s">
        <v>1657</v>
      </c>
      <c r="AA12" s="268" t="s">
        <v>1613</v>
      </c>
      <c r="AB12" s="273" t="s">
        <v>1663</v>
      </c>
    </row>
    <row r="13" spans="1:28" ht="21.75" thickBot="1" x14ac:dyDescent="0.4">
      <c r="X13" s="264">
        <v>5</v>
      </c>
      <c r="Y13" s="265" t="s">
        <v>1613</v>
      </c>
      <c r="Z13" s="265" t="s">
        <v>1658</v>
      </c>
      <c r="AA13" s="264" t="s">
        <v>1612</v>
      </c>
      <c r="AB13" s="274" t="s">
        <v>1651</v>
      </c>
    </row>
    <row r="14" spans="1:28" ht="21.75" thickBot="1" x14ac:dyDescent="0.4">
      <c r="X14" s="267">
        <v>6</v>
      </c>
      <c r="Y14" s="268" t="s">
        <v>1613</v>
      </c>
      <c r="Z14" s="268" t="s">
        <v>1658</v>
      </c>
      <c r="AA14" s="268" t="s">
        <v>1652</v>
      </c>
      <c r="AB14" s="273" t="s">
        <v>1662</v>
      </c>
    </row>
    <row r="15" spans="1:28" ht="21.75" thickBot="1" x14ac:dyDescent="0.4">
      <c r="X15" s="266">
        <v>7</v>
      </c>
      <c r="Y15" s="269" t="s">
        <v>1613</v>
      </c>
      <c r="Z15" s="269" t="s">
        <v>1652</v>
      </c>
      <c r="AA15" s="266" t="s">
        <v>1612</v>
      </c>
      <c r="AB15" s="272" t="s">
        <v>1660</v>
      </c>
    </row>
    <row r="16" spans="1:28" x14ac:dyDescent="0.35">
      <c r="X16" s="267">
        <v>8</v>
      </c>
      <c r="Y16" s="268" t="s">
        <v>1613</v>
      </c>
      <c r="Z16" s="268" t="s">
        <v>1652</v>
      </c>
      <c r="AA16" s="268" t="s">
        <v>1613</v>
      </c>
      <c r="AB16" s="273" t="s">
        <v>1661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3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E183" activePane="bottomRight" state="frozen"/>
      <selection activeCell="H54" sqref="H54"/>
      <selection pane="topRight" activeCell="H54" sqref="H54"/>
      <selection pane="bottomLeft" activeCell="H54" sqref="H54"/>
      <selection pane="bottomRight" activeCell="A597" sqref="A597:XFD597"/>
    </sheetView>
  </sheetViews>
  <sheetFormatPr defaultColWidth="9" defaultRowHeight="23.25" x14ac:dyDescent="0.35"/>
  <cols>
    <col min="1" max="1" width="19.875" style="95" customWidth="1"/>
    <col min="2" max="2" width="60.75" style="95" customWidth="1"/>
    <col min="3" max="3" width="14" style="95" bestFit="1" customWidth="1"/>
    <col min="4" max="4" width="30.25" style="95" bestFit="1" customWidth="1"/>
    <col min="5" max="5" width="17" style="148" bestFit="1" customWidth="1"/>
    <col min="6" max="6" width="42.125" style="95" bestFit="1" customWidth="1"/>
    <col min="7" max="7" width="7" style="95" bestFit="1" customWidth="1"/>
    <col min="8" max="8" width="8.75" style="95" bestFit="1" customWidth="1"/>
    <col min="9" max="16384" width="9" style="95"/>
  </cols>
  <sheetData>
    <row r="1" spans="1:11" x14ac:dyDescent="0.35">
      <c r="A1" s="151" t="s">
        <v>1407</v>
      </c>
      <c r="B1" s="151" t="s">
        <v>1408</v>
      </c>
      <c r="C1" s="152" t="s">
        <v>745</v>
      </c>
      <c r="D1" s="152" t="s">
        <v>746</v>
      </c>
      <c r="E1" s="149" t="s">
        <v>747</v>
      </c>
      <c r="F1" s="150" t="s">
        <v>748</v>
      </c>
      <c r="G1" s="157" t="s">
        <v>1405</v>
      </c>
      <c r="H1" s="157" t="s">
        <v>1406</v>
      </c>
      <c r="I1" s="95" t="s">
        <v>1409</v>
      </c>
      <c r="J1" s="95" t="s">
        <v>1410</v>
      </c>
      <c r="K1" s="95" t="s">
        <v>1411</v>
      </c>
    </row>
    <row r="2" spans="1:11" x14ac:dyDescent="0.35">
      <c r="A2" s="155" t="s">
        <v>1004</v>
      </c>
      <c r="B2" s="155" t="s">
        <v>1005</v>
      </c>
      <c r="C2" s="155" t="s">
        <v>16</v>
      </c>
      <c r="D2" s="155" t="s">
        <v>17</v>
      </c>
      <c r="E2" s="155" t="s">
        <v>1343</v>
      </c>
      <c r="F2" s="155" t="s">
        <v>17</v>
      </c>
      <c r="G2" s="156">
        <v>12</v>
      </c>
      <c r="H2" s="155" t="s">
        <v>1343</v>
      </c>
      <c r="I2" s="95" t="s">
        <v>1412</v>
      </c>
      <c r="J2" s="95">
        <v>42643</v>
      </c>
      <c r="K2" s="95" t="s">
        <v>1413</v>
      </c>
    </row>
    <row r="3" spans="1:11" x14ac:dyDescent="0.35">
      <c r="A3" s="155" t="s">
        <v>144</v>
      </c>
      <c r="B3" s="155" t="s">
        <v>145</v>
      </c>
      <c r="C3" s="155" t="s">
        <v>16</v>
      </c>
      <c r="D3" s="155" t="s">
        <v>17</v>
      </c>
      <c r="E3" s="155" t="s">
        <v>1343</v>
      </c>
      <c r="F3" s="155" t="s">
        <v>17</v>
      </c>
      <c r="G3" s="156">
        <v>12</v>
      </c>
      <c r="H3" s="155" t="s">
        <v>1343</v>
      </c>
      <c r="I3" s="95" t="s">
        <v>1414</v>
      </c>
      <c r="K3" s="95" t="s">
        <v>1413</v>
      </c>
    </row>
    <row r="4" spans="1:11" x14ac:dyDescent="0.35">
      <c r="A4" s="155" t="s">
        <v>146</v>
      </c>
      <c r="B4" s="155" t="s">
        <v>147</v>
      </c>
      <c r="C4" s="155" t="s">
        <v>16</v>
      </c>
      <c r="D4" s="155" t="s">
        <v>17</v>
      </c>
      <c r="E4" s="155" t="s">
        <v>1343</v>
      </c>
      <c r="F4" s="155" t="s">
        <v>17</v>
      </c>
      <c r="G4" s="156">
        <v>12</v>
      </c>
      <c r="H4" s="155" t="s">
        <v>1343</v>
      </c>
      <c r="I4" s="95" t="s">
        <v>1414</v>
      </c>
      <c r="K4" s="95" t="s">
        <v>1413</v>
      </c>
    </row>
    <row r="5" spans="1:11" x14ac:dyDescent="0.35">
      <c r="A5" s="155" t="s">
        <v>148</v>
      </c>
      <c r="B5" s="155" t="s">
        <v>149</v>
      </c>
      <c r="C5" s="155" t="s">
        <v>16</v>
      </c>
      <c r="D5" s="155" t="s">
        <v>17</v>
      </c>
      <c r="E5" s="155" t="s">
        <v>1343</v>
      </c>
      <c r="F5" s="155" t="s">
        <v>17</v>
      </c>
      <c r="G5" s="156">
        <v>12</v>
      </c>
      <c r="H5" s="155" t="s">
        <v>1343</v>
      </c>
      <c r="I5" s="95" t="s">
        <v>1414</v>
      </c>
      <c r="K5" s="95" t="s">
        <v>1413</v>
      </c>
    </row>
    <row r="6" spans="1:11" x14ac:dyDescent="0.35">
      <c r="A6" s="155" t="s">
        <v>150</v>
      </c>
      <c r="B6" s="155" t="s">
        <v>151</v>
      </c>
      <c r="C6" s="155" t="s">
        <v>16</v>
      </c>
      <c r="D6" s="155" t="s">
        <v>17</v>
      </c>
      <c r="E6" s="155" t="s">
        <v>1343</v>
      </c>
      <c r="F6" s="155" t="s">
        <v>17</v>
      </c>
      <c r="G6" s="156">
        <v>12</v>
      </c>
      <c r="H6" s="155" t="s">
        <v>1343</v>
      </c>
      <c r="I6" s="95" t="s">
        <v>1414</v>
      </c>
      <c r="K6" s="95" t="s">
        <v>1413</v>
      </c>
    </row>
    <row r="7" spans="1:11" x14ac:dyDescent="0.35">
      <c r="A7" s="155" t="s">
        <v>152</v>
      </c>
      <c r="B7" s="155" t="s">
        <v>1415</v>
      </c>
      <c r="C7" s="155" t="s">
        <v>16</v>
      </c>
      <c r="D7" s="155" t="s">
        <v>17</v>
      </c>
      <c r="E7" s="155" t="s">
        <v>1343</v>
      </c>
      <c r="F7" s="155" t="s">
        <v>17</v>
      </c>
      <c r="G7" s="156">
        <v>12</v>
      </c>
      <c r="H7" s="155" t="s">
        <v>1343</v>
      </c>
      <c r="I7" s="95" t="s">
        <v>1414</v>
      </c>
      <c r="K7" s="95" t="s">
        <v>1413</v>
      </c>
    </row>
    <row r="8" spans="1:11" x14ac:dyDescent="0.35">
      <c r="A8" s="155" t="s">
        <v>1006</v>
      </c>
      <c r="B8" s="155" t="s">
        <v>1007</v>
      </c>
      <c r="C8" s="155" t="s">
        <v>16</v>
      </c>
      <c r="D8" s="155" t="s">
        <v>17</v>
      </c>
      <c r="E8" s="155" t="s">
        <v>1343</v>
      </c>
      <c r="F8" s="155" t="s">
        <v>17</v>
      </c>
      <c r="G8" s="156">
        <v>12</v>
      </c>
      <c r="H8" s="155" t="s">
        <v>1343</v>
      </c>
      <c r="I8" s="95" t="s">
        <v>1412</v>
      </c>
      <c r="J8" s="95">
        <v>42643</v>
      </c>
      <c r="K8" s="95" t="s">
        <v>1413</v>
      </c>
    </row>
    <row r="9" spans="1:11" x14ac:dyDescent="0.35">
      <c r="A9" s="155" t="s">
        <v>153</v>
      </c>
      <c r="B9" s="155" t="s">
        <v>154</v>
      </c>
      <c r="C9" s="155" t="s">
        <v>16</v>
      </c>
      <c r="D9" s="155" t="s">
        <v>17</v>
      </c>
      <c r="E9" s="155" t="s">
        <v>1343</v>
      </c>
      <c r="F9" s="155" t="s">
        <v>17</v>
      </c>
      <c r="G9" s="156">
        <v>12</v>
      </c>
      <c r="H9" s="155" t="s">
        <v>1343</v>
      </c>
      <c r="I9" s="95" t="s">
        <v>1414</v>
      </c>
      <c r="K9" s="95" t="s">
        <v>1413</v>
      </c>
    </row>
    <row r="10" spans="1:11" x14ac:dyDescent="0.35">
      <c r="A10" s="155" t="s">
        <v>1008</v>
      </c>
      <c r="B10" s="155" t="s">
        <v>1009</v>
      </c>
      <c r="C10" s="155" t="s">
        <v>16</v>
      </c>
      <c r="D10" s="155" t="s">
        <v>17</v>
      </c>
      <c r="E10" s="155" t="s">
        <v>1343</v>
      </c>
      <c r="F10" s="155" t="s">
        <v>17</v>
      </c>
      <c r="G10" s="156">
        <v>12</v>
      </c>
      <c r="H10" s="155" t="s">
        <v>1343</v>
      </c>
      <c r="I10" s="95" t="s">
        <v>1412</v>
      </c>
      <c r="J10" s="95">
        <v>42643</v>
      </c>
      <c r="K10" s="95" t="s">
        <v>1413</v>
      </c>
    </row>
    <row r="11" spans="1:11" x14ac:dyDescent="0.35">
      <c r="A11" s="155" t="s">
        <v>1010</v>
      </c>
      <c r="B11" s="155" t="s">
        <v>1011</v>
      </c>
      <c r="C11" s="155" t="s">
        <v>16</v>
      </c>
      <c r="D11" s="155" t="s">
        <v>17</v>
      </c>
      <c r="E11" s="155" t="s">
        <v>1343</v>
      </c>
      <c r="F11" s="155" t="s">
        <v>17</v>
      </c>
      <c r="G11" s="156">
        <v>12</v>
      </c>
      <c r="H11" s="155" t="s">
        <v>1343</v>
      </c>
      <c r="I11" s="95" t="s">
        <v>1412</v>
      </c>
      <c r="J11" s="95">
        <v>42643</v>
      </c>
      <c r="K11" s="95" t="s">
        <v>1413</v>
      </c>
    </row>
    <row r="12" spans="1:11" x14ac:dyDescent="0.35">
      <c r="A12" s="155" t="s">
        <v>155</v>
      </c>
      <c r="B12" s="155" t="s">
        <v>177</v>
      </c>
      <c r="C12" s="155" t="s">
        <v>16</v>
      </c>
      <c r="D12" s="155" t="s">
        <v>17</v>
      </c>
      <c r="E12" s="155" t="s">
        <v>1343</v>
      </c>
      <c r="F12" s="155" t="s">
        <v>17</v>
      </c>
      <c r="G12" s="156">
        <v>12</v>
      </c>
      <c r="H12" s="155" t="s">
        <v>1343</v>
      </c>
      <c r="I12" s="95" t="s">
        <v>1414</v>
      </c>
      <c r="K12" s="95" t="s">
        <v>1413</v>
      </c>
    </row>
    <row r="13" spans="1:11" x14ac:dyDescent="0.35">
      <c r="A13" s="155" t="s">
        <v>156</v>
      </c>
      <c r="B13" s="155" t="s">
        <v>179</v>
      </c>
      <c r="C13" s="155" t="s">
        <v>16</v>
      </c>
      <c r="D13" s="155" t="s">
        <v>17</v>
      </c>
      <c r="E13" s="155" t="s">
        <v>1343</v>
      </c>
      <c r="F13" s="155" t="s">
        <v>17</v>
      </c>
      <c r="G13" s="156">
        <v>12</v>
      </c>
      <c r="H13" s="155" t="s">
        <v>1343</v>
      </c>
      <c r="I13" s="95" t="s">
        <v>1414</v>
      </c>
      <c r="K13" s="95" t="s">
        <v>1413</v>
      </c>
    </row>
    <row r="14" spans="1:11" x14ac:dyDescent="0.35">
      <c r="A14" s="155" t="s">
        <v>157</v>
      </c>
      <c r="B14" s="155" t="s">
        <v>158</v>
      </c>
      <c r="C14" s="155" t="s">
        <v>16</v>
      </c>
      <c r="D14" s="155" t="s">
        <v>17</v>
      </c>
      <c r="E14" s="155" t="s">
        <v>1343</v>
      </c>
      <c r="F14" s="155" t="s">
        <v>17</v>
      </c>
      <c r="G14" s="156">
        <v>12</v>
      </c>
      <c r="H14" s="155" t="s">
        <v>1343</v>
      </c>
      <c r="I14" s="95" t="s">
        <v>1414</v>
      </c>
      <c r="K14" s="95" t="s">
        <v>1413</v>
      </c>
    </row>
    <row r="15" spans="1:11" x14ac:dyDescent="0.35">
      <c r="A15" s="155" t="s">
        <v>1012</v>
      </c>
      <c r="B15" s="155" t="s">
        <v>1013</v>
      </c>
      <c r="C15" s="155" t="s">
        <v>16</v>
      </c>
      <c r="D15" s="155" t="s">
        <v>17</v>
      </c>
      <c r="E15" s="155" t="s">
        <v>1343</v>
      </c>
      <c r="F15" s="155" t="s">
        <v>17</v>
      </c>
      <c r="G15" s="156">
        <v>12</v>
      </c>
      <c r="H15" s="155" t="s">
        <v>1343</v>
      </c>
      <c r="I15" s="95" t="s">
        <v>1412</v>
      </c>
      <c r="J15" s="95">
        <v>42643</v>
      </c>
      <c r="K15" s="95" t="s">
        <v>1413</v>
      </c>
    </row>
    <row r="16" spans="1:11" x14ac:dyDescent="0.35">
      <c r="A16" s="155" t="s">
        <v>1014</v>
      </c>
      <c r="B16" s="155" t="s">
        <v>1015</v>
      </c>
      <c r="C16" s="155" t="s">
        <v>16</v>
      </c>
      <c r="D16" s="155" t="s">
        <v>17</v>
      </c>
      <c r="E16" s="155" t="s">
        <v>1343</v>
      </c>
      <c r="F16" s="155" t="s">
        <v>17</v>
      </c>
      <c r="G16" s="156">
        <v>12</v>
      </c>
      <c r="H16" s="155" t="s">
        <v>1343</v>
      </c>
      <c r="I16" s="95" t="s">
        <v>1412</v>
      </c>
      <c r="J16" s="95">
        <v>42643</v>
      </c>
      <c r="K16" s="95" t="s">
        <v>1413</v>
      </c>
    </row>
    <row r="17" spans="1:11" x14ac:dyDescent="0.35">
      <c r="A17" s="155" t="s">
        <v>159</v>
      </c>
      <c r="B17" s="155" t="s">
        <v>160</v>
      </c>
      <c r="C17" s="155" t="s">
        <v>16</v>
      </c>
      <c r="D17" s="155" t="s">
        <v>17</v>
      </c>
      <c r="E17" s="155" t="s">
        <v>1343</v>
      </c>
      <c r="F17" s="155" t="s">
        <v>17</v>
      </c>
      <c r="G17" s="156">
        <v>12</v>
      </c>
      <c r="H17" s="155" t="s">
        <v>1343</v>
      </c>
      <c r="I17" s="95" t="s">
        <v>1414</v>
      </c>
      <c r="K17" s="95" t="s">
        <v>1413</v>
      </c>
    </row>
    <row r="18" spans="1:11" x14ac:dyDescent="0.35">
      <c r="A18" s="155" t="s">
        <v>117</v>
      </c>
      <c r="B18" s="155" t="s">
        <v>118</v>
      </c>
      <c r="C18" s="155" t="s">
        <v>12</v>
      </c>
      <c r="D18" s="155" t="s">
        <v>13</v>
      </c>
      <c r="E18" s="155" t="s">
        <v>1336</v>
      </c>
      <c r="F18" s="155" t="s">
        <v>1337</v>
      </c>
      <c r="G18" s="156">
        <v>10</v>
      </c>
      <c r="H18" s="155" t="s">
        <v>1336</v>
      </c>
      <c r="I18" s="95" t="s">
        <v>1414</v>
      </c>
      <c r="K18" s="95" t="s">
        <v>1413</v>
      </c>
    </row>
    <row r="19" spans="1:11" x14ac:dyDescent="0.35">
      <c r="A19" s="155" t="s">
        <v>119</v>
      </c>
      <c r="B19" s="155" t="s">
        <v>120</v>
      </c>
      <c r="C19" s="155" t="s">
        <v>12</v>
      </c>
      <c r="D19" s="155" t="s">
        <v>13</v>
      </c>
      <c r="E19" s="155" t="s">
        <v>1336</v>
      </c>
      <c r="F19" s="155" t="s">
        <v>1337</v>
      </c>
      <c r="G19" s="156">
        <v>10</v>
      </c>
      <c r="H19" s="155" t="s">
        <v>1336</v>
      </c>
      <c r="I19" s="95" t="s">
        <v>1414</v>
      </c>
      <c r="K19" s="95" t="s">
        <v>1413</v>
      </c>
    </row>
    <row r="20" spans="1:11" x14ac:dyDescent="0.35">
      <c r="A20" s="155" t="s">
        <v>840</v>
      </c>
      <c r="B20" s="155" t="s">
        <v>122</v>
      </c>
      <c r="C20" s="155" t="s">
        <v>12</v>
      </c>
      <c r="D20" s="155" t="s">
        <v>13</v>
      </c>
      <c r="E20" s="155" t="s">
        <v>1336</v>
      </c>
      <c r="F20" s="155" t="s">
        <v>1337</v>
      </c>
      <c r="G20" s="156">
        <v>10</v>
      </c>
      <c r="H20" s="155" t="s">
        <v>1336</v>
      </c>
      <c r="I20" s="95" t="s">
        <v>1414</v>
      </c>
      <c r="K20" s="95" t="s">
        <v>1416</v>
      </c>
    </row>
    <row r="21" spans="1:11" x14ac:dyDescent="0.35">
      <c r="A21" s="155" t="s">
        <v>841</v>
      </c>
      <c r="B21" s="155" t="s">
        <v>123</v>
      </c>
      <c r="C21" s="155" t="s">
        <v>12</v>
      </c>
      <c r="D21" s="155" t="s">
        <v>13</v>
      </c>
      <c r="E21" s="155" t="s">
        <v>1336</v>
      </c>
      <c r="F21" s="155" t="s">
        <v>1337</v>
      </c>
      <c r="G21" s="156">
        <v>10</v>
      </c>
      <c r="H21" s="155" t="s">
        <v>1336</v>
      </c>
      <c r="I21" s="95" t="s">
        <v>1414</v>
      </c>
      <c r="K21" s="95" t="s">
        <v>1416</v>
      </c>
    </row>
    <row r="22" spans="1:11" x14ac:dyDescent="0.35">
      <c r="A22" s="155" t="s">
        <v>842</v>
      </c>
      <c r="B22" s="155" t="s">
        <v>843</v>
      </c>
      <c r="C22" s="155" t="s">
        <v>12</v>
      </c>
      <c r="D22" s="155" t="s">
        <v>13</v>
      </c>
      <c r="E22" s="155" t="s">
        <v>1336</v>
      </c>
      <c r="F22" s="155" t="s">
        <v>1337</v>
      </c>
      <c r="G22" s="156">
        <v>10</v>
      </c>
      <c r="H22" s="155" t="s">
        <v>1336</v>
      </c>
      <c r="I22" s="95" t="s">
        <v>1414</v>
      </c>
      <c r="K22" s="95" t="s">
        <v>1416</v>
      </c>
    </row>
    <row r="23" spans="1:11" x14ac:dyDescent="0.35">
      <c r="A23" s="155" t="s">
        <v>1016</v>
      </c>
      <c r="B23" s="155" t="s">
        <v>121</v>
      </c>
      <c r="C23" s="155" t="s">
        <v>12</v>
      </c>
      <c r="D23" s="155" t="s">
        <v>13</v>
      </c>
      <c r="E23" s="155" t="s">
        <v>1336</v>
      </c>
      <c r="F23" s="155" t="s">
        <v>1337</v>
      </c>
      <c r="G23" s="156">
        <v>10</v>
      </c>
      <c r="H23" s="155" t="s">
        <v>1336</v>
      </c>
      <c r="I23" s="95" t="s">
        <v>1412</v>
      </c>
      <c r="J23" s="95">
        <v>42643</v>
      </c>
      <c r="K23" s="95" t="s">
        <v>1413</v>
      </c>
    </row>
    <row r="24" spans="1:11" x14ac:dyDescent="0.35">
      <c r="A24" s="155" t="s">
        <v>1017</v>
      </c>
      <c r="B24" s="155" t="s">
        <v>84</v>
      </c>
      <c r="C24" s="155" t="s">
        <v>6</v>
      </c>
      <c r="D24" s="155" t="s">
        <v>7</v>
      </c>
      <c r="E24" s="155" t="s">
        <v>1315</v>
      </c>
      <c r="F24" s="155" t="s">
        <v>1316</v>
      </c>
      <c r="G24" s="156">
        <v>7</v>
      </c>
      <c r="H24" s="155" t="s">
        <v>1315</v>
      </c>
      <c r="I24" s="95" t="s">
        <v>1412</v>
      </c>
      <c r="J24" s="95">
        <v>42643</v>
      </c>
      <c r="K24" s="95" t="s">
        <v>1413</v>
      </c>
    </row>
    <row r="25" spans="1:11" x14ac:dyDescent="0.35">
      <c r="A25" s="155" t="s">
        <v>1018</v>
      </c>
      <c r="B25" s="155" t="s">
        <v>122</v>
      </c>
      <c r="C25" s="155" t="s">
        <v>12</v>
      </c>
      <c r="D25" s="155" t="s">
        <v>13</v>
      </c>
      <c r="E25" s="155" t="s">
        <v>1336</v>
      </c>
      <c r="F25" s="155" t="s">
        <v>1337</v>
      </c>
      <c r="G25" s="156">
        <v>10</v>
      </c>
      <c r="H25" s="155" t="s">
        <v>1336</v>
      </c>
      <c r="I25" s="95" t="s">
        <v>1412</v>
      </c>
      <c r="J25" s="95">
        <v>42643</v>
      </c>
      <c r="K25" s="95" t="s">
        <v>1413</v>
      </c>
    </row>
    <row r="26" spans="1:11" x14ac:dyDescent="0.35">
      <c r="A26" s="155" t="s">
        <v>1019</v>
      </c>
      <c r="B26" s="155" t="s">
        <v>123</v>
      </c>
      <c r="C26" s="155" t="s">
        <v>12</v>
      </c>
      <c r="D26" s="155" t="s">
        <v>13</v>
      </c>
      <c r="E26" s="155" t="s">
        <v>1336</v>
      </c>
      <c r="F26" s="155" t="s">
        <v>1337</v>
      </c>
      <c r="G26" s="156">
        <v>10</v>
      </c>
      <c r="H26" s="155" t="s">
        <v>1336</v>
      </c>
      <c r="I26" s="95" t="s">
        <v>1412</v>
      </c>
      <c r="J26" s="95">
        <v>42643</v>
      </c>
      <c r="K26" s="95" t="s">
        <v>1413</v>
      </c>
    </row>
    <row r="27" spans="1:11" x14ac:dyDescent="0.35">
      <c r="A27" s="155" t="s">
        <v>124</v>
      </c>
      <c r="B27" s="155" t="s">
        <v>125</v>
      </c>
      <c r="C27" s="155" t="s">
        <v>12</v>
      </c>
      <c r="D27" s="155" t="s">
        <v>13</v>
      </c>
      <c r="E27" s="155" t="s">
        <v>1336</v>
      </c>
      <c r="F27" s="155" t="s">
        <v>1337</v>
      </c>
      <c r="G27" s="156">
        <v>10</v>
      </c>
      <c r="H27" s="155" t="s">
        <v>1336</v>
      </c>
      <c r="I27" s="95" t="s">
        <v>1414</v>
      </c>
      <c r="K27" s="95" t="s">
        <v>1413</v>
      </c>
    </row>
    <row r="28" spans="1:11" x14ac:dyDescent="0.35">
      <c r="A28" s="155" t="s">
        <v>126</v>
      </c>
      <c r="B28" s="155" t="s">
        <v>127</v>
      </c>
      <c r="C28" s="155" t="s">
        <v>12</v>
      </c>
      <c r="D28" s="155" t="s">
        <v>13</v>
      </c>
      <c r="E28" s="155" t="s">
        <v>1336</v>
      </c>
      <c r="F28" s="155" t="s">
        <v>1337</v>
      </c>
      <c r="G28" s="156">
        <v>10</v>
      </c>
      <c r="H28" s="155" t="s">
        <v>1336</v>
      </c>
      <c r="I28" s="95" t="s">
        <v>1414</v>
      </c>
      <c r="K28" s="95" t="s">
        <v>1413</v>
      </c>
    </row>
    <row r="29" spans="1:11" x14ac:dyDescent="0.35">
      <c r="A29" s="155" t="s">
        <v>844</v>
      </c>
      <c r="B29" s="155" t="s">
        <v>121</v>
      </c>
      <c r="C29" s="155" t="s">
        <v>12</v>
      </c>
      <c r="D29" s="155" t="s">
        <v>13</v>
      </c>
      <c r="E29" s="155" t="s">
        <v>1336</v>
      </c>
      <c r="F29" s="155" t="s">
        <v>1337</v>
      </c>
      <c r="G29" s="156">
        <v>10</v>
      </c>
      <c r="H29" s="155" t="s">
        <v>1336</v>
      </c>
      <c r="I29" s="95" t="s">
        <v>1414</v>
      </c>
      <c r="K29" s="95" t="s">
        <v>1416</v>
      </c>
    </row>
    <row r="30" spans="1:11" x14ac:dyDescent="0.35">
      <c r="A30" s="155" t="s">
        <v>845</v>
      </c>
      <c r="B30" s="155" t="s">
        <v>84</v>
      </c>
      <c r="C30" s="155" t="s">
        <v>6</v>
      </c>
      <c r="D30" s="155" t="s">
        <v>7</v>
      </c>
      <c r="E30" s="155" t="s">
        <v>1315</v>
      </c>
      <c r="F30" s="155" t="s">
        <v>1316</v>
      </c>
      <c r="G30" s="156">
        <v>7</v>
      </c>
      <c r="H30" s="155" t="s">
        <v>1315</v>
      </c>
      <c r="I30" s="95" t="s">
        <v>1414</v>
      </c>
      <c r="K30" s="95" t="s">
        <v>1416</v>
      </c>
    </row>
    <row r="31" spans="1:11" x14ac:dyDescent="0.35">
      <c r="A31" s="155" t="s">
        <v>846</v>
      </c>
      <c r="B31" s="155" t="s">
        <v>847</v>
      </c>
      <c r="C31" s="155" t="s">
        <v>2</v>
      </c>
      <c r="D31" s="155" t="s">
        <v>3</v>
      </c>
      <c r="E31" s="155" t="s">
        <v>1304</v>
      </c>
      <c r="F31" s="155" t="s">
        <v>3</v>
      </c>
      <c r="G31" s="156">
        <v>5</v>
      </c>
      <c r="H31" s="155" t="s">
        <v>1304</v>
      </c>
      <c r="I31" s="95" t="s">
        <v>1414</v>
      </c>
      <c r="K31" s="95" t="s">
        <v>1416</v>
      </c>
    </row>
    <row r="32" spans="1:11" x14ac:dyDescent="0.35">
      <c r="A32" s="155" t="s">
        <v>848</v>
      </c>
      <c r="B32" s="155" t="s">
        <v>849</v>
      </c>
      <c r="C32" s="155" t="s">
        <v>12</v>
      </c>
      <c r="D32" s="155" t="s">
        <v>13</v>
      </c>
      <c r="E32" s="155" t="s">
        <v>1336</v>
      </c>
      <c r="F32" s="155" t="s">
        <v>1337</v>
      </c>
      <c r="G32" s="156">
        <v>10</v>
      </c>
      <c r="H32" s="155" t="s">
        <v>1336</v>
      </c>
      <c r="I32" s="95" t="s">
        <v>1414</v>
      </c>
      <c r="K32" s="95" t="s">
        <v>1416</v>
      </c>
    </row>
    <row r="33" spans="1:11" x14ac:dyDescent="0.35">
      <c r="A33" s="155" t="s">
        <v>1020</v>
      </c>
      <c r="B33" s="155" t="s">
        <v>1021</v>
      </c>
      <c r="C33" s="155" t="s">
        <v>12</v>
      </c>
      <c r="D33" s="155" t="s">
        <v>13</v>
      </c>
      <c r="E33" s="155" t="s">
        <v>1336</v>
      </c>
      <c r="F33" s="155" t="s">
        <v>1337</v>
      </c>
      <c r="G33" s="156">
        <v>10</v>
      </c>
      <c r="H33" s="155" t="s">
        <v>1336</v>
      </c>
      <c r="I33" s="95" t="s">
        <v>1412</v>
      </c>
      <c r="J33" s="95">
        <v>42643</v>
      </c>
      <c r="K33" s="95" t="s">
        <v>1413</v>
      </c>
    </row>
    <row r="34" spans="1:11" x14ac:dyDescent="0.35">
      <c r="A34" s="155" t="s">
        <v>76</v>
      </c>
      <c r="B34" s="155" t="s">
        <v>1417</v>
      </c>
      <c r="C34" s="155" t="s">
        <v>4</v>
      </c>
      <c r="D34" s="155" t="s">
        <v>5</v>
      </c>
      <c r="E34" s="155" t="s">
        <v>1305</v>
      </c>
      <c r="F34" s="155" t="s">
        <v>1306</v>
      </c>
      <c r="G34" s="156">
        <v>6</v>
      </c>
      <c r="H34" s="155" t="s">
        <v>1305</v>
      </c>
      <c r="I34" s="95" t="s">
        <v>1414</v>
      </c>
      <c r="K34" s="95" t="s">
        <v>1413</v>
      </c>
    </row>
    <row r="35" spans="1:11" x14ac:dyDescent="0.35">
      <c r="A35" s="155" t="s">
        <v>77</v>
      </c>
      <c r="B35" s="155" t="s">
        <v>1418</v>
      </c>
      <c r="C35" s="155" t="s">
        <v>4</v>
      </c>
      <c r="D35" s="155" t="s">
        <v>5</v>
      </c>
      <c r="E35" s="155" t="s">
        <v>1307</v>
      </c>
      <c r="F35" s="155" t="s">
        <v>1308</v>
      </c>
      <c r="G35" s="156">
        <v>6</v>
      </c>
      <c r="H35" s="155" t="s">
        <v>1307</v>
      </c>
      <c r="I35" s="95" t="s">
        <v>1414</v>
      </c>
      <c r="K35" s="95" t="s">
        <v>1413</v>
      </c>
    </row>
    <row r="36" spans="1:11" x14ac:dyDescent="0.35">
      <c r="A36" s="155" t="s">
        <v>128</v>
      </c>
      <c r="B36" s="155" t="s">
        <v>1419</v>
      </c>
      <c r="C36" s="155" t="s">
        <v>12</v>
      </c>
      <c r="D36" s="155" t="s">
        <v>13</v>
      </c>
      <c r="E36" s="155" t="s">
        <v>1338</v>
      </c>
      <c r="F36" s="155" t="s">
        <v>1339</v>
      </c>
      <c r="G36" s="156">
        <v>10</v>
      </c>
      <c r="H36" s="155" t="s">
        <v>1338</v>
      </c>
      <c r="I36" s="95" t="s">
        <v>1414</v>
      </c>
      <c r="K36" s="95" t="s">
        <v>1413</v>
      </c>
    </row>
    <row r="37" spans="1:11" x14ac:dyDescent="0.35">
      <c r="A37" s="155" t="s">
        <v>129</v>
      </c>
      <c r="B37" s="155" t="s">
        <v>1420</v>
      </c>
      <c r="C37" s="155" t="s">
        <v>12</v>
      </c>
      <c r="D37" s="155" t="s">
        <v>13</v>
      </c>
      <c r="E37" s="155" t="s">
        <v>1340</v>
      </c>
      <c r="F37" s="155" t="s">
        <v>1341</v>
      </c>
      <c r="G37" s="156">
        <v>10</v>
      </c>
      <c r="H37" s="155" t="s">
        <v>1340</v>
      </c>
      <c r="I37" s="95" t="s">
        <v>1414</v>
      </c>
      <c r="K37" s="95" t="s">
        <v>1413</v>
      </c>
    </row>
    <row r="38" spans="1:11" x14ac:dyDescent="0.35">
      <c r="A38" s="155" t="s">
        <v>85</v>
      </c>
      <c r="B38" s="155" t="s">
        <v>1421</v>
      </c>
      <c r="C38" s="155" t="s">
        <v>6</v>
      </c>
      <c r="D38" s="155" t="s">
        <v>7</v>
      </c>
      <c r="E38" s="155" t="s">
        <v>1317</v>
      </c>
      <c r="F38" s="155" t="s">
        <v>1318</v>
      </c>
      <c r="G38" s="156">
        <v>7</v>
      </c>
      <c r="H38" s="155" t="s">
        <v>1317</v>
      </c>
      <c r="I38" s="95" t="s">
        <v>1414</v>
      </c>
      <c r="K38" s="95" t="s">
        <v>1413</v>
      </c>
    </row>
    <row r="39" spans="1:11" x14ac:dyDescent="0.35">
      <c r="A39" s="155" t="s">
        <v>86</v>
      </c>
      <c r="B39" s="155" t="s">
        <v>1422</v>
      </c>
      <c r="C39" s="155" t="s">
        <v>6</v>
      </c>
      <c r="D39" s="155" t="s">
        <v>7</v>
      </c>
      <c r="E39" s="155" t="s">
        <v>1319</v>
      </c>
      <c r="F39" s="155" t="s">
        <v>1320</v>
      </c>
      <c r="G39" s="156">
        <v>7</v>
      </c>
      <c r="H39" s="155" t="s">
        <v>1319</v>
      </c>
      <c r="I39" s="95" t="s">
        <v>1414</v>
      </c>
      <c r="K39" s="95" t="s">
        <v>1413</v>
      </c>
    </row>
    <row r="40" spans="1:11" x14ac:dyDescent="0.35">
      <c r="A40" s="155" t="s">
        <v>87</v>
      </c>
      <c r="B40" s="155" t="s">
        <v>88</v>
      </c>
      <c r="C40" s="155" t="s">
        <v>6</v>
      </c>
      <c r="D40" s="155" t="s">
        <v>7</v>
      </c>
      <c r="E40" s="155" t="s">
        <v>1321</v>
      </c>
      <c r="F40" s="155" t="s">
        <v>669</v>
      </c>
      <c r="G40" s="156">
        <v>7</v>
      </c>
      <c r="H40" s="155" t="s">
        <v>1321</v>
      </c>
      <c r="I40" s="95" t="s">
        <v>1414</v>
      </c>
      <c r="K40" s="95" t="s">
        <v>1413</v>
      </c>
    </row>
    <row r="41" spans="1:11" x14ac:dyDescent="0.35">
      <c r="A41" s="155" t="s">
        <v>89</v>
      </c>
      <c r="B41" s="155" t="s">
        <v>90</v>
      </c>
      <c r="C41" s="155" t="s">
        <v>6</v>
      </c>
      <c r="D41" s="155" t="s">
        <v>7</v>
      </c>
      <c r="E41" s="155" t="s">
        <v>1321</v>
      </c>
      <c r="F41" s="155" t="s">
        <v>669</v>
      </c>
      <c r="G41" s="156">
        <v>7</v>
      </c>
      <c r="H41" s="155" t="s">
        <v>1321</v>
      </c>
      <c r="I41" s="95" t="s">
        <v>1414</v>
      </c>
      <c r="K41" s="95" t="s">
        <v>1413</v>
      </c>
    </row>
    <row r="42" spans="1:11" x14ac:dyDescent="0.35">
      <c r="A42" s="155" t="s">
        <v>130</v>
      </c>
      <c r="B42" s="155" t="s">
        <v>1423</v>
      </c>
      <c r="C42" s="155" t="s">
        <v>12</v>
      </c>
      <c r="D42" s="155" t="s">
        <v>13</v>
      </c>
      <c r="E42" s="155" t="s">
        <v>1338</v>
      </c>
      <c r="F42" s="155" t="s">
        <v>1339</v>
      </c>
      <c r="G42" s="156">
        <v>10</v>
      </c>
      <c r="H42" s="155" t="s">
        <v>1338</v>
      </c>
      <c r="I42" s="95" t="s">
        <v>1414</v>
      </c>
      <c r="K42" s="95" t="s">
        <v>1413</v>
      </c>
    </row>
    <row r="43" spans="1:11" x14ac:dyDescent="0.35">
      <c r="A43" s="155" t="s">
        <v>131</v>
      </c>
      <c r="B43" s="155" t="s">
        <v>1424</v>
      </c>
      <c r="C43" s="155" t="s">
        <v>12</v>
      </c>
      <c r="D43" s="155" t="s">
        <v>13</v>
      </c>
      <c r="E43" s="155" t="s">
        <v>1340</v>
      </c>
      <c r="F43" s="155" t="s">
        <v>1341</v>
      </c>
      <c r="G43" s="156">
        <v>10</v>
      </c>
      <c r="H43" s="155" t="s">
        <v>1340</v>
      </c>
      <c r="I43" s="95" t="s">
        <v>1414</v>
      </c>
      <c r="K43" s="95" t="s">
        <v>1413</v>
      </c>
    </row>
    <row r="44" spans="1:11" x14ac:dyDescent="0.35">
      <c r="A44" s="155" t="s">
        <v>78</v>
      </c>
      <c r="B44" s="155" t="s">
        <v>1425</v>
      </c>
      <c r="C44" s="155" t="s">
        <v>1309</v>
      </c>
      <c r="D44" s="155" t="s">
        <v>731</v>
      </c>
      <c r="E44" s="155" t="s">
        <v>1310</v>
      </c>
      <c r="F44" s="155" t="s">
        <v>1311</v>
      </c>
      <c r="G44" s="156">
        <v>162</v>
      </c>
      <c r="H44" s="155" t="s">
        <v>1310</v>
      </c>
      <c r="I44" s="95" t="s">
        <v>1414</v>
      </c>
      <c r="K44" s="95" t="s">
        <v>1413</v>
      </c>
    </row>
    <row r="45" spans="1:11" x14ac:dyDescent="0.35">
      <c r="A45" s="155" t="s">
        <v>79</v>
      </c>
      <c r="B45" s="155" t="s">
        <v>1426</v>
      </c>
      <c r="C45" s="155" t="s">
        <v>1309</v>
      </c>
      <c r="D45" s="155" t="s">
        <v>731</v>
      </c>
      <c r="E45" s="155" t="s">
        <v>1312</v>
      </c>
      <c r="F45" s="155" t="s">
        <v>1313</v>
      </c>
      <c r="G45" s="156">
        <v>162</v>
      </c>
      <c r="H45" s="155" t="s">
        <v>1312</v>
      </c>
      <c r="I45" s="95" t="s">
        <v>1414</v>
      </c>
      <c r="K45" s="95" t="s">
        <v>1413</v>
      </c>
    </row>
    <row r="46" spans="1:11" x14ac:dyDescent="0.35">
      <c r="A46" s="155" t="s">
        <v>80</v>
      </c>
      <c r="B46" s="155" t="s">
        <v>81</v>
      </c>
      <c r="C46" s="155" t="s">
        <v>1309</v>
      </c>
      <c r="D46" s="155" t="s">
        <v>731</v>
      </c>
      <c r="E46" s="155" t="s">
        <v>1314</v>
      </c>
      <c r="F46" s="155" t="s">
        <v>670</v>
      </c>
      <c r="G46" s="156">
        <v>162</v>
      </c>
      <c r="H46" s="155" t="s">
        <v>1314</v>
      </c>
      <c r="I46" s="95" t="s">
        <v>1414</v>
      </c>
      <c r="K46" s="95" t="s">
        <v>1413</v>
      </c>
    </row>
    <row r="47" spans="1:11" x14ac:dyDescent="0.35">
      <c r="A47" s="155" t="s">
        <v>82</v>
      </c>
      <c r="B47" s="155" t="s">
        <v>83</v>
      </c>
      <c r="C47" s="155" t="s">
        <v>1309</v>
      </c>
      <c r="D47" s="155" t="s">
        <v>731</v>
      </c>
      <c r="E47" s="155" t="s">
        <v>1314</v>
      </c>
      <c r="F47" s="155" t="s">
        <v>670</v>
      </c>
      <c r="G47" s="156">
        <v>162</v>
      </c>
      <c r="H47" s="155" t="s">
        <v>1314</v>
      </c>
      <c r="I47" s="95" t="s">
        <v>1414</v>
      </c>
      <c r="K47" s="95" t="s">
        <v>1413</v>
      </c>
    </row>
    <row r="48" spans="1:11" x14ac:dyDescent="0.35">
      <c r="A48" s="155" t="s">
        <v>850</v>
      </c>
      <c r="B48" s="155" t="s">
        <v>851</v>
      </c>
      <c r="C48" s="155" t="s">
        <v>1309</v>
      </c>
      <c r="D48" s="155" t="s">
        <v>731</v>
      </c>
      <c r="E48" s="155" t="s">
        <v>1314</v>
      </c>
      <c r="F48" s="155" t="s">
        <v>670</v>
      </c>
      <c r="G48" s="156">
        <v>162</v>
      </c>
      <c r="H48" s="155" t="s">
        <v>1314</v>
      </c>
      <c r="I48" s="95" t="s">
        <v>1414</v>
      </c>
      <c r="K48" s="95" t="s">
        <v>1416</v>
      </c>
    </row>
    <row r="49" spans="1:11" x14ac:dyDescent="0.35">
      <c r="A49" s="155" t="s">
        <v>852</v>
      </c>
      <c r="B49" s="155" t="s">
        <v>853</v>
      </c>
      <c r="C49" s="155" t="s">
        <v>1309</v>
      </c>
      <c r="D49" s="155" t="s">
        <v>731</v>
      </c>
      <c r="E49" s="155" t="s">
        <v>1312</v>
      </c>
      <c r="F49" s="155" t="s">
        <v>1313</v>
      </c>
      <c r="G49" s="156">
        <v>162</v>
      </c>
      <c r="H49" s="155" t="s">
        <v>1312</v>
      </c>
      <c r="I49" s="95" t="s">
        <v>1414</v>
      </c>
      <c r="K49" s="95" t="s">
        <v>1416</v>
      </c>
    </row>
    <row r="50" spans="1:11" x14ac:dyDescent="0.35">
      <c r="A50" s="155" t="s">
        <v>854</v>
      </c>
      <c r="B50" s="155" t="s">
        <v>855</v>
      </c>
      <c r="C50" s="155" t="s">
        <v>1309</v>
      </c>
      <c r="D50" s="155" t="s">
        <v>731</v>
      </c>
      <c r="E50" s="155" t="s">
        <v>1314</v>
      </c>
      <c r="F50" s="155" t="s">
        <v>670</v>
      </c>
      <c r="G50" s="156">
        <v>162</v>
      </c>
      <c r="H50" s="155" t="s">
        <v>1314</v>
      </c>
      <c r="I50" s="95" t="s">
        <v>1414</v>
      </c>
      <c r="K50" s="95" t="s">
        <v>1416</v>
      </c>
    </row>
    <row r="51" spans="1:11" x14ac:dyDescent="0.35">
      <c r="A51" s="155" t="s">
        <v>856</v>
      </c>
      <c r="B51" s="155" t="s">
        <v>857</v>
      </c>
      <c r="C51" s="155" t="s">
        <v>1309</v>
      </c>
      <c r="D51" s="155" t="s">
        <v>731</v>
      </c>
      <c r="E51" s="155" t="s">
        <v>1314</v>
      </c>
      <c r="F51" s="155" t="s">
        <v>670</v>
      </c>
      <c r="G51" s="156">
        <v>162</v>
      </c>
      <c r="H51" s="155" t="s">
        <v>1314</v>
      </c>
      <c r="I51" s="95" t="s">
        <v>1414</v>
      </c>
      <c r="K51" s="95" t="s">
        <v>1416</v>
      </c>
    </row>
    <row r="52" spans="1:11" x14ac:dyDescent="0.35">
      <c r="A52" s="155" t="s">
        <v>858</v>
      </c>
      <c r="B52" s="155" t="s">
        <v>859</v>
      </c>
      <c r="C52" s="155" t="s">
        <v>1309</v>
      </c>
      <c r="D52" s="155" t="s">
        <v>731</v>
      </c>
      <c r="E52" s="155" t="s">
        <v>1314</v>
      </c>
      <c r="F52" s="155" t="s">
        <v>670</v>
      </c>
      <c r="G52" s="156">
        <v>162</v>
      </c>
      <c r="H52" s="155" t="s">
        <v>1314</v>
      </c>
      <c r="I52" s="95" t="s">
        <v>1414</v>
      </c>
      <c r="K52" s="95" t="s">
        <v>1416</v>
      </c>
    </row>
    <row r="53" spans="1:11" x14ac:dyDescent="0.35">
      <c r="A53" s="155" t="s">
        <v>860</v>
      </c>
      <c r="B53" s="155" t="s">
        <v>861</v>
      </c>
      <c r="C53" s="155" t="s">
        <v>1309</v>
      </c>
      <c r="D53" s="155" t="s">
        <v>731</v>
      </c>
      <c r="E53" s="155" t="s">
        <v>1312</v>
      </c>
      <c r="F53" s="155" t="s">
        <v>1313</v>
      </c>
      <c r="G53" s="156">
        <v>162</v>
      </c>
      <c r="H53" s="155" t="s">
        <v>1312</v>
      </c>
      <c r="I53" s="95" t="s">
        <v>1414</v>
      </c>
      <c r="K53" s="95" t="s">
        <v>1416</v>
      </c>
    </row>
    <row r="54" spans="1:11" x14ac:dyDescent="0.35">
      <c r="A54" s="155" t="s">
        <v>862</v>
      </c>
      <c r="B54" s="155" t="s">
        <v>863</v>
      </c>
      <c r="C54" s="155" t="s">
        <v>1309</v>
      </c>
      <c r="D54" s="155" t="s">
        <v>731</v>
      </c>
      <c r="E54" s="155" t="s">
        <v>1314</v>
      </c>
      <c r="F54" s="155" t="s">
        <v>670</v>
      </c>
      <c r="G54" s="156">
        <v>162</v>
      </c>
      <c r="H54" s="155" t="s">
        <v>1314</v>
      </c>
      <c r="I54" s="95" t="s">
        <v>1414</v>
      </c>
      <c r="K54" s="95" t="s">
        <v>1416</v>
      </c>
    </row>
    <row r="55" spans="1:11" x14ac:dyDescent="0.35">
      <c r="A55" s="155" t="s">
        <v>864</v>
      </c>
      <c r="B55" s="155" t="s">
        <v>865</v>
      </c>
      <c r="C55" s="155" t="s">
        <v>1309</v>
      </c>
      <c r="D55" s="155" t="s">
        <v>731</v>
      </c>
      <c r="E55" s="155" t="s">
        <v>1314</v>
      </c>
      <c r="F55" s="155" t="s">
        <v>670</v>
      </c>
      <c r="G55" s="156">
        <v>162</v>
      </c>
      <c r="H55" s="155" t="s">
        <v>1314</v>
      </c>
      <c r="I55" s="95" t="s">
        <v>1414</v>
      </c>
      <c r="K55" s="95" t="s">
        <v>1416</v>
      </c>
    </row>
    <row r="56" spans="1:11" x14ac:dyDescent="0.35">
      <c r="A56" s="155" t="s">
        <v>45</v>
      </c>
      <c r="B56" s="155" t="s">
        <v>1427</v>
      </c>
      <c r="C56" s="155" t="s">
        <v>0</v>
      </c>
      <c r="D56" s="155" t="s">
        <v>1</v>
      </c>
      <c r="E56" s="155" t="s">
        <v>1297</v>
      </c>
      <c r="F56" s="155" t="s">
        <v>1298</v>
      </c>
      <c r="G56" s="156">
        <v>4</v>
      </c>
      <c r="H56" s="155" t="s">
        <v>1297</v>
      </c>
      <c r="I56" s="95" t="s">
        <v>1414</v>
      </c>
      <c r="K56" s="95" t="s">
        <v>1413</v>
      </c>
    </row>
    <row r="57" spans="1:11" s="355" customFormat="1" x14ac:dyDescent="0.35">
      <c r="A57" s="353" t="s">
        <v>46</v>
      </c>
      <c r="B57" s="353" t="s">
        <v>1428</v>
      </c>
      <c r="C57" s="353" t="s">
        <v>0</v>
      </c>
      <c r="D57" s="353" t="s">
        <v>1</v>
      </c>
      <c r="E57" s="353" t="s">
        <v>1299</v>
      </c>
      <c r="F57" s="353" t="s">
        <v>1300</v>
      </c>
      <c r="G57" s="354">
        <v>4</v>
      </c>
      <c r="H57" s="353" t="s">
        <v>1299</v>
      </c>
      <c r="I57" s="355" t="s">
        <v>1414</v>
      </c>
      <c r="K57" s="355" t="s">
        <v>1413</v>
      </c>
    </row>
    <row r="58" spans="1:11" x14ac:dyDescent="0.35">
      <c r="A58" s="155" t="s">
        <v>47</v>
      </c>
      <c r="B58" s="155" t="s">
        <v>1429</v>
      </c>
      <c r="C58" s="155" t="s">
        <v>0</v>
      </c>
      <c r="D58" s="155" t="s">
        <v>1</v>
      </c>
      <c r="E58" s="155" t="s">
        <v>1297</v>
      </c>
      <c r="F58" s="155" t="s">
        <v>1298</v>
      </c>
      <c r="G58" s="156">
        <v>4</v>
      </c>
      <c r="H58" s="155" t="s">
        <v>1297</v>
      </c>
      <c r="I58" s="95" t="s">
        <v>1414</v>
      </c>
      <c r="K58" s="95" t="s">
        <v>1413</v>
      </c>
    </row>
    <row r="59" spans="1:11" x14ac:dyDescent="0.35">
      <c r="A59" s="155" t="s">
        <v>1022</v>
      </c>
      <c r="B59" s="155" t="s">
        <v>1023</v>
      </c>
      <c r="C59" s="155" t="s">
        <v>0</v>
      </c>
      <c r="D59" s="155" t="s">
        <v>1</v>
      </c>
      <c r="E59" s="155" t="s">
        <v>1299</v>
      </c>
      <c r="F59" s="155" t="s">
        <v>1300</v>
      </c>
      <c r="G59" s="156">
        <v>4</v>
      </c>
      <c r="H59" s="155" t="s">
        <v>1299</v>
      </c>
      <c r="I59" s="95" t="s">
        <v>1412</v>
      </c>
      <c r="J59" s="95">
        <v>42643</v>
      </c>
      <c r="K59" s="95" t="s">
        <v>1413</v>
      </c>
    </row>
    <row r="60" spans="1:11" x14ac:dyDescent="0.35">
      <c r="A60" s="155" t="s">
        <v>48</v>
      </c>
      <c r="B60" s="155" t="s">
        <v>1430</v>
      </c>
      <c r="C60" s="155" t="s">
        <v>0</v>
      </c>
      <c r="D60" s="155" t="s">
        <v>1</v>
      </c>
      <c r="E60" s="155" t="s">
        <v>1297</v>
      </c>
      <c r="F60" s="155" t="s">
        <v>1298</v>
      </c>
      <c r="G60" s="156">
        <v>4</v>
      </c>
      <c r="H60" s="155" t="s">
        <v>1297</v>
      </c>
      <c r="I60" s="95" t="s">
        <v>1414</v>
      </c>
      <c r="K60" s="95" t="s">
        <v>1413</v>
      </c>
    </row>
    <row r="61" spans="1:11" x14ac:dyDescent="0.35">
      <c r="A61" s="155" t="s">
        <v>1024</v>
      </c>
      <c r="B61" s="155" t="s">
        <v>1025</v>
      </c>
      <c r="C61" s="155" t="s">
        <v>0</v>
      </c>
      <c r="D61" s="155" t="s">
        <v>1</v>
      </c>
      <c r="E61" s="155" t="s">
        <v>1299</v>
      </c>
      <c r="F61" s="155" t="s">
        <v>1300</v>
      </c>
      <c r="G61" s="156">
        <v>4</v>
      </c>
      <c r="H61" s="155" t="s">
        <v>1299</v>
      </c>
      <c r="I61" s="95" t="s">
        <v>1412</v>
      </c>
      <c r="J61" s="95">
        <v>42643</v>
      </c>
      <c r="K61" s="95" t="s">
        <v>1413</v>
      </c>
    </row>
    <row r="62" spans="1:11" x14ac:dyDescent="0.35">
      <c r="A62" s="155" t="s">
        <v>49</v>
      </c>
      <c r="B62" s="155" t="s">
        <v>1431</v>
      </c>
      <c r="C62" s="155" t="s">
        <v>0</v>
      </c>
      <c r="D62" s="155" t="s">
        <v>1</v>
      </c>
      <c r="E62" s="155" t="s">
        <v>1297</v>
      </c>
      <c r="F62" s="155" t="s">
        <v>1298</v>
      </c>
      <c r="G62" s="156">
        <v>4</v>
      </c>
      <c r="H62" s="155" t="s">
        <v>1297</v>
      </c>
      <c r="I62" s="95" t="s">
        <v>1414</v>
      </c>
      <c r="K62" s="95" t="s">
        <v>1413</v>
      </c>
    </row>
    <row r="63" spans="1:11" x14ac:dyDescent="0.35">
      <c r="A63" s="155" t="s">
        <v>1026</v>
      </c>
      <c r="B63" s="155" t="s">
        <v>1027</v>
      </c>
      <c r="C63" s="155" t="s">
        <v>0</v>
      </c>
      <c r="D63" s="155" t="s">
        <v>1</v>
      </c>
      <c r="E63" s="155" t="s">
        <v>1299</v>
      </c>
      <c r="F63" s="155" t="s">
        <v>1300</v>
      </c>
      <c r="G63" s="156">
        <v>4</v>
      </c>
      <c r="H63" s="155" t="s">
        <v>1299</v>
      </c>
      <c r="I63" s="95" t="s">
        <v>1412</v>
      </c>
      <c r="J63" s="95">
        <v>42643</v>
      </c>
      <c r="K63" s="95" t="s">
        <v>1413</v>
      </c>
    </row>
    <row r="64" spans="1:11" x14ac:dyDescent="0.35">
      <c r="A64" s="155" t="s">
        <v>215</v>
      </c>
      <c r="B64" s="155" t="s">
        <v>216</v>
      </c>
      <c r="C64" s="155" t="s">
        <v>18</v>
      </c>
      <c r="D64" s="155" t="s">
        <v>690</v>
      </c>
      <c r="E64" s="155" t="s">
        <v>1346</v>
      </c>
      <c r="F64" s="155" t="s">
        <v>674</v>
      </c>
      <c r="G64" s="156">
        <v>33</v>
      </c>
      <c r="H64" s="155" t="s">
        <v>1346</v>
      </c>
      <c r="I64" s="95" t="s">
        <v>1414</v>
      </c>
      <c r="K64" s="95" t="s">
        <v>1413</v>
      </c>
    </row>
    <row r="65" spans="1:11" s="168" customFormat="1" x14ac:dyDescent="0.35">
      <c r="A65" s="166" t="s">
        <v>50</v>
      </c>
      <c r="B65" s="166" t="s">
        <v>1432</v>
      </c>
      <c r="C65" s="166" t="s">
        <v>0</v>
      </c>
      <c r="D65" s="166" t="s">
        <v>1</v>
      </c>
      <c r="E65" s="166" t="s">
        <v>1301</v>
      </c>
      <c r="F65" s="166" t="s">
        <v>668</v>
      </c>
      <c r="G65" s="167">
        <v>4</v>
      </c>
      <c r="H65" s="166" t="s">
        <v>1301</v>
      </c>
      <c r="I65" s="168" t="s">
        <v>1414</v>
      </c>
      <c r="K65" s="168" t="s">
        <v>1413</v>
      </c>
    </row>
    <row r="66" spans="1:11" x14ac:dyDescent="0.35">
      <c r="A66" s="155" t="s">
        <v>51</v>
      </c>
      <c r="B66" s="155" t="s">
        <v>1433</v>
      </c>
      <c r="C66" s="155" t="s">
        <v>0</v>
      </c>
      <c r="D66" s="155" t="s">
        <v>1</v>
      </c>
      <c r="E66" s="155" t="s">
        <v>1302</v>
      </c>
      <c r="F66" s="155" t="s">
        <v>1303</v>
      </c>
      <c r="G66" s="156">
        <v>4</v>
      </c>
      <c r="H66" s="155" t="s">
        <v>1302</v>
      </c>
      <c r="I66" s="95" t="s">
        <v>1414</v>
      </c>
      <c r="K66" s="95" t="s">
        <v>1413</v>
      </c>
    </row>
    <row r="67" spans="1:11" s="355" customFormat="1" x14ac:dyDescent="0.35">
      <c r="A67" s="353" t="s">
        <v>1028</v>
      </c>
      <c r="B67" s="353" t="s">
        <v>1029</v>
      </c>
      <c r="C67" s="353" t="s">
        <v>0</v>
      </c>
      <c r="D67" s="353" t="s">
        <v>1</v>
      </c>
      <c r="E67" s="353" t="s">
        <v>1301</v>
      </c>
      <c r="F67" s="353" t="s">
        <v>668</v>
      </c>
      <c r="G67" s="354">
        <v>4</v>
      </c>
      <c r="H67" s="353" t="s">
        <v>1301</v>
      </c>
      <c r="I67" s="355" t="s">
        <v>1412</v>
      </c>
      <c r="J67" s="355">
        <v>42643</v>
      </c>
      <c r="K67" s="355" t="s">
        <v>1413</v>
      </c>
    </row>
    <row r="68" spans="1:11" s="168" customFormat="1" x14ac:dyDescent="0.35">
      <c r="A68" s="166" t="s">
        <v>52</v>
      </c>
      <c r="B68" s="166" t="s">
        <v>1434</v>
      </c>
      <c r="C68" s="166" t="s">
        <v>0</v>
      </c>
      <c r="D68" s="166" t="s">
        <v>1</v>
      </c>
      <c r="E68" s="166" t="s">
        <v>1297</v>
      </c>
      <c r="F68" s="166" t="s">
        <v>1298</v>
      </c>
      <c r="G68" s="167">
        <v>4</v>
      </c>
      <c r="H68" s="166" t="s">
        <v>1297</v>
      </c>
      <c r="I68" s="168" t="s">
        <v>1414</v>
      </c>
      <c r="K68" s="168" t="s">
        <v>1413</v>
      </c>
    </row>
    <row r="69" spans="1:11" s="168" customFormat="1" x14ac:dyDescent="0.35">
      <c r="A69" s="166" t="s">
        <v>1030</v>
      </c>
      <c r="B69" s="166" t="s">
        <v>1031</v>
      </c>
      <c r="C69" s="166" t="s">
        <v>0</v>
      </c>
      <c r="D69" s="166" t="s">
        <v>1</v>
      </c>
      <c r="E69" s="166" t="s">
        <v>1302</v>
      </c>
      <c r="F69" s="166" t="s">
        <v>1303</v>
      </c>
      <c r="G69" s="167">
        <v>4</v>
      </c>
      <c r="H69" s="166" t="s">
        <v>1302</v>
      </c>
      <c r="I69" s="168" t="s">
        <v>1412</v>
      </c>
      <c r="J69" s="168">
        <v>42643</v>
      </c>
      <c r="K69" s="168" t="s">
        <v>1413</v>
      </c>
    </row>
    <row r="70" spans="1:11" x14ac:dyDescent="0.35">
      <c r="A70" s="155" t="s">
        <v>1032</v>
      </c>
      <c r="B70" s="155" t="s">
        <v>1033</v>
      </c>
      <c r="C70" s="155" t="s">
        <v>2</v>
      </c>
      <c r="D70" s="155" t="s">
        <v>3</v>
      </c>
      <c r="E70" s="155" t="s">
        <v>1304</v>
      </c>
      <c r="F70" s="155" t="s">
        <v>3</v>
      </c>
      <c r="G70" s="156">
        <v>5</v>
      </c>
      <c r="H70" s="155" t="s">
        <v>1304</v>
      </c>
      <c r="I70" s="95" t="s">
        <v>1412</v>
      </c>
      <c r="J70" s="95">
        <v>42643</v>
      </c>
      <c r="K70" s="95" t="s">
        <v>1413</v>
      </c>
    </row>
    <row r="71" spans="1:11" x14ac:dyDescent="0.35">
      <c r="A71" s="155" t="s">
        <v>53</v>
      </c>
      <c r="B71" s="155" t="s">
        <v>54</v>
      </c>
      <c r="C71" s="155" t="s">
        <v>0</v>
      </c>
      <c r="D71" s="155" t="s">
        <v>1</v>
      </c>
      <c r="E71" s="155" t="s">
        <v>1302</v>
      </c>
      <c r="F71" s="155" t="s">
        <v>1303</v>
      </c>
      <c r="G71" s="156">
        <v>4</v>
      </c>
      <c r="H71" s="155" t="s">
        <v>1302</v>
      </c>
      <c r="I71" s="95" t="s">
        <v>1414</v>
      </c>
      <c r="K71" s="95" t="s">
        <v>1413</v>
      </c>
    </row>
    <row r="72" spans="1:11" x14ac:dyDescent="0.35">
      <c r="A72" s="155" t="s">
        <v>55</v>
      </c>
      <c r="B72" s="155" t="s">
        <v>1435</v>
      </c>
      <c r="C72" s="155" t="s">
        <v>0</v>
      </c>
      <c r="D72" s="155" t="s">
        <v>1</v>
      </c>
      <c r="E72" s="155" t="s">
        <v>1302</v>
      </c>
      <c r="F72" s="155" t="s">
        <v>1303</v>
      </c>
      <c r="G72" s="156">
        <v>4</v>
      </c>
      <c r="H72" s="155" t="s">
        <v>1302</v>
      </c>
      <c r="I72" s="95" t="s">
        <v>1414</v>
      </c>
      <c r="K72" s="95" t="s">
        <v>1413</v>
      </c>
    </row>
    <row r="73" spans="1:11" x14ac:dyDescent="0.35">
      <c r="A73" s="155" t="s">
        <v>56</v>
      </c>
      <c r="B73" s="155" t="s">
        <v>57</v>
      </c>
      <c r="C73" s="155" t="s">
        <v>0</v>
      </c>
      <c r="D73" s="155" t="s">
        <v>1</v>
      </c>
      <c r="E73" s="155" t="s">
        <v>1302</v>
      </c>
      <c r="F73" s="155" t="s">
        <v>1303</v>
      </c>
      <c r="G73" s="156">
        <v>4</v>
      </c>
      <c r="H73" s="155" t="s">
        <v>1302</v>
      </c>
      <c r="I73" s="95" t="s">
        <v>1414</v>
      </c>
      <c r="K73" s="95" t="s">
        <v>1413</v>
      </c>
    </row>
    <row r="74" spans="1:11" x14ac:dyDescent="0.35">
      <c r="A74" s="155" t="s">
        <v>58</v>
      </c>
      <c r="B74" s="155" t="s">
        <v>1436</v>
      </c>
      <c r="C74" s="155" t="s">
        <v>0</v>
      </c>
      <c r="D74" s="155" t="s">
        <v>1</v>
      </c>
      <c r="E74" s="155" t="s">
        <v>1301</v>
      </c>
      <c r="F74" s="155" t="s">
        <v>668</v>
      </c>
      <c r="G74" s="156">
        <v>4</v>
      </c>
      <c r="H74" s="155" t="s">
        <v>1301</v>
      </c>
      <c r="I74" s="95" t="s">
        <v>1414</v>
      </c>
      <c r="K74" s="95" t="s">
        <v>1413</v>
      </c>
    </row>
    <row r="75" spans="1:11" x14ac:dyDescent="0.35">
      <c r="A75" s="155" t="s">
        <v>59</v>
      </c>
      <c r="B75" s="155" t="s">
        <v>1437</v>
      </c>
      <c r="C75" s="155" t="s">
        <v>0</v>
      </c>
      <c r="D75" s="155" t="s">
        <v>1</v>
      </c>
      <c r="E75" s="155" t="s">
        <v>1301</v>
      </c>
      <c r="F75" s="155" t="s">
        <v>668</v>
      </c>
      <c r="G75" s="156">
        <v>4</v>
      </c>
      <c r="H75" s="155" t="s">
        <v>1301</v>
      </c>
      <c r="I75" s="95" t="s">
        <v>1414</v>
      </c>
      <c r="K75" s="95" t="s">
        <v>1413</v>
      </c>
    </row>
    <row r="76" spans="1:11" x14ac:dyDescent="0.35">
      <c r="A76" s="155" t="s">
        <v>60</v>
      </c>
      <c r="B76" s="155" t="s">
        <v>1438</v>
      </c>
      <c r="C76" s="155" t="s">
        <v>0</v>
      </c>
      <c r="D76" s="155" t="s">
        <v>1</v>
      </c>
      <c r="E76" s="155" t="s">
        <v>1301</v>
      </c>
      <c r="F76" s="155" t="s">
        <v>668</v>
      </c>
      <c r="G76" s="156">
        <v>4</v>
      </c>
      <c r="H76" s="155" t="s">
        <v>1301</v>
      </c>
      <c r="I76" s="95" t="s">
        <v>1414</v>
      </c>
      <c r="K76" s="95" t="s">
        <v>1413</v>
      </c>
    </row>
    <row r="77" spans="1:11" x14ac:dyDescent="0.35">
      <c r="A77" s="155" t="s">
        <v>1034</v>
      </c>
      <c r="B77" s="155" t="s">
        <v>1035</v>
      </c>
      <c r="C77" s="155" t="s">
        <v>0</v>
      </c>
      <c r="D77" s="155" t="s">
        <v>1</v>
      </c>
      <c r="E77" s="155" t="s">
        <v>1301</v>
      </c>
      <c r="F77" s="155" t="s">
        <v>668</v>
      </c>
      <c r="G77" s="156">
        <v>4</v>
      </c>
      <c r="H77" s="155" t="s">
        <v>1301</v>
      </c>
      <c r="I77" s="95" t="s">
        <v>1412</v>
      </c>
      <c r="J77" s="95">
        <v>42643</v>
      </c>
      <c r="K77" s="95" t="s">
        <v>1413</v>
      </c>
    </row>
    <row r="78" spans="1:11" x14ac:dyDescent="0.35">
      <c r="A78" s="155" t="s">
        <v>1036</v>
      </c>
      <c r="B78" s="155" t="s">
        <v>1037</v>
      </c>
      <c r="C78" s="155" t="s">
        <v>0</v>
      </c>
      <c r="D78" s="155" t="s">
        <v>1</v>
      </c>
      <c r="E78" s="155" t="s">
        <v>1301</v>
      </c>
      <c r="F78" s="155" t="s">
        <v>668</v>
      </c>
      <c r="G78" s="156">
        <v>4</v>
      </c>
      <c r="H78" s="155" t="s">
        <v>1301</v>
      </c>
      <c r="I78" s="95" t="s">
        <v>1412</v>
      </c>
      <c r="J78" s="95">
        <v>42643</v>
      </c>
      <c r="K78" s="95" t="s">
        <v>1413</v>
      </c>
    </row>
    <row r="79" spans="1:11" x14ac:dyDescent="0.35">
      <c r="A79" s="155" t="s">
        <v>1038</v>
      </c>
      <c r="B79" s="155" t="s">
        <v>1039</v>
      </c>
      <c r="C79" s="155" t="s">
        <v>0</v>
      </c>
      <c r="D79" s="155" t="s">
        <v>1</v>
      </c>
      <c r="E79" s="155" t="s">
        <v>1301</v>
      </c>
      <c r="F79" s="155" t="s">
        <v>668</v>
      </c>
      <c r="G79" s="156">
        <v>4</v>
      </c>
      <c r="H79" s="155" t="s">
        <v>1301</v>
      </c>
      <c r="I79" s="95" t="s">
        <v>1412</v>
      </c>
      <c r="J79" s="95">
        <v>42643</v>
      </c>
      <c r="K79" s="95" t="s">
        <v>1413</v>
      </c>
    </row>
    <row r="80" spans="1:11" x14ac:dyDescent="0.35">
      <c r="A80" s="155" t="s">
        <v>1040</v>
      </c>
      <c r="B80" s="155" t="s">
        <v>1041</v>
      </c>
      <c r="C80" s="155" t="s">
        <v>0</v>
      </c>
      <c r="D80" s="155" t="s">
        <v>1</v>
      </c>
      <c r="E80" s="155" t="s">
        <v>1301</v>
      </c>
      <c r="F80" s="155" t="s">
        <v>668</v>
      </c>
      <c r="G80" s="156">
        <v>4</v>
      </c>
      <c r="H80" s="155" t="s">
        <v>1301</v>
      </c>
      <c r="I80" s="95" t="s">
        <v>1412</v>
      </c>
      <c r="J80" s="95">
        <v>42643</v>
      </c>
      <c r="K80" s="95" t="s">
        <v>1413</v>
      </c>
    </row>
    <row r="81" spans="1:11" x14ac:dyDescent="0.35">
      <c r="A81" s="155" t="s">
        <v>1042</v>
      </c>
      <c r="B81" s="155" t="s">
        <v>1043</v>
      </c>
      <c r="C81" s="155" t="s">
        <v>0</v>
      </c>
      <c r="D81" s="155" t="s">
        <v>1</v>
      </c>
      <c r="E81" s="155" t="s">
        <v>1301</v>
      </c>
      <c r="F81" s="155" t="s">
        <v>668</v>
      </c>
      <c r="G81" s="156">
        <v>4</v>
      </c>
      <c r="H81" s="155" t="s">
        <v>1301</v>
      </c>
      <c r="I81" s="95" t="s">
        <v>1412</v>
      </c>
      <c r="J81" s="95">
        <v>42643</v>
      </c>
      <c r="K81" s="95" t="s">
        <v>1413</v>
      </c>
    </row>
    <row r="82" spans="1:11" x14ac:dyDescent="0.35">
      <c r="A82" s="155" t="s">
        <v>1044</v>
      </c>
      <c r="B82" s="155" t="s">
        <v>1045</v>
      </c>
      <c r="C82" s="155" t="s">
        <v>0</v>
      </c>
      <c r="D82" s="155" t="s">
        <v>1</v>
      </c>
      <c r="E82" s="155" t="s">
        <v>1301</v>
      </c>
      <c r="F82" s="155" t="s">
        <v>668</v>
      </c>
      <c r="G82" s="156">
        <v>4</v>
      </c>
      <c r="H82" s="155" t="s">
        <v>1301</v>
      </c>
      <c r="I82" s="95" t="s">
        <v>1412</v>
      </c>
      <c r="J82" s="95">
        <v>42643</v>
      </c>
      <c r="K82" s="95" t="s">
        <v>1413</v>
      </c>
    </row>
    <row r="83" spans="1:11" x14ac:dyDescent="0.35">
      <c r="A83" s="155" t="s">
        <v>61</v>
      </c>
      <c r="B83" s="155" t="s">
        <v>1439</v>
      </c>
      <c r="C83" s="155" t="s">
        <v>0</v>
      </c>
      <c r="D83" s="155" t="s">
        <v>1</v>
      </c>
      <c r="E83" s="155" t="s">
        <v>1301</v>
      </c>
      <c r="F83" s="155" t="s">
        <v>668</v>
      </c>
      <c r="G83" s="156">
        <v>4</v>
      </c>
      <c r="H83" s="155" t="s">
        <v>1301</v>
      </c>
      <c r="I83" s="95" t="s">
        <v>1414</v>
      </c>
      <c r="K83" s="95" t="s">
        <v>1413</v>
      </c>
    </row>
    <row r="84" spans="1:11" x14ac:dyDescent="0.35">
      <c r="A84" s="155" t="s">
        <v>62</v>
      </c>
      <c r="B84" s="155" t="s">
        <v>1440</v>
      </c>
      <c r="C84" s="155" t="s">
        <v>0</v>
      </c>
      <c r="D84" s="155" t="s">
        <v>1</v>
      </c>
      <c r="E84" s="155" t="s">
        <v>1301</v>
      </c>
      <c r="F84" s="155" t="s">
        <v>668</v>
      </c>
      <c r="G84" s="156">
        <v>4</v>
      </c>
      <c r="H84" s="155" t="s">
        <v>1301</v>
      </c>
      <c r="I84" s="95" t="s">
        <v>1414</v>
      </c>
      <c r="K84" s="95" t="s">
        <v>1413</v>
      </c>
    </row>
    <row r="85" spans="1:11" x14ac:dyDescent="0.35">
      <c r="A85" s="155" t="s">
        <v>63</v>
      </c>
      <c r="B85" s="155" t="s">
        <v>1441</v>
      </c>
      <c r="C85" s="155" t="s">
        <v>0</v>
      </c>
      <c r="D85" s="155" t="s">
        <v>1</v>
      </c>
      <c r="E85" s="155" t="s">
        <v>1297</v>
      </c>
      <c r="F85" s="155" t="s">
        <v>1298</v>
      </c>
      <c r="G85" s="156">
        <v>4</v>
      </c>
      <c r="H85" s="155" t="s">
        <v>1297</v>
      </c>
      <c r="I85" s="95" t="s">
        <v>1414</v>
      </c>
      <c r="K85" s="95" t="s">
        <v>1413</v>
      </c>
    </row>
    <row r="86" spans="1:11" x14ac:dyDescent="0.35">
      <c r="A86" s="155" t="s">
        <v>64</v>
      </c>
      <c r="B86" s="155" t="s">
        <v>65</v>
      </c>
      <c r="C86" s="155" t="s">
        <v>0</v>
      </c>
      <c r="D86" s="155" t="s">
        <v>1</v>
      </c>
      <c r="E86" s="155" t="s">
        <v>1302</v>
      </c>
      <c r="F86" s="155" t="s">
        <v>1303</v>
      </c>
      <c r="G86" s="156">
        <v>4</v>
      </c>
      <c r="H86" s="155" t="s">
        <v>1302</v>
      </c>
      <c r="I86" s="95" t="s">
        <v>1414</v>
      </c>
      <c r="K86" s="95" t="s">
        <v>1413</v>
      </c>
    </row>
    <row r="87" spans="1:11" x14ac:dyDescent="0.35">
      <c r="A87" s="155" t="s">
        <v>66</v>
      </c>
      <c r="B87" s="155" t="s">
        <v>67</v>
      </c>
      <c r="C87" s="155" t="s">
        <v>0</v>
      </c>
      <c r="D87" s="155" t="s">
        <v>1</v>
      </c>
      <c r="E87" s="155" t="s">
        <v>1302</v>
      </c>
      <c r="F87" s="155" t="s">
        <v>1303</v>
      </c>
      <c r="G87" s="156">
        <v>4</v>
      </c>
      <c r="H87" s="155" t="s">
        <v>1302</v>
      </c>
      <c r="I87" s="95" t="s">
        <v>1414</v>
      </c>
      <c r="K87" s="95" t="s">
        <v>1413</v>
      </c>
    </row>
    <row r="88" spans="1:11" x14ac:dyDescent="0.35">
      <c r="A88" s="155" t="s">
        <v>68</v>
      </c>
      <c r="B88" s="155" t="s">
        <v>1442</v>
      </c>
      <c r="C88" s="155" t="s">
        <v>0</v>
      </c>
      <c r="D88" s="155" t="s">
        <v>1</v>
      </c>
      <c r="E88" s="155" t="s">
        <v>1297</v>
      </c>
      <c r="F88" s="155" t="s">
        <v>1298</v>
      </c>
      <c r="G88" s="156">
        <v>4</v>
      </c>
      <c r="H88" s="155" t="s">
        <v>1297</v>
      </c>
      <c r="I88" s="95" t="s">
        <v>1414</v>
      </c>
      <c r="K88" s="95" t="s">
        <v>1413</v>
      </c>
    </row>
    <row r="89" spans="1:11" x14ac:dyDescent="0.35">
      <c r="A89" s="155" t="s">
        <v>69</v>
      </c>
      <c r="B89" s="155" t="s">
        <v>1443</v>
      </c>
      <c r="C89" s="155" t="s">
        <v>0</v>
      </c>
      <c r="D89" s="155" t="s">
        <v>1</v>
      </c>
      <c r="E89" s="155" t="s">
        <v>1299</v>
      </c>
      <c r="F89" s="155" t="s">
        <v>1300</v>
      </c>
      <c r="G89" s="156">
        <v>4</v>
      </c>
      <c r="H89" s="155" t="s">
        <v>1299</v>
      </c>
      <c r="I89" s="95" t="s">
        <v>1414</v>
      </c>
      <c r="K89" s="95" t="s">
        <v>1413</v>
      </c>
    </row>
    <row r="90" spans="1:11" x14ac:dyDescent="0.35">
      <c r="A90" s="155" t="s">
        <v>70</v>
      </c>
      <c r="B90" s="155" t="s">
        <v>1444</v>
      </c>
      <c r="C90" s="155" t="s">
        <v>0</v>
      </c>
      <c r="D90" s="155" t="s">
        <v>1</v>
      </c>
      <c r="E90" s="155" t="s">
        <v>1297</v>
      </c>
      <c r="F90" s="155" t="s">
        <v>1298</v>
      </c>
      <c r="G90" s="156">
        <v>4</v>
      </c>
      <c r="H90" s="155" t="s">
        <v>1297</v>
      </c>
      <c r="I90" s="95" t="s">
        <v>1414</v>
      </c>
      <c r="K90" s="95" t="s">
        <v>1413</v>
      </c>
    </row>
    <row r="91" spans="1:11" x14ac:dyDescent="0.35">
      <c r="A91" s="155" t="s">
        <v>71</v>
      </c>
      <c r="B91" s="155" t="s">
        <v>1445</v>
      </c>
      <c r="C91" s="155" t="s">
        <v>0</v>
      </c>
      <c r="D91" s="155" t="s">
        <v>1</v>
      </c>
      <c r="E91" s="155" t="s">
        <v>1299</v>
      </c>
      <c r="F91" s="155" t="s">
        <v>1300</v>
      </c>
      <c r="G91" s="156">
        <v>4</v>
      </c>
      <c r="H91" s="155" t="s">
        <v>1299</v>
      </c>
      <c r="I91" s="95" t="s">
        <v>1414</v>
      </c>
      <c r="K91" s="95" t="s">
        <v>1413</v>
      </c>
    </row>
    <row r="92" spans="1:11" x14ac:dyDescent="0.35">
      <c r="A92" s="155" t="s">
        <v>72</v>
      </c>
      <c r="B92" s="155" t="s">
        <v>1446</v>
      </c>
      <c r="C92" s="155" t="s">
        <v>0</v>
      </c>
      <c r="D92" s="155" t="s">
        <v>1</v>
      </c>
      <c r="E92" s="155" t="s">
        <v>1297</v>
      </c>
      <c r="F92" s="155" t="s">
        <v>1298</v>
      </c>
      <c r="G92" s="156">
        <v>4</v>
      </c>
      <c r="H92" s="155" t="s">
        <v>1297</v>
      </c>
      <c r="I92" s="95" t="s">
        <v>1414</v>
      </c>
      <c r="K92" s="95" t="s">
        <v>1413</v>
      </c>
    </row>
    <row r="93" spans="1:11" x14ac:dyDescent="0.35">
      <c r="A93" s="155" t="s">
        <v>73</v>
      </c>
      <c r="B93" s="155" t="s">
        <v>1447</v>
      </c>
      <c r="C93" s="155" t="s">
        <v>0</v>
      </c>
      <c r="D93" s="155" t="s">
        <v>1</v>
      </c>
      <c r="E93" s="155" t="s">
        <v>1299</v>
      </c>
      <c r="F93" s="155" t="s">
        <v>1300</v>
      </c>
      <c r="G93" s="156">
        <v>4</v>
      </c>
      <c r="H93" s="155" t="s">
        <v>1299</v>
      </c>
      <c r="I93" s="95" t="s">
        <v>1414</v>
      </c>
      <c r="K93" s="95" t="s">
        <v>1413</v>
      </c>
    </row>
    <row r="94" spans="1:11" x14ac:dyDescent="0.35">
      <c r="A94" s="155" t="s">
        <v>1046</v>
      </c>
      <c r="B94" s="155" t="s">
        <v>1047</v>
      </c>
      <c r="C94" s="155" t="s">
        <v>0</v>
      </c>
      <c r="D94" s="155" t="s">
        <v>1</v>
      </c>
      <c r="E94" s="155" t="s">
        <v>1302</v>
      </c>
      <c r="F94" s="155" t="s">
        <v>1303</v>
      </c>
      <c r="G94" s="156">
        <v>4</v>
      </c>
      <c r="H94" s="155" t="s">
        <v>1302</v>
      </c>
      <c r="I94" s="95" t="s">
        <v>1412</v>
      </c>
      <c r="J94" s="95">
        <v>42643</v>
      </c>
      <c r="K94" s="95" t="s">
        <v>1413</v>
      </c>
    </row>
    <row r="95" spans="1:11" s="168" customFormat="1" x14ac:dyDescent="0.35">
      <c r="A95" s="166" t="s">
        <v>74</v>
      </c>
      <c r="B95" s="166" t="s">
        <v>1448</v>
      </c>
      <c r="C95" s="166" t="s">
        <v>0</v>
      </c>
      <c r="D95" s="166" t="s">
        <v>1</v>
      </c>
      <c r="E95" s="349">
        <v>44010</v>
      </c>
      <c r="F95" s="166" t="s">
        <v>668</v>
      </c>
      <c r="G95" s="167">
        <v>4</v>
      </c>
      <c r="H95" s="166" t="s">
        <v>1302</v>
      </c>
      <c r="I95" s="168" t="s">
        <v>1414</v>
      </c>
      <c r="K95" s="168" t="s">
        <v>1416</v>
      </c>
    </row>
    <row r="96" spans="1:11" s="168" customFormat="1" x14ac:dyDescent="0.35">
      <c r="A96" s="166" t="s">
        <v>75</v>
      </c>
      <c r="B96" s="166" t="s">
        <v>1449</v>
      </c>
      <c r="C96" s="166" t="s">
        <v>0</v>
      </c>
      <c r="D96" s="166" t="s">
        <v>1</v>
      </c>
      <c r="E96" s="349">
        <v>44010</v>
      </c>
      <c r="F96" s="166" t="s">
        <v>668</v>
      </c>
      <c r="G96" s="167">
        <v>4</v>
      </c>
      <c r="H96" s="166" t="s">
        <v>1302</v>
      </c>
      <c r="I96" s="168" t="s">
        <v>1414</v>
      </c>
      <c r="K96" s="168" t="s">
        <v>1416</v>
      </c>
    </row>
    <row r="97" spans="1:11" x14ac:dyDescent="0.35">
      <c r="A97" s="155" t="s">
        <v>866</v>
      </c>
      <c r="B97" s="155" t="s">
        <v>867</v>
      </c>
      <c r="C97" s="155" t="s">
        <v>0</v>
      </c>
      <c r="D97" s="155" t="s">
        <v>1</v>
      </c>
      <c r="E97" s="155" t="s">
        <v>1301</v>
      </c>
      <c r="F97" s="155" t="s">
        <v>668</v>
      </c>
      <c r="G97" s="156">
        <v>4</v>
      </c>
      <c r="H97" s="155" t="s">
        <v>1301</v>
      </c>
      <c r="I97" s="95" t="s">
        <v>1414</v>
      </c>
      <c r="K97" s="95" t="s">
        <v>1416</v>
      </c>
    </row>
    <row r="98" spans="1:11" x14ac:dyDescent="0.35">
      <c r="A98" s="155" t="s">
        <v>868</v>
      </c>
      <c r="B98" s="155" t="s">
        <v>869</v>
      </c>
      <c r="C98" s="155" t="s">
        <v>0</v>
      </c>
      <c r="D98" s="155" t="s">
        <v>1</v>
      </c>
      <c r="E98" s="155" t="s">
        <v>1301</v>
      </c>
      <c r="F98" s="155" t="s">
        <v>668</v>
      </c>
      <c r="G98" s="156">
        <v>4</v>
      </c>
      <c r="H98" s="155" t="s">
        <v>1301</v>
      </c>
      <c r="I98" s="95" t="s">
        <v>1414</v>
      </c>
      <c r="K98" s="95" t="s">
        <v>1416</v>
      </c>
    </row>
    <row r="99" spans="1:11" x14ac:dyDescent="0.35">
      <c r="A99" s="155" t="s">
        <v>870</v>
      </c>
      <c r="B99" s="155" t="s">
        <v>871</v>
      </c>
      <c r="C99" s="155" t="s">
        <v>0</v>
      </c>
      <c r="D99" s="155" t="s">
        <v>1</v>
      </c>
      <c r="E99" s="155" t="s">
        <v>1302</v>
      </c>
      <c r="F99" s="155" t="s">
        <v>1303</v>
      </c>
      <c r="G99" s="156">
        <v>4</v>
      </c>
      <c r="H99" s="155" t="s">
        <v>1302</v>
      </c>
      <c r="I99" s="95" t="s">
        <v>1414</v>
      </c>
      <c r="K99" s="95" t="s">
        <v>1416</v>
      </c>
    </row>
    <row r="100" spans="1:11" x14ac:dyDescent="0.35">
      <c r="A100" s="155" t="s">
        <v>872</v>
      </c>
      <c r="B100" s="155" t="s">
        <v>873</v>
      </c>
      <c r="C100" s="155" t="s">
        <v>0</v>
      </c>
      <c r="D100" s="155" t="s">
        <v>1</v>
      </c>
      <c r="E100" s="155" t="s">
        <v>1302</v>
      </c>
      <c r="F100" s="155" t="s">
        <v>1303</v>
      </c>
      <c r="G100" s="156">
        <v>4</v>
      </c>
      <c r="H100" s="155" t="s">
        <v>1302</v>
      </c>
      <c r="I100" s="95" t="s">
        <v>1414</v>
      </c>
      <c r="K100" s="95" t="s">
        <v>1416</v>
      </c>
    </row>
    <row r="101" spans="1:11" x14ac:dyDescent="0.35">
      <c r="A101" s="155" t="s">
        <v>874</v>
      </c>
      <c r="B101" s="155" t="s">
        <v>875</v>
      </c>
      <c r="C101" s="155" t="s">
        <v>0</v>
      </c>
      <c r="D101" s="155" t="s">
        <v>1</v>
      </c>
      <c r="E101" s="155" t="s">
        <v>1301</v>
      </c>
      <c r="F101" s="155" t="s">
        <v>668</v>
      </c>
      <c r="G101" s="156">
        <v>4</v>
      </c>
      <c r="H101" s="155" t="s">
        <v>1301</v>
      </c>
      <c r="I101" s="95" t="s">
        <v>1414</v>
      </c>
      <c r="K101" s="95" t="s">
        <v>1416</v>
      </c>
    </row>
    <row r="102" spans="1:11" x14ac:dyDescent="0.35">
      <c r="A102" s="155" t="s">
        <v>876</v>
      </c>
      <c r="B102" s="155" t="s">
        <v>877</v>
      </c>
      <c r="C102" s="155" t="s">
        <v>0</v>
      </c>
      <c r="D102" s="155" t="s">
        <v>1</v>
      </c>
      <c r="E102" s="155" t="s">
        <v>1301</v>
      </c>
      <c r="F102" s="155" t="s">
        <v>668</v>
      </c>
      <c r="G102" s="156">
        <v>4</v>
      </c>
      <c r="H102" s="155" t="s">
        <v>1301</v>
      </c>
      <c r="I102" s="95" t="s">
        <v>1414</v>
      </c>
      <c r="K102" s="95" t="s">
        <v>1416</v>
      </c>
    </row>
    <row r="103" spans="1:11" x14ac:dyDescent="0.35">
      <c r="A103" s="155" t="s">
        <v>878</v>
      </c>
      <c r="B103" s="155" t="s">
        <v>879</v>
      </c>
      <c r="C103" s="155" t="s">
        <v>0</v>
      </c>
      <c r="D103" s="155" t="s">
        <v>1</v>
      </c>
      <c r="E103" s="155" t="s">
        <v>1301</v>
      </c>
      <c r="F103" s="155" t="s">
        <v>668</v>
      </c>
      <c r="G103" s="156">
        <v>4</v>
      </c>
      <c r="H103" s="155" t="s">
        <v>1301</v>
      </c>
      <c r="I103" s="95" t="s">
        <v>1414</v>
      </c>
      <c r="K103" s="95" t="s">
        <v>1416</v>
      </c>
    </row>
    <row r="104" spans="1:11" x14ac:dyDescent="0.35">
      <c r="A104" s="155" t="s">
        <v>827</v>
      </c>
      <c r="B104" s="155" t="s">
        <v>1450</v>
      </c>
      <c r="C104" s="155" t="s">
        <v>0</v>
      </c>
      <c r="D104" s="155" t="s">
        <v>1</v>
      </c>
      <c r="E104" s="155" t="s">
        <v>1301</v>
      </c>
      <c r="F104" s="155" t="s">
        <v>668</v>
      </c>
      <c r="G104" s="156">
        <v>4</v>
      </c>
      <c r="H104" s="155" t="s">
        <v>1301</v>
      </c>
      <c r="I104" s="95" t="s">
        <v>1414</v>
      </c>
      <c r="K104" s="95" t="s">
        <v>1416</v>
      </c>
    </row>
    <row r="105" spans="1:11" x14ac:dyDescent="0.35">
      <c r="A105" s="155" t="s">
        <v>828</v>
      </c>
      <c r="B105" s="155" t="s">
        <v>829</v>
      </c>
      <c r="C105" s="155" t="s">
        <v>0</v>
      </c>
      <c r="D105" s="155" t="s">
        <v>1</v>
      </c>
      <c r="E105" s="155" t="s">
        <v>1301</v>
      </c>
      <c r="F105" s="155" t="s">
        <v>668</v>
      </c>
      <c r="G105" s="156">
        <v>4</v>
      </c>
      <c r="H105" s="155" t="s">
        <v>1301</v>
      </c>
      <c r="I105" s="95" t="s">
        <v>1414</v>
      </c>
      <c r="K105" s="95" t="s">
        <v>1416</v>
      </c>
    </row>
    <row r="106" spans="1:11" x14ac:dyDescent="0.35">
      <c r="A106" s="155" t="s">
        <v>830</v>
      </c>
      <c r="B106" s="155" t="s">
        <v>831</v>
      </c>
      <c r="C106" s="155" t="s">
        <v>0</v>
      </c>
      <c r="D106" s="155" t="s">
        <v>1</v>
      </c>
      <c r="E106" s="155" t="s">
        <v>1301</v>
      </c>
      <c r="F106" s="155" t="s">
        <v>668</v>
      </c>
      <c r="G106" s="156">
        <v>4</v>
      </c>
      <c r="H106" s="155" t="s">
        <v>1301</v>
      </c>
      <c r="I106" s="95" t="s">
        <v>1414</v>
      </c>
      <c r="K106" s="95" t="s">
        <v>1416</v>
      </c>
    </row>
    <row r="107" spans="1:11" x14ac:dyDescent="0.35">
      <c r="A107" s="155" t="s">
        <v>832</v>
      </c>
      <c r="B107" s="155" t="s">
        <v>833</v>
      </c>
      <c r="C107" s="155" t="s">
        <v>0</v>
      </c>
      <c r="D107" s="155" t="s">
        <v>1</v>
      </c>
      <c r="E107" s="155" t="s">
        <v>1301</v>
      </c>
      <c r="F107" s="155" t="s">
        <v>668</v>
      </c>
      <c r="G107" s="156">
        <v>4</v>
      </c>
      <c r="H107" s="155" t="s">
        <v>1301</v>
      </c>
      <c r="I107" s="95" t="s">
        <v>1414</v>
      </c>
      <c r="K107" s="95" t="s">
        <v>1416</v>
      </c>
    </row>
    <row r="108" spans="1:11" x14ac:dyDescent="0.35">
      <c r="A108" s="155" t="s">
        <v>834</v>
      </c>
      <c r="B108" s="155" t="s">
        <v>835</v>
      </c>
      <c r="C108" s="155" t="s">
        <v>0</v>
      </c>
      <c r="D108" s="155" t="s">
        <v>1</v>
      </c>
      <c r="E108" s="155" t="s">
        <v>1301</v>
      </c>
      <c r="F108" s="155" t="s">
        <v>668</v>
      </c>
      <c r="G108" s="156">
        <v>4</v>
      </c>
      <c r="H108" s="155" t="s">
        <v>1301</v>
      </c>
      <c r="I108" s="95" t="s">
        <v>1414</v>
      </c>
      <c r="K108" s="95" t="s">
        <v>1416</v>
      </c>
    </row>
    <row r="109" spans="1:11" x14ac:dyDescent="0.35">
      <c r="A109" s="155" t="s">
        <v>836</v>
      </c>
      <c r="B109" s="155" t="s">
        <v>837</v>
      </c>
      <c r="C109" s="155" t="s">
        <v>0</v>
      </c>
      <c r="D109" s="155" t="s">
        <v>1</v>
      </c>
      <c r="E109" s="155" t="s">
        <v>1301</v>
      </c>
      <c r="F109" s="155" t="s">
        <v>668</v>
      </c>
      <c r="G109" s="156">
        <v>4</v>
      </c>
      <c r="H109" s="155" t="s">
        <v>1301</v>
      </c>
      <c r="I109" s="95" t="s">
        <v>1414</v>
      </c>
      <c r="K109" s="95" t="s">
        <v>1416</v>
      </c>
    </row>
    <row r="110" spans="1:11" x14ac:dyDescent="0.35">
      <c r="A110" s="155" t="s">
        <v>838</v>
      </c>
      <c r="B110" s="155" t="s">
        <v>839</v>
      </c>
      <c r="C110" s="155" t="s">
        <v>0</v>
      </c>
      <c r="D110" s="155" t="s">
        <v>1</v>
      </c>
      <c r="E110" s="155" t="s">
        <v>1301</v>
      </c>
      <c r="F110" s="155" t="s">
        <v>668</v>
      </c>
      <c r="G110" s="156">
        <v>4</v>
      </c>
      <c r="H110" s="155" t="s">
        <v>1301</v>
      </c>
      <c r="I110" s="95" t="s">
        <v>1414</v>
      </c>
      <c r="K110" s="95" t="s">
        <v>1416</v>
      </c>
    </row>
    <row r="111" spans="1:11" s="168" customFormat="1" x14ac:dyDescent="0.35">
      <c r="A111" s="166" t="s">
        <v>91</v>
      </c>
      <c r="B111" s="166" t="s">
        <v>92</v>
      </c>
      <c r="C111" s="166" t="s">
        <v>8</v>
      </c>
      <c r="D111" s="166" t="s">
        <v>9</v>
      </c>
      <c r="E111" s="349">
        <v>43030</v>
      </c>
      <c r="F111" s="166" t="s">
        <v>1908</v>
      </c>
      <c r="G111" s="167">
        <v>8</v>
      </c>
      <c r="H111" s="166" t="s">
        <v>1322</v>
      </c>
      <c r="I111" s="168" t="s">
        <v>1414</v>
      </c>
      <c r="K111" s="168" t="s">
        <v>1413</v>
      </c>
    </row>
    <row r="112" spans="1:11" x14ac:dyDescent="0.35">
      <c r="A112" s="155" t="s">
        <v>93</v>
      </c>
      <c r="B112" s="155" t="s">
        <v>1451</v>
      </c>
      <c r="C112" s="155" t="s">
        <v>8</v>
      </c>
      <c r="D112" s="155" t="s">
        <v>9</v>
      </c>
      <c r="E112" s="155" t="s">
        <v>1323</v>
      </c>
      <c r="F112" s="155" t="s">
        <v>1324</v>
      </c>
      <c r="G112" s="156">
        <v>8</v>
      </c>
      <c r="H112" s="155" t="s">
        <v>1323</v>
      </c>
      <c r="I112" s="95" t="s">
        <v>1414</v>
      </c>
      <c r="K112" s="95" t="s">
        <v>1413</v>
      </c>
    </row>
    <row r="113" spans="1:11" x14ac:dyDescent="0.35">
      <c r="A113" s="155" t="s">
        <v>94</v>
      </c>
      <c r="B113" s="155" t="s">
        <v>1452</v>
      </c>
      <c r="C113" s="155" t="s">
        <v>8</v>
      </c>
      <c r="D113" s="155" t="s">
        <v>9</v>
      </c>
      <c r="E113" s="155" t="s">
        <v>1325</v>
      </c>
      <c r="F113" s="155" t="s">
        <v>1326</v>
      </c>
      <c r="G113" s="156">
        <v>8</v>
      </c>
      <c r="H113" s="155" t="s">
        <v>1325</v>
      </c>
      <c r="I113" s="95" t="s">
        <v>1414</v>
      </c>
      <c r="K113" s="95" t="s">
        <v>1413</v>
      </c>
    </row>
    <row r="114" spans="1:11" x14ac:dyDescent="0.35">
      <c r="A114" s="155" t="s">
        <v>95</v>
      </c>
      <c r="B114" s="155" t="s">
        <v>1453</v>
      </c>
      <c r="C114" s="155" t="s">
        <v>8</v>
      </c>
      <c r="D114" s="155" t="s">
        <v>9</v>
      </c>
      <c r="E114" s="155" t="s">
        <v>1323</v>
      </c>
      <c r="F114" s="155" t="s">
        <v>1324</v>
      </c>
      <c r="G114" s="156">
        <v>8</v>
      </c>
      <c r="H114" s="155" t="s">
        <v>1323</v>
      </c>
      <c r="I114" s="95" t="s">
        <v>1414</v>
      </c>
      <c r="K114" s="95" t="s">
        <v>1413</v>
      </c>
    </row>
    <row r="115" spans="1:11" x14ac:dyDescent="0.35">
      <c r="A115" s="155" t="s">
        <v>96</v>
      </c>
      <c r="B115" s="155" t="s">
        <v>1454</v>
      </c>
      <c r="C115" s="155" t="s">
        <v>8</v>
      </c>
      <c r="D115" s="155" t="s">
        <v>9</v>
      </c>
      <c r="E115" s="155" t="s">
        <v>1325</v>
      </c>
      <c r="F115" s="155" t="s">
        <v>1326</v>
      </c>
      <c r="G115" s="156">
        <v>8</v>
      </c>
      <c r="H115" s="155" t="s">
        <v>1325</v>
      </c>
      <c r="I115" s="95" t="s">
        <v>1414</v>
      </c>
      <c r="K115" s="95" t="s">
        <v>1413</v>
      </c>
    </row>
    <row r="116" spans="1:11" x14ac:dyDescent="0.35">
      <c r="A116" s="155" t="s">
        <v>1048</v>
      </c>
      <c r="B116" s="155" t="s">
        <v>1049</v>
      </c>
      <c r="C116" s="155" t="s">
        <v>8</v>
      </c>
      <c r="D116" s="155" t="s">
        <v>9</v>
      </c>
      <c r="E116" s="155" t="s">
        <v>1323</v>
      </c>
      <c r="F116" s="155" t="s">
        <v>1324</v>
      </c>
      <c r="G116" s="156">
        <v>8</v>
      </c>
      <c r="H116" s="155" t="s">
        <v>1323</v>
      </c>
      <c r="I116" s="95" t="s">
        <v>1412</v>
      </c>
      <c r="J116" s="95">
        <v>42643</v>
      </c>
      <c r="K116" s="95" t="s">
        <v>1413</v>
      </c>
    </row>
    <row r="117" spans="1:11" x14ac:dyDescent="0.35">
      <c r="A117" s="155" t="s">
        <v>1050</v>
      </c>
      <c r="B117" s="155" t="s">
        <v>1051</v>
      </c>
      <c r="C117" s="155" t="s">
        <v>8</v>
      </c>
      <c r="D117" s="155" t="s">
        <v>9</v>
      </c>
      <c r="E117" s="155" t="s">
        <v>1325</v>
      </c>
      <c r="F117" s="155" t="s">
        <v>1326</v>
      </c>
      <c r="G117" s="156">
        <v>8</v>
      </c>
      <c r="H117" s="155" t="s">
        <v>1325</v>
      </c>
      <c r="I117" s="95" t="s">
        <v>1412</v>
      </c>
      <c r="J117" s="95">
        <v>42643</v>
      </c>
      <c r="K117" s="95" t="s">
        <v>1413</v>
      </c>
    </row>
    <row r="118" spans="1:11" x14ac:dyDescent="0.35">
      <c r="A118" s="155" t="s">
        <v>97</v>
      </c>
      <c r="B118" s="155" t="s">
        <v>98</v>
      </c>
      <c r="C118" s="155" t="s">
        <v>8</v>
      </c>
      <c r="D118" s="155" t="s">
        <v>9</v>
      </c>
      <c r="E118" s="155" t="s">
        <v>1327</v>
      </c>
      <c r="F118" s="155" t="s">
        <v>1328</v>
      </c>
      <c r="G118" s="156">
        <v>8</v>
      </c>
      <c r="H118" s="155" t="s">
        <v>1327</v>
      </c>
      <c r="I118" s="95" t="s">
        <v>1414</v>
      </c>
      <c r="K118" s="95" t="s">
        <v>1413</v>
      </c>
    </row>
    <row r="119" spans="1:11" x14ac:dyDescent="0.35">
      <c r="A119" s="155" t="s">
        <v>99</v>
      </c>
      <c r="B119" s="155" t="s">
        <v>100</v>
      </c>
      <c r="C119" s="155" t="s">
        <v>8</v>
      </c>
      <c r="D119" s="155" t="s">
        <v>9</v>
      </c>
      <c r="E119" s="155" t="s">
        <v>1325</v>
      </c>
      <c r="F119" s="155" t="s">
        <v>1326</v>
      </c>
      <c r="G119" s="156">
        <v>8</v>
      </c>
      <c r="H119" s="155" t="s">
        <v>1325</v>
      </c>
      <c r="I119" s="95" t="s">
        <v>1414</v>
      </c>
      <c r="K119" s="95" t="s">
        <v>1413</v>
      </c>
    </row>
    <row r="120" spans="1:11" x14ac:dyDescent="0.35">
      <c r="A120" s="155" t="s">
        <v>101</v>
      </c>
      <c r="B120" s="155" t="s">
        <v>1455</v>
      </c>
      <c r="C120" s="155" t="s">
        <v>8</v>
      </c>
      <c r="D120" s="155" t="s">
        <v>9</v>
      </c>
      <c r="E120" s="155" t="s">
        <v>1323</v>
      </c>
      <c r="F120" s="155" t="s">
        <v>1324</v>
      </c>
      <c r="G120" s="156">
        <v>8</v>
      </c>
      <c r="H120" s="155" t="s">
        <v>1323</v>
      </c>
      <c r="I120" s="95" t="s">
        <v>1414</v>
      </c>
      <c r="K120" s="95" t="s">
        <v>1413</v>
      </c>
    </row>
    <row r="121" spans="1:11" x14ac:dyDescent="0.35">
      <c r="A121" s="155" t="s">
        <v>102</v>
      </c>
      <c r="B121" s="155" t="s">
        <v>1456</v>
      </c>
      <c r="C121" s="155" t="s">
        <v>8</v>
      </c>
      <c r="D121" s="155" t="s">
        <v>9</v>
      </c>
      <c r="E121" s="155" t="s">
        <v>1325</v>
      </c>
      <c r="F121" s="155" t="s">
        <v>1326</v>
      </c>
      <c r="G121" s="156">
        <v>8</v>
      </c>
      <c r="H121" s="155" t="s">
        <v>1325</v>
      </c>
      <c r="I121" s="95" t="s">
        <v>1414</v>
      </c>
      <c r="K121" s="95" t="s">
        <v>1413</v>
      </c>
    </row>
    <row r="122" spans="1:11" x14ac:dyDescent="0.35">
      <c r="A122" s="155" t="s">
        <v>103</v>
      </c>
      <c r="B122" s="155" t="s">
        <v>1457</v>
      </c>
      <c r="C122" s="155" t="s">
        <v>8</v>
      </c>
      <c r="D122" s="155" t="s">
        <v>9</v>
      </c>
      <c r="E122" s="155" t="s">
        <v>1322</v>
      </c>
      <c r="F122" s="155" t="s">
        <v>671</v>
      </c>
      <c r="G122" s="156">
        <v>8</v>
      </c>
      <c r="H122" s="155" t="s">
        <v>1322</v>
      </c>
      <c r="I122" s="95" t="s">
        <v>1414</v>
      </c>
      <c r="K122" s="95" t="s">
        <v>1413</v>
      </c>
    </row>
    <row r="123" spans="1:11" x14ac:dyDescent="0.35">
      <c r="A123" s="155" t="s">
        <v>104</v>
      </c>
      <c r="B123" s="155" t="s">
        <v>1458</v>
      </c>
      <c r="C123" s="155" t="s">
        <v>8</v>
      </c>
      <c r="D123" s="155" t="s">
        <v>9</v>
      </c>
      <c r="E123" s="155" t="s">
        <v>1322</v>
      </c>
      <c r="F123" s="155" t="s">
        <v>671</v>
      </c>
      <c r="G123" s="156">
        <v>8</v>
      </c>
      <c r="H123" s="155" t="s">
        <v>1322</v>
      </c>
      <c r="I123" s="95" t="s">
        <v>1414</v>
      </c>
      <c r="K123" s="95" t="s">
        <v>1413</v>
      </c>
    </row>
    <row r="124" spans="1:11" x14ac:dyDescent="0.35">
      <c r="A124" s="155" t="s">
        <v>105</v>
      </c>
      <c r="B124" s="155" t="s">
        <v>1459</v>
      </c>
      <c r="C124" s="155" t="s">
        <v>8</v>
      </c>
      <c r="D124" s="155" t="s">
        <v>9</v>
      </c>
      <c r="E124" s="155" t="s">
        <v>1322</v>
      </c>
      <c r="F124" s="155" t="s">
        <v>671</v>
      </c>
      <c r="G124" s="156">
        <v>8</v>
      </c>
      <c r="H124" s="155" t="s">
        <v>1322</v>
      </c>
      <c r="I124" s="95" t="s">
        <v>1414</v>
      </c>
      <c r="K124" s="95" t="s">
        <v>1413</v>
      </c>
    </row>
    <row r="125" spans="1:11" x14ac:dyDescent="0.35">
      <c r="A125" s="155" t="s">
        <v>106</v>
      </c>
      <c r="B125" s="155" t="s">
        <v>1460</v>
      </c>
      <c r="C125" s="155" t="s">
        <v>8</v>
      </c>
      <c r="D125" s="155" t="s">
        <v>9</v>
      </c>
      <c r="E125" s="155" t="s">
        <v>1322</v>
      </c>
      <c r="F125" s="155" t="s">
        <v>671</v>
      </c>
      <c r="G125" s="156">
        <v>8</v>
      </c>
      <c r="H125" s="155" t="s">
        <v>1322</v>
      </c>
      <c r="I125" s="95" t="s">
        <v>1414</v>
      </c>
      <c r="K125" s="95" t="s">
        <v>1416</v>
      </c>
    </row>
    <row r="126" spans="1:11" x14ac:dyDescent="0.35">
      <c r="A126" s="155" t="s">
        <v>880</v>
      </c>
      <c r="B126" s="155" t="s">
        <v>107</v>
      </c>
      <c r="C126" s="155" t="s">
        <v>8</v>
      </c>
      <c r="D126" s="155" t="s">
        <v>9</v>
      </c>
      <c r="E126" s="155" t="s">
        <v>1327</v>
      </c>
      <c r="F126" s="155" t="s">
        <v>1328</v>
      </c>
      <c r="G126" s="156">
        <v>8</v>
      </c>
      <c r="H126" s="155" t="s">
        <v>1327</v>
      </c>
      <c r="I126" s="95" t="s">
        <v>1414</v>
      </c>
      <c r="K126" s="95" t="s">
        <v>1416</v>
      </c>
    </row>
    <row r="127" spans="1:11" x14ac:dyDescent="0.35">
      <c r="A127" s="155" t="s">
        <v>881</v>
      </c>
      <c r="B127" s="155" t="s">
        <v>108</v>
      </c>
      <c r="C127" s="155" t="s">
        <v>8</v>
      </c>
      <c r="D127" s="155" t="s">
        <v>9</v>
      </c>
      <c r="E127" s="155" t="s">
        <v>1327</v>
      </c>
      <c r="F127" s="155" t="s">
        <v>1328</v>
      </c>
      <c r="G127" s="156">
        <v>8</v>
      </c>
      <c r="H127" s="155" t="s">
        <v>1327</v>
      </c>
      <c r="I127" s="95" t="s">
        <v>1414</v>
      </c>
      <c r="K127" s="95" t="s">
        <v>1416</v>
      </c>
    </row>
    <row r="128" spans="1:11" x14ac:dyDescent="0.35">
      <c r="A128" s="155" t="s">
        <v>1052</v>
      </c>
      <c r="B128" s="155" t="s">
        <v>1053</v>
      </c>
      <c r="C128" s="155" t="s">
        <v>10</v>
      </c>
      <c r="D128" s="155" t="s">
        <v>11</v>
      </c>
      <c r="E128" s="155" t="s">
        <v>1329</v>
      </c>
      <c r="F128" s="155" t="s">
        <v>672</v>
      </c>
      <c r="G128" s="156">
        <v>9</v>
      </c>
      <c r="H128" s="155" t="s">
        <v>1329</v>
      </c>
      <c r="I128" s="95" t="s">
        <v>1412</v>
      </c>
      <c r="J128" s="95">
        <v>42643</v>
      </c>
      <c r="K128" s="95" t="s">
        <v>1413</v>
      </c>
    </row>
    <row r="129" spans="1:11" x14ac:dyDescent="0.35">
      <c r="A129" s="155" t="s">
        <v>109</v>
      </c>
      <c r="B129" s="155" t="s">
        <v>1461</v>
      </c>
      <c r="C129" s="155" t="s">
        <v>10</v>
      </c>
      <c r="D129" s="155" t="s">
        <v>11</v>
      </c>
      <c r="E129" s="155" t="s">
        <v>1330</v>
      </c>
      <c r="F129" s="155" t="s">
        <v>1331</v>
      </c>
      <c r="G129" s="156">
        <v>9</v>
      </c>
      <c r="H129" s="155" t="s">
        <v>1330</v>
      </c>
      <c r="I129" s="95" t="s">
        <v>1414</v>
      </c>
      <c r="K129" s="95" t="s">
        <v>1413</v>
      </c>
    </row>
    <row r="130" spans="1:11" x14ac:dyDescent="0.35">
      <c r="A130" s="155" t="s">
        <v>110</v>
      </c>
      <c r="B130" s="155" t="s">
        <v>1462</v>
      </c>
      <c r="C130" s="155" t="s">
        <v>10</v>
      </c>
      <c r="D130" s="155" t="s">
        <v>11</v>
      </c>
      <c r="E130" s="155" t="s">
        <v>1332</v>
      </c>
      <c r="F130" s="155" t="s">
        <v>1333</v>
      </c>
      <c r="G130" s="156">
        <v>9</v>
      </c>
      <c r="H130" s="155" t="s">
        <v>1332</v>
      </c>
      <c r="I130" s="95" t="s">
        <v>1414</v>
      </c>
      <c r="K130" s="95" t="s">
        <v>1413</v>
      </c>
    </row>
    <row r="131" spans="1:11" x14ac:dyDescent="0.35">
      <c r="A131" s="155" t="s">
        <v>111</v>
      </c>
      <c r="B131" s="155" t="s">
        <v>1463</v>
      </c>
      <c r="C131" s="155" t="s">
        <v>10</v>
      </c>
      <c r="D131" s="155" t="s">
        <v>11</v>
      </c>
      <c r="E131" s="155" t="s">
        <v>1329</v>
      </c>
      <c r="F131" s="155" t="s">
        <v>672</v>
      </c>
      <c r="G131" s="156">
        <v>9</v>
      </c>
      <c r="H131" s="155" t="s">
        <v>1329</v>
      </c>
      <c r="I131" s="95" t="s">
        <v>1414</v>
      </c>
      <c r="K131" s="95" t="s">
        <v>1413</v>
      </c>
    </row>
    <row r="132" spans="1:11" x14ac:dyDescent="0.35">
      <c r="A132" s="155" t="s">
        <v>112</v>
      </c>
      <c r="B132" s="155" t="s">
        <v>1464</v>
      </c>
      <c r="C132" s="155" t="s">
        <v>10</v>
      </c>
      <c r="D132" s="155" t="s">
        <v>11</v>
      </c>
      <c r="E132" s="155" t="s">
        <v>1329</v>
      </c>
      <c r="F132" s="155" t="s">
        <v>672</v>
      </c>
      <c r="G132" s="156">
        <v>9</v>
      </c>
      <c r="H132" s="155" t="s">
        <v>1329</v>
      </c>
      <c r="I132" s="95" t="s">
        <v>1414</v>
      </c>
      <c r="K132" s="95" t="s">
        <v>1413</v>
      </c>
    </row>
    <row r="133" spans="1:11" x14ac:dyDescent="0.35">
      <c r="A133" s="155" t="s">
        <v>113</v>
      </c>
      <c r="B133" s="155" t="s">
        <v>1465</v>
      </c>
      <c r="C133" s="155" t="s">
        <v>10</v>
      </c>
      <c r="D133" s="155" t="s">
        <v>11</v>
      </c>
      <c r="E133" s="155" t="s">
        <v>1334</v>
      </c>
      <c r="F133" s="155" t="s">
        <v>1335</v>
      </c>
      <c r="G133" s="156">
        <v>9</v>
      </c>
      <c r="H133" s="155" t="s">
        <v>1334</v>
      </c>
      <c r="I133" s="95" t="s">
        <v>1414</v>
      </c>
      <c r="K133" s="95" t="s">
        <v>1413</v>
      </c>
    </row>
    <row r="134" spans="1:11" x14ac:dyDescent="0.35">
      <c r="A134" s="155" t="s">
        <v>114</v>
      </c>
      <c r="B134" s="155" t="s">
        <v>1466</v>
      </c>
      <c r="C134" s="155" t="s">
        <v>10</v>
      </c>
      <c r="D134" s="155" t="s">
        <v>11</v>
      </c>
      <c r="E134" s="155" t="s">
        <v>1329</v>
      </c>
      <c r="F134" s="155" t="s">
        <v>672</v>
      </c>
      <c r="G134" s="156">
        <v>9</v>
      </c>
      <c r="H134" s="155" t="s">
        <v>1329</v>
      </c>
      <c r="I134" s="95" t="s">
        <v>1414</v>
      </c>
      <c r="K134" s="95" t="s">
        <v>1416</v>
      </c>
    </row>
    <row r="135" spans="1:11" x14ac:dyDescent="0.35">
      <c r="A135" s="155" t="s">
        <v>115</v>
      </c>
      <c r="B135" s="155" t="s">
        <v>1467</v>
      </c>
      <c r="C135" s="155" t="s">
        <v>10</v>
      </c>
      <c r="D135" s="155" t="s">
        <v>11</v>
      </c>
      <c r="E135" s="155" t="s">
        <v>1329</v>
      </c>
      <c r="F135" s="155" t="s">
        <v>672</v>
      </c>
      <c r="G135" s="156">
        <v>9</v>
      </c>
      <c r="H135" s="155" t="s">
        <v>1329</v>
      </c>
      <c r="I135" s="95" t="s">
        <v>1414</v>
      </c>
      <c r="K135" s="95" t="s">
        <v>1416</v>
      </c>
    </row>
    <row r="136" spans="1:11" x14ac:dyDescent="0.35">
      <c r="A136" s="155" t="s">
        <v>882</v>
      </c>
      <c r="B136" s="155" t="s">
        <v>883</v>
      </c>
      <c r="C136" s="155" t="s">
        <v>10</v>
      </c>
      <c r="D136" s="155" t="s">
        <v>11</v>
      </c>
      <c r="E136" s="155" t="s">
        <v>1330</v>
      </c>
      <c r="F136" s="155" t="s">
        <v>1331</v>
      </c>
      <c r="G136" s="156">
        <v>9</v>
      </c>
      <c r="H136" s="155" t="s">
        <v>1330</v>
      </c>
      <c r="I136" s="95" t="s">
        <v>1414</v>
      </c>
      <c r="K136" s="95" t="s">
        <v>1416</v>
      </c>
    </row>
    <row r="137" spans="1:11" x14ac:dyDescent="0.35">
      <c r="A137" s="155" t="s">
        <v>884</v>
      </c>
      <c r="B137" s="155" t="s">
        <v>885</v>
      </c>
      <c r="C137" s="155" t="s">
        <v>10</v>
      </c>
      <c r="D137" s="155" t="s">
        <v>11</v>
      </c>
      <c r="E137" s="155" t="s">
        <v>1332</v>
      </c>
      <c r="F137" s="155" t="s">
        <v>1333</v>
      </c>
      <c r="G137" s="156">
        <v>9</v>
      </c>
      <c r="H137" s="155" t="s">
        <v>1332</v>
      </c>
      <c r="I137" s="95" t="s">
        <v>1414</v>
      </c>
      <c r="K137" s="95" t="s">
        <v>1416</v>
      </c>
    </row>
    <row r="138" spans="1:11" x14ac:dyDescent="0.35">
      <c r="A138" s="155" t="s">
        <v>886</v>
      </c>
      <c r="B138" s="155" t="s">
        <v>887</v>
      </c>
      <c r="C138" s="155" t="s">
        <v>10</v>
      </c>
      <c r="D138" s="155" t="s">
        <v>11</v>
      </c>
      <c r="E138" s="155" t="s">
        <v>1332</v>
      </c>
      <c r="F138" s="155" t="s">
        <v>1333</v>
      </c>
      <c r="G138" s="156">
        <v>9</v>
      </c>
      <c r="H138" s="155" t="s">
        <v>1332</v>
      </c>
      <c r="I138" s="95" t="s">
        <v>1414</v>
      </c>
      <c r="K138" s="95" t="s">
        <v>1416</v>
      </c>
    </row>
    <row r="139" spans="1:11" x14ac:dyDescent="0.35">
      <c r="A139" s="155" t="s">
        <v>888</v>
      </c>
      <c r="B139" s="155" t="s">
        <v>889</v>
      </c>
      <c r="C139" s="155" t="s">
        <v>10</v>
      </c>
      <c r="D139" s="155" t="s">
        <v>11</v>
      </c>
      <c r="E139" s="155" t="s">
        <v>1329</v>
      </c>
      <c r="F139" s="155" t="s">
        <v>672</v>
      </c>
      <c r="G139" s="156">
        <v>9</v>
      </c>
      <c r="H139" s="155" t="s">
        <v>1329</v>
      </c>
      <c r="I139" s="95" t="s">
        <v>1414</v>
      </c>
      <c r="K139" s="95" t="s">
        <v>1416</v>
      </c>
    </row>
    <row r="140" spans="1:11" x14ac:dyDescent="0.35">
      <c r="A140" s="155" t="s">
        <v>890</v>
      </c>
      <c r="B140" s="155" t="s">
        <v>891</v>
      </c>
      <c r="C140" s="155" t="s">
        <v>10</v>
      </c>
      <c r="D140" s="155" t="s">
        <v>11</v>
      </c>
      <c r="E140" s="155" t="s">
        <v>1334</v>
      </c>
      <c r="F140" s="155" t="s">
        <v>1335</v>
      </c>
      <c r="G140" s="156">
        <v>9</v>
      </c>
      <c r="H140" s="155" t="s">
        <v>1334</v>
      </c>
      <c r="I140" s="95" t="s">
        <v>1414</v>
      </c>
      <c r="K140" s="95" t="s">
        <v>1416</v>
      </c>
    </row>
    <row r="141" spans="1:11" x14ac:dyDescent="0.35">
      <c r="A141" s="155" t="s">
        <v>892</v>
      </c>
      <c r="B141" s="155" t="s">
        <v>116</v>
      </c>
      <c r="C141" s="155" t="s">
        <v>10</v>
      </c>
      <c r="D141" s="155" t="s">
        <v>11</v>
      </c>
      <c r="E141" s="155" t="s">
        <v>1334</v>
      </c>
      <c r="F141" s="155" t="s">
        <v>1335</v>
      </c>
      <c r="G141" s="156">
        <v>9</v>
      </c>
      <c r="H141" s="155" t="s">
        <v>1334</v>
      </c>
      <c r="I141" s="95" t="s">
        <v>1414</v>
      </c>
      <c r="K141" s="95" t="s">
        <v>1416</v>
      </c>
    </row>
    <row r="142" spans="1:11" x14ac:dyDescent="0.35">
      <c r="A142" s="155" t="s">
        <v>893</v>
      </c>
      <c r="B142" s="155" t="s">
        <v>894</v>
      </c>
      <c r="C142" s="155" t="s">
        <v>10</v>
      </c>
      <c r="D142" s="155" t="s">
        <v>11</v>
      </c>
      <c r="E142" s="155" t="s">
        <v>1334</v>
      </c>
      <c r="F142" s="155" t="s">
        <v>1335</v>
      </c>
      <c r="G142" s="156">
        <v>9</v>
      </c>
      <c r="H142" s="155" t="s">
        <v>1334</v>
      </c>
      <c r="I142" s="95" t="s">
        <v>1414</v>
      </c>
      <c r="K142" s="95" t="s">
        <v>1416</v>
      </c>
    </row>
    <row r="143" spans="1:11" x14ac:dyDescent="0.35">
      <c r="A143" s="155" t="s">
        <v>132</v>
      </c>
      <c r="B143" s="155" t="s">
        <v>1468</v>
      </c>
      <c r="C143" s="155" t="s">
        <v>12</v>
      </c>
      <c r="D143" s="155" t="s">
        <v>13</v>
      </c>
      <c r="E143" s="155" t="s">
        <v>1338</v>
      </c>
      <c r="F143" s="155" t="s">
        <v>1339</v>
      </c>
      <c r="G143" s="156">
        <v>10</v>
      </c>
      <c r="H143" s="155" t="s">
        <v>1338</v>
      </c>
      <c r="I143" s="95" t="s">
        <v>1414</v>
      </c>
      <c r="K143" s="95" t="s">
        <v>1413</v>
      </c>
    </row>
    <row r="144" spans="1:11" x14ac:dyDescent="0.35">
      <c r="A144" s="155" t="s">
        <v>1054</v>
      </c>
      <c r="B144" s="155" t="s">
        <v>1055</v>
      </c>
      <c r="C144" s="155" t="s">
        <v>12</v>
      </c>
      <c r="D144" s="155" t="s">
        <v>13</v>
      </c>
      <c r="E144" s="155" t="s">
        <v>1338</v>
      </c>
      <c r="F144" s="155" t="s">
        <v>1339</v>
      </c>
      <c r="G144" s="156">
        <v>10</v>
      </c>
      <c r="H144" s="155" t="s">
        <v>1338</v>
      </c>
      <c r="I144" s="95" t="s">
        <v>1412</v>
      </c>
      <c r="J144" s="95">
        <v>42643</v>
      </c>
      <c r="K144" s="95" t="s">
        <v>1413</v>
      </c>
    </row>
    <row r="145" spans="1:11" x14ac:dyDescent="0.35">
      <c r="A145" s="155" t="s">
        <v>133</v>
      </c>
      <c r="B145" s="155" t="s">
        <v>1469</v>
      </c>
      <c r="C145" s="155" t="s">
        <v>12</v>
      </c>
      <c r="D145" s="155" t="s">
        <v>13</v>
      </c>
      <c r="E145" s="155" t="s">
        <v>1336</v>
      </c>
      <c r="F145" s="155" t="s">
        <v>1337</v>
      </c>
      <c r="G145" s="156">
        <v>10</v>
      </c>
      <c r="H145" s="155" t="s">
        <v>1336</v>
      </c>
      <c r="I145" s="95" t="s">
        <v>1414</v>
      </c>
      <c r="K145" s="95" t="s">
        <v>1413</v>
      </c>
    </row>
    <row r="146" spans="1:11" x14ac:dyDescent="0.35">
      <c r="A146" s="155" t="s">
        <v>134</v>
      </c>
      <c r="B146" s="155" t="s">
        <v>1470</v>
      </c>
      <c r="C146" s="155" t="s">
        <v>12</v>
      </c>
      <c r="D146" s="155" t="s">
        <v>13</v>
      </c>
      <c r="E146" s="155" t="s">
        <v>1336</v>
      </c>
      <c r="F146" s="155" t="s">
        <v>1337</v>
      </c>
      <c r="G146" s="156">
        <v>10</v>
      </c>
      <c r="H146" s="155" t="s">
        <v>1336</v>
      </c>
      <c r="I146" s="95" t="s">
        <v>1414</v>
      </c>
      <c r="K146" s="95" t="s">
        <v>1413</v>
      </c>
    </row>
    <row r="147" spans="1:11" x14ac:dyDescent="0.35">
      <c r="A147" s="155" t="s">
        <v>135</v>
      </c>
      <c r="B147" s="155" t="s">
        <v>136</v>
      </c>
      <c r="C147" s="155" t="s">
        <v>12</v>
      </c>
      <c r="D147" s="155" t="s">
        <v>13</v>
      </c>
      <c r="E147" s="155" t="s">
        <v>1336</v>
      </c>
      <c r="F147" s="155" t="s">
        <v>1337</v>
      </c>
      <c r="G147" s="156">
        <v>10</v>
      </c>
      <c r="H147" s="155" t="s">
        <v>1336</v>
      </c>
      <c r="I147" s="95" t="s">
        <v>1414</v>
      </c>
      <c r="K147" s="95" t="s">
        <v>1413</v>
      </c>
    </row>
    <row r="148" spans="1:11" x14ac:dyDescent="0.35">
      <c r="A148" s="155" t="s">
        <v>137</v>
      </c>
      <c r="B148" s="155" t="s">
        <v>138</v>
      </c>
      <c r="C148" s="155" t="s">
        <v>12</v>
      </c>
      <c r="D148" s="155" t="s">
        <v>13</v>
      </c>
      <c r="E148" s="155" t="s">
        <v>1336</v>
      </c>
      <c r="F148" s="155" t="s">
        <v>1337</v>
      </c>
      <c r="G148" s="156">
        <v>10</v>
      </c>
      <c r="H148" s="155" t="s">
        <v>1336</v>
      </c>
      <c r="I148" s="95" t="s">
        <v>1414</v>
      </c>
      <c r="K148" s="95" t="s">
        <v>1413</v>
      </c>
    </row>
    <row r="149" spans="1:11" x14ac:dyDescent="0.35">
      <c r="A149" s="155" t="s">
        <v>1056</v>
      </c>
      <c r="B149" s="155" t="s">
        <v>1057</v>
      </c>
      <c r="C149" s="155" t="s">
        <v>12</v>
      </c>
      <c r="D149" s="155" t="s">
        <v>13</v>
      </c>
      <c r="E149" s="155" t="s">
        <v>1336</v>
      </c>
      <c r="F149" s="155" t="s">
        <v>1337</v>
      </c>
      <c r="G149" s="156">
        <v>10</v>
      </c>
      <c r="H149" s="155" t="s">
        <v>1336</v>
      </c>
      <c r="I149" s="95" t="s">
        <v>1471</v>
      </c>
      <c r="J149" s="95">
        <v>42643</v>
      </c>
      <c r="K149" s="95" t="s">
        <v>1413</v>
      </c>
    </row>
    <row r="150" spans="1:11" x14ac:dyDescent="0.35">
      <c r="A150" s="155" t="s">
        <v>1058</v>
      </c>
      <c r="B150" s="155" t="s">
        <v>1059</v>
      </c>
      <c r="C150" s="155" t="s">
        <v>12</v>
      </c>
      <c r="D150" s="155" t="s">
        <v>13</v>
      </c>
      <c r="E150" s="155" t="s">
        <v>1336</v>
      </c>
      <c r="F150" s="155" t="s">
        <v>1337</v>
      </c>
      <c r="G150" s="156">
        <v>10</v>
      </c>
      <c r="H150" s="155" t="s">
        <v>1336</v>
      </c>
      <c r="I150" s="95" t="s">
        <v>1471</v>
      </c>
      <c r="J150" s="95">
        <v>42643</v>
      </c>
      <c r="K150" s="95" t="s">
        <v>1413</v>
      </c>
    </row>
    <row r="151" spans="1:11" x14ac:dyDescent="0.35">
      <c r="A151" s="155" t="s">
        <v>895</v>
      </c>
      <c r="B151" s="155" t="s">
        <v>896</v>
      </c>
      <c r="C151" s="155" t="s">
        <v>12</v>
      </c>
      <c r="D151" s="155" t="s">
        <v>13</v>
      </c>
      <c r="E151" s="155" t="s">
        <v>1338</v>
      </c>
      <c r="F151" s="155" t="s">
        <v>1339</v>
      </c>
      <c r="G151" s="156">
        <v>10</v>
      </c>
      <c r="H151" s="155" t="s">
        <v>1338</v>
      </c>
      <c r="I151" s="95" t="s">
        <v>1414</v>
      </c>
      <c r="K151" s="95" t="s">
        <v>1416</v>
      </c>
    </row>
    <row r="152" spans="1:11" x14ac:dyDescent="0.35">
      <c r="A152" s="155" t="s">
        <v>897</v>
      </c>
      <c r="B152" s="155" t="s">
        <v>898</v>
      </c>
      <c r="C152" s="155" t="s">
        <v>12</v>
      </c>
      <c r="D152" s="155" t="s">
        <v>13</v>
      </c>
      <c r="E152" s="155" t="s">
        <v>1340</v>
      </c>
      <c r="F152" s="155" t="s">
        <v>1341</v>
      </c>
      <c r="G152" s="156">
        <v>10</v>
      </c>
      <c r="H152" s="155" t="s">
        <v>1340</v>
      </c>
      <c r="I152" s="95" t="s">
        <v>1414</v>
      </c>
      <c r="K152" s="95" t="s">
        <v>1416</v>
      </c>
    </row>
    <row r="153" spans="1:11" x14ac:dyDescent="0.35">
      <c r="A153" s="155" t="s">
        <v>899</v>
      </c>
      <c r="B153" s="155" t="s">
        <v>900</v>
      </c>
      <c r="C153" s="155" t="s">
        <v>12</v>
      </c>
      <c r="D153" s="155" t="s">
        <v>13</v>
      </c>
      <c r="E153" s="155" t="s">
        <v>1340</v>
      </c>
      <c r="F153" s="155" t="s">
        <v>1341</v>
      </c>
      <c r="G153" s="156">
        <v>10</v>
      </c>
      <c r="H153" s="155" t="s">
        <v>1340</v>
      </c>
      <c r="I153" s="95" t="s">
        <v>1414</v>
      </c>
      <c r="K153" s="95" t="s">
        <v>1416</v>
      </c>
    </row>
    <row r="154" spans="1:11" x14ac:dyDescent="0.35">
      <c r="A154" s="155" t="s">
        <v>901</v>
      </c>
      <c r="B154" s="155" t="s">
        <v>902</v>
      </c>
      <c r="C154" s="155" t="s">
        <v>12</v>
      </c>
      <c r="D154" s="155" t="s">
        <v>13</v>
      </c>
      <c r="E154" s="155" t="s">
        <v>1336</v>
      </c>
      <c r="F154" s="155" t="s">
        <v>1337</v>
      </c>
      <c r="G154" s="156">
        <v>10</v>
      </c>
      <c r="H154" s="155" t="s">
        <v>1336</v>
      </c>
      <c r="I154" s="95" t="s">
        <v>1414</v>
      </c>
      <c r="K154" s="95" t="s">
        <v>1416</v>
      </c>
    </row>
    <row r="155" spans="1:11" x14ac:dyDescent="0.35">
      <c r="A155" s="155" t="s">
        <v>161</v>
      </c>
      <c r="B155" s="155" t="s">
        <v>162</v>
      </c>
      <c r="C155" s="155" t="s">
        <v>16</v>
      </c>
      <c r="D155" s="155" t="s">
        <v>17</v>
      </c>
      <c r="E155" s="155" t="s">
        <v>1343</v>
      </c>
      <c r="F155" s="155" t="s">
        <v>17</v>
      </c>
      <c r="G155" s="156">
        <v>12</v>
      </c>
      <c r="H155" s="155" t="s">
        <v>1343</v>
      </c>
      <c r="I155" s="95" t="s">
        <v>1414</v>
      </c>
      <c r="K155" s="95" t="s">
        <v>1413</v>
      </c>
    </row>
    <row r="156" spans="1:11" x14ac:dyDescent="0.35">
      <c r="A156" s="155" t="s">
        <v>1060</v>
      </c>
      <c r="B156" s="155" t="s">
        <v>1061</v>
      </c>
      <c r="C156" s="155" t="s">
        <v>16</v>
      </c>
      <c r="D156" s="155" t="s">
        <v>17</v>
      </c>
      <c r="E156" s="155" t="s">
        <v>1343</v>
      </c>
      <c r="F156" s="155" t="s">
        <v>17</v>
      </c>
      <c r="G156" s="156">
        <v>12</v>
      </c>
      <c r="H156" s="155" t="s">
        <v>1343</v>
      </c>
      <c r="I156" s="95" t="s">
        <v>1412</v>
      </c>
      <c r="J156" s="95">
        <v>42643</v>
      </c>
      <c r="K156" s="95" t="s">
        <v>1413</v>
      </c>
    </row>
    <row r="157" spans="1:11" x14ac:dyDescent="0.35">
      <c r="A157" s="155" t="s">
        <v>163</v>
      </c>
      <c r="B157" s="155" t="s">
        <v>1472</v>
      </c>
      <c r="C157" s="155" t="s">
        <v>16</v>
      </c>
      <c r="D157" s="155" t="s">
        <v>17</v>
      </c>
      <c r="E157" s="155" t="s">
        <v>1343</v>
      </c>
      <c r="F157" s="155" t="s">
        <v>17</v>
      </c>
      <c r="G157" s="156">
        <v>12</v>
      </c>
      <c r="H157" s="155" t="s">
        <v>1343</v>
      </c>
      <c r="I157" s="95" t="s">
        <v>1414</v>
      </c>
      <c r="K157" s="95" t="s">
        <v>1413</v>
      </c>
    </row>
    <row r="158" spans="1:11" x14ac:dyDescent="0.35">
      <c r="A158" s="155" t="s">
        <v>1062</v>
      </c>
      <c r="B158" s="155" t="s">
        <v>1063</v>
      </c>
      <c r="C158" s="155" t="s">
        <v>16</v>
      </c>
      <c r="D158" s="155" t="s">
        <v>17</v>
      </c>
      <c r="E158" s="155" t="s">
        <v>1343</v>
      </c>
      <c r="F158" s="155" t="s">
        <v>17</v>
      </c>
      <c r="G158" s="156">
        <v>12</v>
      </c>
      <c r="H158" s="155" t="s">
        <v>1343</v>
      </c>
      <c r="I158" s="95" t="s">
        <v>1412</v>
      </c>
      <c r="J158" s="95">
        <v>42643</v>
      </c>
      <c r="K158" s="95" t="s">
        <v>1413</v>
      </c>
    </row>
    <row r="159" spans="1:11" x14ac:dyDescent="0.35">
      <c r="A159" s="155" t="s">
        <v>164</v>
      </c>
      <c r="B159" s="155" t="s">
        <v>1473</v>
      </c>
      <c r="C159" s="155" t="s">
        <v>16</v>
      </c>
      <c r="D159" s="155" t="s">
        <v>17</v>
      </c>
      <c r="E159" s="155" t="s">
        <v>1343</v>
      </c>
      <c r="F159" s="155" t="s">
        <v>17</v>
      </c>
      <c r="G159" s="156">
        <v>12</v>
      </c>
      <c r="H159" s="155" t="s">
        <v>1343</v>
      </c>
      <c r="I159" s="95" t="s">
        <v>1414</v>
      </c>
      <c r="K159" s="95" t="s">
        <v>1413</v>
      </c>
    </row>
    <row r="160" spans="1:11" x14ac:dyDescent="0.35">
      <c r="A160" s="155" t="s">
        <v>1064</v>
      </c>
      <c r="B160" s="155" t="s">
        <v>165</v>
      </c>
      <c r="C160" s="155" t="s">
        <v>16</v>
      </c>
      <c r="D160" s="155" t="s">
        <v>17</v>
      </c>
      <c r="E160" s="155" t="s">
        <v>1343</v>
      </c>
      <c r="F160" s="155" t="s">
        <v>17</v>
      </c>
      <c r="G160" s="156">
        <v>12</v>
      </c>
      <c r="H160" s="155" t="s">
        <v>1343</v>
      </c>
      <c r="I160" s="95" t="s">
        <v>1412</v>
      </c>
      <c r="J160" s="95">
        <v>42643</v>
      </c>
      <c r="K160" s="95" t="s">
        <v>1413</v>
      </c>
    </row>
    <row r="161" spans="1:11" x14ac:dyDescent="0.35">
      <c r="A161" s="155" t="s">
        <v>1065</v>
      </c>
      <c r="B161" s="155" t="s">
        <v>1066</v>
      </c>
      <c r="C161" s="155" t="s">
        <v>18</v>
      </c>
      <c r="D161" s="155" t="s">
        <v>690</v>
      </c>
      <c r="E161" s="155" t="s">
        <v>1344</v>
      </c>
      <c r="F161" s="155" t="s">
        <v>675</v>
      </c>
      <c r="G161" s="156">
        <v>33</v>
      </c>
      <c r="H161" s="155" t="s">
        <v>1344</v>
      </c>
      <c r="I161" s="95" t="s">
        <v>1412</v>
      </c>
      <c r="J161" s="95">
        <v>42643</v>
      </c>
      <c r="K161" s="95" t="s">
        <v>1413</v>
      </c>
    </row>
    <row r="162" spans="1:11" x14ac:dyDescent="0.35">
      <c r="A162" s="155" t="s">
        <v>1067</v>
      </c>
      <c r="B162" s="155" t="s">
        <v>1068</v>
      </c>
      <c r="C162" s="155" t="s">
        <v>16</v>
      </c>
      <c r="D162" s="155" t="s">
        <v>17</v>
      </c>
      <c r="E162" s="155" t="s">
        <v>1343</v>
      </c>
      <c r="F162" s="155" t="s">
        <v>17</v>
      </c>
      <c r="G162" s="156">
        <v>12</v>
      </c>
      <c r="H162" s="155" t="s">
        <v>1343</v>
      </c>
      <c r="I162" s="95" t="s">
        <v>1412</v>
      </c>
      <c r="J162" s="95">
        <v>42643</v>
      </c>
      <c r="K162" s="95" t="s">
        <v>1413</v>
      </c>
    </row>
    <row r="163" spans="1:11" x14ac:dyDescent="0.35">
      <c r="A163" s="155" t="s">
        <v>166</v>
      </c>
      <c r="B163" s="155" t="s">
        <v>167</v>
      </c>
      <c r="C163" s="155" t="s">
        <v>16</v>
      </c>
      <c r="D163" s="155" t="s">
        <v>17</v>
      </c>
      <c r="E163" s="155" t="s">
        <v>1343</v>
      </c>
      <c r="F163" s="155" t="s">
        <v>17</v>
      </c>
      <c r="G163" s="156">
        <v>12</v>
      </c>
      <c r="H163" s="155" t="s">
        <v>1343</v>
      </c>
      <c r="I163" s="95" t="s">
        <v>1414</v>
      </c>
      <c r="K163" s="95" t="s">
        <v>1413</v>
      </c>
    </row>
    <row r="164" spans="1:11" x14ac:dyDescent="0.35">
      <c r="A164" s="155" t="s">
        <v>168</v>
      </c>
      <c r="B164" s="155" t="s">
        <v>169</v>
      </c>
      <c r="C164" s="155" t="s">
        <v>16</v>
      </c>
      <c r="D164" s="155" t="s">
        <v>17</v>
      </c>
      <c r="E164" s="155" t="s">
        <v>1343</v>
      </c>
      <c r="F164" s="155" t="s">
        <v>17</v>
      </c>
      <c r="G164" s="156">
        <v>12</v>
      </c>
      <c r="H164" s="155" t="s">
        <v>1343</v>
      </c>
      <c r="I164" s="95" t="s">
        <v>1414</v>
      </c>
      <c r="K164" s="95" t="s">
        <v>1413</v>
      </c>
    </row>
    <row r="165" spans="1:11" x14ac:dyDescent="0.35">
      <c r="A165" s="155" t="s">
        <v>1069</v>
      </c>
      <c r="B165" s="155" t="s">
        <v>1070</v>
      </c>
      <c r="C165" s="155" t="s">
        <v>18</v>
      </c>
      <c r="D165" s="155" t="s">
        <v>690</v>
      </c>
      <c r="E165" s="155" t="s">
        <v>1344</v>
      </c>
      <c r="F165" s="155" t="s">
        <v>675</v>
      </c>
      <c r="G165" s="156">
        <v>33</v>
      </c>
      <c r="H165" s="155" t="s">
        <v>1344</v>
      </c>
      <c r="I165" s="95" t="s">
        <v>1412</v>
      </c>
      <c r="J165" s="95">
        <v>42643</v>
      </c>
      <c r="K165" s="95" t="s">
        <v>1413</v>
      </c>
    </row>
    <row r="166" spans="1:11" x14ac:dyDescent="0.35">
      <c r="A166" s="155" t="s">
        <v>1071</v>
      </c>
      <c r="B166" s="155" t="s">
        <v>1072</v>
      </c>
      <c r="C166" s="155" t="s">
        <v>18</v>
      </c>
      <c r="D166" s="155" t="s">
        <v>690</v>
      </c>
      <c r="E166" s="155" t="s">
        <v>1344</v>
      </c>
      <c r="F166" s="155" t="s">
        <v>675</v>
      </c>
      <c r="G166" s="156">
        <v>33</v>
      </c>
      <c r="H166" s="155" t="s">
        <v>1344</v>
      </c>
      <c r="I166" s="95" t="s">
        <v>1412</v>
      </c>
      <c r="J166" s="95">
        <v>42643</v>
      </c>
      <c r="K166" s="95" t="s">
        <v>1413</v>
      </c>
    </row>
    <row r="167" spans="1:11" x14ac:dyDescent="0.35">
      <c r="A167" s="155" t="s">
        <v>170</v>
      </c>
      <c r="B167" s="155" t="s">
        <v>171</v>
      </c>
      <c r="C167" s="155" t="s">
        <v>18</v>
      </c>
      <c r="D167" s="155" t="s">
        <v>690</v>
      </c>
      <c r="E167" s="155" t="s">
        <v>1344</v>
      </c>
      <c r="F167" s="155" t="s">
        <v>675</v>
      </c>
      <c r="G167" s="156">
        <v>33</v>
      </c>
      <c r="H167" s="155" t="s">
        <v>1344</v>
      </c>
      <c r="I167" s="95" t="s">
        <v>1414</v>
      </c>
      <c r="K167" s="95" t="s">
        <v>1413</v>
      </c>
    </row>
    <row r="168" spans="1:11" x14ac:dyDescent="0.35">
      <c r="A168" s="155" t="s">
        <v>172</v>
      </c>
      <c r="B168" s="155" t="s">
        <v>173</v>
      </c>
      <c r="C168" s="155" t="s">
        <v>18</v>
      </c>
      <c r="D168" s="155" t="s">
        <v>690</v>
      </c>
      <c r="E168" s="155" t="s">
        <v>1344</v>
      </c>
      <c r="F168" s="155" t="s">
        <v>675</v>
      </c>
      <c r="G168" s="156">
        <v>33</v>
      </c>
      <c r="H168" s="155" t="s">
        <v>1344</v>
      </c>
      <c r="I168" s="95" t="s">
        <v>1414</v>
      </c>
      <c r="K168" s="95" t="s">
        <v>1413</v>
      </c>
    </row>
    <row r="169" spans="1:11" x14ac:dyDescent="0.35">
      <c r="A169" s="155" t="s">
        <v>903</v>
      </c>
      <c r="B169" s="155" t="s">
        <v>165</v>
      </c>
      <c r="C169" s="155" t="s">
        <v>16</v>
      </c>
      <c r="D169" s="155" t="s">
        <v>17</v>
      </c>
      <c r="E169" s="155" t="s">
        <v>1343</v>
      </c>
      <c r="F169" s="155" t="s">
        <v>17</v>
      </c>
      <c r="G169" s="156">
        <v>12</v>
      </c>
      <c r="H169" s="155" t="s">
        <v>1343</v>
      </c>
      <c r="I169" s="95" t="s">
        <v>1414</v>
      </c>
      <c r="K169" s="95" t="s">
        <v>1416</v>
      </c>
    </row>
    <row r="170" spans="1:11" x14ac:dyDescent="0.35">
      <c r="A170" s="155" t="s">
        <v>174</v>
      </c>
      <c r="B170" s="155" t="s">
        <v>1474</v>
      </c>
      <c r="C170" s="155" t="s">
        <v>16</v>
      </c>
      <c r="D170" s="155" t="s">
        <v>17</v>
      </c>
      <c r="E170" s="155" t="s">
        <v>1343</v>
      </c>
      <c r="F170" s="155" t="s">
        <v>17</v>
      </c>
      <c r="G170" s="156">
        <v>12</v>
      </c>
      <c r="H170" s="155" t="s">
        <v>1343</v>
      </c>
      <c r="I170" s="95" t="s">
        <v>1414</v>
      </c>
      <c r="K170" s="95" t="s">
        <v>1413</v>
      </c>
    </row>
    <row r="171" spans="1:11" x14ac:dyDescent="0.35">
      <c r="A171" s="155" t="s">
        <v>904</v>
      </c>
      <c r="B171" s="155" t="s">
        <v>905</v>
      </c>
      <c r="C171" s="155" t="s">
        <v>16</v>
      </c>
      <c r="D171" s="155" t="s">
        <v>17</v>
      </c>
      <c r="E171" s="155" t="s">
        <v>1343</v>
      </c>
      <c r="F171" s="155" t="s">
        <v>17</v>
      </c>
      <c r="G171" s="156">
        <v>12</v>
      </c>
      <c r="H171" s="155" t="s">
        <v>1343</v>
      </c>
      <c r="I171" s="95" t="s">
        <v>1414</v>
      </c>
      <c r="K171" s="95" t="s">
        <v>1416</v>
      </c>
    </row>
    <row r="172" spans="1:11" x14ac:dyDescent="0.35">
      <c r="A172" s="155" t="s">
        <v>906</v>
      </c>
      <c r="B172" s="155" t="s">
        <v>907</v>
      </c>
      <c r="C172" s="155" t="s">
        <v>16</v>
      </c>
      <c r="D172" s="155" t="s">
        <v>17</v>
      </c>
      <c r="E172" s="155" t="s">
        <v>1343</v>
      </c>
      <c r="F172" s="155" t="s">
        <v>17</v>
      </c>
      <c r="G172" s="156">
        <v>12</v>
      </c>
      <c r="H172" s="155" t="s">
        <v>1343</v>
      </c>
      <c r="I172" s="95" t="s">
        <v>1414</v>
      </c>
      <c r="K172" s="95" t="s">
        <v>1416</v>
      </c>
    </row>
    <row r="173" spans="1:11" x14ac:dyDescent="0.35">
      <c r="A173" s="155" t="s">
        <v>175</v>
      </c>
      <c r="B173" s="155" t="s">
        <v>1475</v>
      </c>
      <c r="C173" s="155" t="s">
        <v>16</v>
      </c>
      <c r="D173" s="155" t="s">
        <v>17</v>
      </c>
      <c r="E173" s="155" t="s">
        <v>1343</v>
      </c>
      <c r="F173" s="155" t="s">
        <v>17</v>
      </c>
      <c r="G173" s="156">
        <v>12</v>
      </c>
      <c r="H173" s="155" t="s">
        <v>1343</v>
      </c>
      <c r="I173" s="95" t="s">
        <v>1414</v>
      </c>
      <c r="K173" s="95" t="s">
        <v>1413</v>
      </c>
    </row>
    <row r="174" spans="1:11" x14ac:dyDescent="0.35">
      <c r="A174" s="155" t="s">
        <v>1073</v>
      </c>
      <c r="B174" s="155" t="s">
        <v>1074</v>
      </c>
      <c r="C174" s="155" t="s">
        <v>16</v>
      </c>
      <c r="D174" s="155" t="s">
        <v>17</v>
      </c>
      <c r="E174" s="155" t="s">
        <v>1343</v>
      </c>
      <c r="F174" s="155" t="s">
        <v>17</v>
      </c>
      <c r="G174" s="156">
        <v>12</v>
      </c>
      <c r="H174" s="155" t="s">
        <v>1343</v>
      </c>
      <c r="I174" s="95" t="s">
        <v>1412</v>
      </c>
      <c r="J174" s="95">
        <v>42643</v>
      </c>
      <c r="K174" s="95" t="s">
        <v>1413</v>
      </c>
    </row>
    <row r="175" spans="1:11" x14ac:dyDescent="0.35">
      <c r="A175" s="155" t="s">
        <v>176</v>
      </c>
      <c r="B175" s="155" t="s">
        <v>177</v>
      </c>
      <c r="C175" s="155" t="s">
        <v>16</v>
      </c>
      <c r="D175" s="155" t="s">
        <v>17</v>
      </c>
      <c r="E175" s="155" t="s">
        <v>1343</v>
      </c>
      <c r="F175" s="155" t="s">
        <v>17</v>
      </c>
      <c r="G175" s="156">
        <v>12</v>
      </c>
      <c r="H175" s="155" t="s">
        <v>1343</v>
      </c>
      <c r="I175" s="95" t="s">
        <v>1414</v>
      </c>
      <c r="K175" s="95" t="s">
        <v>1413</v>
      </c>
    </row>
    <row r="176" spans="1:11" x14ac:dyDescent="0.35">
      <c r="A176" s="155" t="s">
        <v>178</v>
      </c>
      <c r="B176" s="155" t="s">
        <v>179</v>
      </c>
      <c r="C176" s="155" t="s">
        <v>16</v>
      </c>
      <c r="D176" s="155" t="s">
        <v>17</v>
      </c>
      <c r="E176" s="155" t="s">
        <v>1343</v>
      </c>
      <c r="F176" s="155" t="s">
        <v>17</v>
      </c>
      <c r="G176" s="156">
        <v>12</v>
      </c>
      <c r="H176" s="155" t="s">
        <v>1343</v>
      </c>
      <c r="I176" s="95" t="s">
        <v>1414</v>
      </c>
      <c r="K176" s="95" t="s">
        <v>1413</v>
      </c>
    </row>
    <row r="177" spans="1:11" x14ac:dyDescent="0.35">
      <c r="A177" s="155" t="s">
        <v>908</v>
      </c>
      <c r="B177" s="155" t="s">
        <v>909</v>
      </c>
      <c r="C177" s="155" t="s">
        <v>16</v>
      </c>
      <c r="D177" s="155" t="s">
        <v>17</v>
      </c>
      <c r="E177" s="155" t="s">
        <v>1343</v>
      </c>
      <c r="F177" s="155" t="s">
        <v>17</v>
      </c>
      <c r="G177" s="156">
        <v>12</v>
      </c>
      <c r="H177" s="155" t="s">
        <v>1343</v>
      </c>
      <c r="I177" s="95" t="s">
        <v>1414</v>
      </c>
      <c r="K177" s="95" t="s">
        <v>1416</v>
      </c>
    </row>
    <row r="178" spans="1:11" s="168" customFormat="1" ht="22.5" customHeight="1" x14ac:dyDescent="0.35">
      <c r="A178" s="166" t="s">
        <v>1075</v>
      </c>
      <c r="B178" s="166" t="s">
        <v>1076</v>
      </c>
      <c r="C178" s="166" t="s">
        <v>14</v>
      </c>
      <c r="D178" s="166" t="s">
        <v>15</v>
      </c>
      <c r="E178" s="166" t="s">
        <v>1342</v>
      </c>
      <c r="F178" s="166" t="s">
        <v>15</v>
      </c>
      <c r="G178" s="167">
        <v>11</v>
      </c>
      <c r="H178" s="166" t="s">
        <v>1342</v>
      </c>
      <c r="I178" s="168" t="s">
        <v>1412</v>
      </c>
      <c r="J178" s="168">
        <v>42643</v>
      </c>
      <c r="K178" s="168" t="s">
        <v>1413</v>
      </c>
    </row>
    <row r="179" spans="1:11" s="168" customFormat="1" x14ac:dyDescent="0.35">
      <c r="A179" s="166" t="s">
        <v>143</v>
      </c>
      <c r="B179" s="166" t="s">
        <v>1476</v>
      </c>
      <c r="C179" s="166" t="s">
        <v>14</v>
      </c>
      <c r="D179" s="166" t="s">
        <v>15</v>
      </c>
      <c r="E179" s="166" t="s">
        <v>1342</v>
      </c>
      <c r="F179" s="166" t="s">
        <v>15</v>
      </c>
      <c r="G179" s="167">
        <v>11</v>
      </c>
      <c r="H179" s="166" t="s">
        <v>1342</v>
      </c>
      <c r="I179" s="168" t="s">
        <v>1414</v>
      </c>
      <c r="K179" s="168" t="s">
        <v>1413</v>
      </c>
    </row>
    <row r="180" spans="1:11" x14ac:dyDescent="0.35">
      <c r="A180" s="155" t="s">
        <v>217</v>
      </c>
      <c r="B180" s="155" t="s">
        <v>1477</v>
      </c>
      <c r="C180" s="155" t="s">
        <v>18</v>
      </c>
      <c r="D180" s="155" t="s">
        <v>690</v>
      </c>
      <c r="E180" s="155" t="s">
        <v>1345</v>
      </c>
      <c r="F180" s="155" t="s">
        <v>673</v>
      </c>
      <c r="G180" s="156">
        <v>33</v>
      </c>
      <c r="H180" s="155" t="s">
        <v>1345</v>
      </c>
      <c r="I180" s="95" t="s">
        <v>1414</v>
      </c>
      <c r="K180" s="95" t="s">
        <v>1413</v>
      </c>
    </row>
    <row r="181" spans="1:11" x14ac:dyDescent="0.35">
      <c r="A181" s="155" t="s">
        <v>180</v>
      </c>
      <c r="B181" s="155" t="s">
        <v>1478</v>
      </c>
      <c r="C181" s="155" t="s">
        <v>16</v>
      </c>
      <c r="D181" s="155" t="s">
        <v>17</v>
      </c>
      <c r="E181" s="155" t="s">
        <v>1343</v>
      </c>
      <c r="F181" s="155" t="s">
        <v>17</v>
      </c>
      <c r="G181" s="156">
        <v>12</v>
      </c>
      <c r="H181" s="155" t="s">
        <v>1343</v>
      </c>
      <c r="I181" s="95" t="s">
        <v>1414</v>
      </c>
      <c r="K181" s="95" t="s">
        <v>1413</v>
      </c>
    </row>
    <row r="182" spans="1:11" x14ac:dyDescent="0.35">
      <c r="A182" s="155" t="s">
        <v>181</v>
      </c>
      <c r="B182" s="155" t="s">
        <v>1479</v>
      </c>
      <c r="C182" s="155" t="s">
        <v>16</v>
      </c>
      <c r="D182" s="155" t="s">
        <v>17</v>
      </c>
      <c r="E182" s="155" t="s">
        <v>1343</v>
      </c>
      <c r="F182" s="155" t="s">
        <v>17</v>
      </c>
      <c r="G182" s="156">
        <v>12</v>
      </c>
      <c r="H182" s="155" t="s">
        <v>1343</v>
      </c>
      <c r="I182" s="95" t="s">
        <v>1414</v>
      </c>
      <c r="K182" s="95" t="s">
        <v>1413</v>
      </c>
    </row>
    <row r="183" spans="1:11" x14ac:dyDescent="0.35">
      <c r="A183" s="155" t="s">
        <v>182</v>
      </c>
      <c r="B183" s="155" t="s">
        <v>1480</v>
      </c>
      <c r="C183" s="155" t="s">
        <v>16</v>
      </c>
      <c r="D183" s="155" t="s">
        <v>17</v>
      </c>
      <c r="E183" s="155" t="s">
        <v>1343</v>
      </c>
      <c r="F183" s="155" t="s">
        <v>17</v>
      </c>
      <c r="G183" s="156">
        <v>12</v>
      </c>
      <c r="H183" s="155" t="s">
        <v>1343</v>
      </c>
      <c r="I183" s="95" t="s">
        <v>1414</v>
      </c>
      <c r="K183" s="95" t="s">
        <v>1413</v>
      </c>
    </row>
    <row r="184" spans="1:11" x14ac:dyDescent="0.35">
      <c r="A184" s="155" t="s">
        <v>183</v>
      </c>
      <c r="B184" s="155" t="s">
        <v>1481</v>
      </c>
      <c r="C184" s="155" t="s">
        <v>16</v>
      </c>
      <c r="D184" s="155" t="s">
        <v>17</v>
      </c>
      <c r="E184" s="155" t="s">
        <v>1343</v>
      </c>
      <c r="F184" s="155" t="s">
        <v>17</v>
      </c>
      <c r="G184" s="156">
        <v>12</v>
      </c>
      <c r="H184" s="155" t="s">
        <v>1343</v>
      </c>
      <c r="I184" s="95" t="s">
        <v>1414</v>
      </c>
      <c r="K184" s="95" t="s">
        <v>1413</v>
      </c>
    </row>
    <row r="185" spans="1:11" x14ac:dyDescent="0.35">
      <c r="A185" s="155" t="s">
        <v>184</v>
      </c>
      <c r="B185" s="155" t="s">
        <v>1482</v>
      </c>
      <c r="C185" s="155" t="s">
        <v>16</v>
      </c>
      <c r="D185" s="155" t="s">
        <v>17</v>
      </c>
      <c r="E185" s="155" t="s">
        <v>1343</v>
      </c>
      <c r="F185" s="155" t="s">
        <v>17</v>
      </c>
      <c r="G185" s="156">
        <v>12</v>
      </c>
      <c r="H185" s="155" t="s">
        <v>1343</v>
      </c>
      <c r="I185" s="95" t="s">
        <v>1414</v>
      </c>
      <c r="K185" s="95" t="s">
        <v>1413</v>
      </c>
    </row>
    <row r="186" spans="1:11" x14ac:dyDescent="0.35">
      <c r="A186" s="155" t="s">
        <v>910</v>
      </c>
      <c r="B186" s="155" t="s">
        <v>911</v>
      </c>
      <c r="C186" s="155" t="s">
        <v>16</v>
      </c>
      <c r="D186" s="155" t="s">
        <v>17</v>
      </c>
      <c r="E186" s="155" t="s">
        <v>1343</v>
      </c>
      <c r="F186" s="155" t="s">
        <v>17</v>
      </c>
      <c r="G186" s="156">
        <v>12</v>
      </c>
      <c r="H186" s="155" t="s">
        <v>1343</v>
      </c>
      <c r="I186" s="95" t="s">
        <v>1414</v>
      </c>
      <c r="K186" s="95" t="s">
        <v>1416</v>
      </c>
    </row>
    <row r="187" spans="1:11" x14ac:dyDescent="0.35">
      <c r="A187" s="155" t="s">
        <v>912</v>
      </c>
      <c r="B187" s="155" t="s">
        <v>913</v>
      </c>
      <c r="C187" s="155" t="s">
        <v>16</v>
      </c>
      <c r="D187" s="155" t="s">
        <v>17</v>
      </c>
      <c r="E187" s="155" t="s">
        <v>1343</v>
      </c>
      <c r="F187" s="155" t="s">
        <v>17</v>
      </c>
      <c r="G187" s="156">
        <v>12</v>
      </c>
      <c r="H187" s="155" t="s">
        <v>1343</v>
      </c>
      <c r="I187" s="95" t="s">
        <v>1414</v>
      </c>
      <c r="K187" s="95" t="s">
        <v>1416</v>
      </c>
    </row>
    <row r="188" spans="1:11" x14ac:dyDescent="0.35">
      <c r="A188" s="155" t="s">
        <v>914</v>
      </c>
      <c r="B188" s="155" t="s">
        <v>915</v>
      </c>
      <c r="C188" s="155" t="s">
        <v>16</v>
      </c>
      <c r="D188" s="155" t="s">
        <v>17</v>
      </c>
      <c r="E188" s="155" t="s">
        <v>1343</v>
      </c>
      <c r="F188" s="155" t="s">
        <v>17</v>
      </c>
      <c r="G188" s="156">
        <v>12</v>
      </c>
      <c r="H188" s="155" t="s">
        <v>1343</v>
      </c>
      <c r="I188" s="95" t="s">
        <v>1414</v>
      </c>
      <c r="K188" s="95" t="s">
        <v>1416</v>
      </c>
    </row>
    <row r="189" spans="1:11" x14ac:dyDescent="0.35">
      <c r="A189" s="155" t="s">
        <v>185</v>
      </c>
      <c r="B189" s="155" t="s">
        <v>1483</v>
      </c>
      <c r="C189" s="155" t="s">
        <v>16</v>
      </c>
      <c r="D189" s="155" t="s">
        <v>17</v>
      </c>
      <c r="E189" s="155" t="s">
        <v>1343</v>
      </c>
      <c r="F189" s="155" t="s">
        <v>17</v>
      </c>
      <c r="G189" s="156">
        <v>12</v>
      </c>
      <c r="H189" s="155" t="s">
        <v>1343</v>
      </c>
      <c r="I189" s="95" t="s">
        <v>1414</v>
      </c>
      <c r="K189" s="95" t="s">
        <v>1413</v>
      </c>
    </row>
    <row r="190" spans="1:11" x14ac:dyDescent="0.35">
      <c r="A190" s="155" t="s">
        <v>916</v>
      </c>
      <c r="B190" s="155" t="s">
        <v>917</v>
      </c>
      <c r="C190" s="155" t="s">
        <v>16</v>
      </c>
      <c r="D190" s="155" t="s">
        <v>17</v>
      </c>
      <c r="E190" s="155" t="s">
        <v>1343</v>
      </c>
      <c r="F190" s="155" t="s">
        <v>17</v>
      </c>
      <c r="G190" s="156">
        <v>12</v>
      </c>
      <c r="H190" s="155" t="s">
        <v>1343</v>
      </c>
      <c r="I190" s="95" t="s">
        <v>1414</v>
      </c>
      <c r="K190" s="95" t="s">
        <v>1416</v>
      </c>
    </row>
    <row r="191" spans="1:11" x14ac:dyDescent="0.35">
      <c r="A191" s="155" t="s">
        <v>186</v>
      </c>
      <c r="B191" s="155" t="s">
        <v>1484</v>
      </c>
      <c r="C191" s="155" t="s">
        <v>16</v>
      </c>
      <c r="D191" s="155" t="s">
        <v>17</v>
      </c>
      <c r="E191" s="155" t="s">
        <v>1343</v>
      </c>
      <c r="F191" s="155" t="s">
        <v>17</v>
      </c>
      <c r="G191" s="156">
        <v>12</v>
      </c>
      <c r="H191" s="155" t="s">
        <v>1343</v>
      </c>
      <c r="I191" s="95" t="s">
        <v>1414</v>
      </c>
      <c r="K191" s="95" t="s">
        <v>1413</v>
      </c>
    </row>
    <row r="192" spans="1:11" x14ac:dyDescent="0.35">
      <c r="A192" s="155" t="s">
        <v>1077</v>
      </c>
      <c r="B192" s="155" t="s">
        <v>1078</v>
      </c>
      <c r="C192" s="155" t="s">
        <v>16</v>
      </c>
      <c r="D192" s="155" t="s">
        <v>17</v>
      </c>
      <c r="E192" s="155" t="s">
        <v>1343</v>
      </c>
      <c r="F192" s="155" t="s">
        <v>17</v>
      </c>
      <c r="G192" s="156">
        <v>12</v>
      </c>
      <c r="H192" s="155" t="s">
        <v>1343</v>
      </c>
      <c r="I192" s="95" t="s">
        <v>1412</v>
      </c>
      <c r="J192" s="95">
        <v>42643</v>
      </c>
      <c r="K192" s="95" t="s">
        <v>1413</v>
      </c>
    </row>
    <row r="193" spans="1:11" x14ac:dyDescent="0.35">
      <c r="A193" s="155" t="s">
        <v>1079</v>
      </c>
      <c r="B193" s="155" t="s">
        <v>1080</v>
      </c>
      <c r="C193" s="155" t="s">
        <v>16</v>
      </c>
      <c r="D193" s="155" t="s">
        <v>17</v>
      </c>
      <c r="E193" s="155" t="s">
        <v>1343</v>
      </c>
      <c r="F193" s="155" t="s">
        <v>17</v>
      </c>
      <c r="G193" s="156">
        <v>12</v>
      </c>
      <c r="H193" s="155" t="s">
        <v>1343</v>
      </c>
      <c r="I193" s="95" t="s">
        <v>1412</v>
      </c>
      <c r="J193" s="95">
        <v>42643</v>
      </c>
      <c r="K193" s="95" t="s">
        <v>1413</v>
      </c>
    </row>
    <row r="194" spans="1:11" x14ac:dyDescent="0.35">
      <c r="A194" s="155" t="s">
        <v>1081</v>
      </c>
      <c r="B194" s="155" t="s">
        <v>1082</v>
      </c>
      <c r="C194" s="155" t="s">
        <v>16</v>
      </c>
      <c r="D194" s="155" t="s">
        <v>17</v>
      </c>
      <c r="E194" s="155" t="s">
        <v>1343</v>
      </c>
      <c r="F194" s="155" t="s">
        <v>17</v>
      </c>
      <c r="G194" s="156">
        <v>12</v>
      </c>
      <c r="H194" s="155" t="s">
        <v>1343</v>
      </c>
      <c r="I194" s="95" t="s">
        <v>1412</v>
      </c>
      <c r="J194" s="95">
        <v>42643</v>
      </c>
      <c r="K194" s="95" t="s">
        <v>1413</v>
      </c>
    </row>
    <row r="195" spans="1:11" x14ac:dyDescent="0.35">
      <c r="A195" s="155" t="s">
        <v>1083</v>
      </c>
      <c r="B195" s="155" t="s">
        <v>1084</v>
      </c>
      <c r="C195" s="155" t="s">
        <v>16</v>
      </c>
      <c r="D195" s="155" t="s">
        <v>17</v>
      </c>
      <c r="E195" s="155" t="s">
        <v>1343</v>
      </c>
      <c r="F195" s="155" t="s">
        <v>17</v>
      </c>
      <c r="G195" s="156">
        <v>12</v>
      </c>
      <c r="H195" s="155" t="s">
        <v>1343</v>
      </c>
      <c r="I195" s="95" t="s">
        <v>1412</v>
      </c>
      <c r="J195" s="95">
        <v>42643</v>
      </c>
      <c r="K195" s="95" t="s">
        <v>1413</v>
      </c>
    </row>
    <row r="196" spans="1:11" x14ac:dyDescent="0.35">
      <c r="A196" s="155" t="s">
        <v>1085</v>
      </c>
      <c r="B196" s="155" t="s">
        <v>1086</v>
      </c>
      <c r="C196" s="155" t="s">
        <v>16</v>
      </c>
      <c r="D196" s="155" t="s">
        <v>17</v>
      </c>
      <c r="E196" s="155" t="s">
        <v>1343</v>
      </c>
      <c r="F196" s="155" t="s">
        <v>17</v>
      </c>
      <c r="G196" s="156">
        <v>12</v>
      </c>
      <c r="H196" s="155" t="s">
        <v>1343</v>
      </c>
      <c r="I196" s="95" t="s">
        <v>1412</v>
      </c>
      <c r="J196" s="95">
        <v>42643</v>
      </c>
      <c r="K196" s="95" t="s">
        <v>1413</v>
      </c>
    </row>
    <row r="197" spans="1:11" x14ac:dyDescent="0.35">
      <c r="A197" s="155" t="s">
        <v>187</v>
      </c>
      <c r="B197" s="155" t="s">
        <v>188</v>
      </c>
      <c r="C197" s="155" t="s">
        <v>16</v>
      </c>
      <c r="D197" s="155" t="s">
        <v>17</v>
      </c>
      <c r="E197" s="155" t="s">
        <v>1343</v>
      </c>
      <c r="F197" s="155" t="s">
        <v>17</v>
      </c>
      <c r="G197" s="156">
        <v>12</v>
      </c>
      <c r="H197" s="155" t="s">
        <v>1343</v>
      </c>
      <c r="I197" s="95" t="s">
        <v>1414</v>
      </c>
      <c r="K197" s="95" t="s">
        <v>1413</v>
      </c>
    </row>
    <row r="198" spans="1:11" x14ac:dyDescent="0.35">
      <c r="A198" s="155" t="s">
        <v>189</v>
      </c>
      <c r="B198" s="155" t="s">
        <v>190</v>
      </c>
      <c r="C198" s="155" t="s">
        <v>16</v>
      </c>
      <c r="D198" s="155" t="s">
        <v>17</v>
      </c>
      <c r="E198" s="155" t="s">
        <v>1343</v>
      </c>
      <c r="F198" s="155" t="s">
        <v>17</v>
      </c>
      <c r="G198" s="156">
        <v>12</v>
      </c>
      <c r="H198" s="155" t="s">
        <v>1343</v>
      </c>
      <c r="I198" s="95" t="s">
        <v>1414</v>
      </c>
      <c r="K198" s="95" t="s">
        <v>1413</v>
      </c>
    </row>
    <row r="199" spans="1:11" x14ac:dyDescent="0.35">
      <c r="A199" s="155" t="s">
        <v>139</v>
      </c>
      <c r="B199" s="155" t="s">
        <v>140</v>
      </c>
      <c r="C199" s="155" t="s">
        <v>12</v>
      </c>
      <c r="D199" s="155" t="s">
        <v>13</v>
      </c>
      <c r="E199" s="155" t="s">
        <v>1336</v>
      </c>
      <c r="F199" s="155" t="s">
        <v>1337</v>
      </c>
      <c r="G199" s="156">
        <v>10</v>
      </c>
      <c r="H199" s="155" t="s">
        <v>1336</v>
      </c>
      <c r="I199" s="95" t="s">
        <v>1414</v>
      </c>
      <c r="K199" s="95" t="s">
        <v>1413</v>
      </c>
    </row>
    <row r="200" spans="1:11" x14ac:dyDescent="0.35">
      <c r="A200" s="155" t="s">
        <v>141</v>
      </c>
      <c r="B200" s="155" t="s">
        <v>142</v>
      </c>
      <c r="C200" s="155" t="s">
        <v>12</v>
      </c>
      <c r="D200" s="155" t="s">
        <v>13</v>
      </c>
      <c r="E200" s="155" t="s">
        <v>1336</v>
      </c>
      <c r="F200" s="155" t="s">
        <v>1337</v>
      </c>
      <c r="G200" s="156">
        <v>10</v>
      </c>
      <c r="H200" s="155" t="s">
        <v>1336</v>
      </c>
      <c r="I200" s="95" t="s">
        <v>1414</v>
      </c>
      <c r="K200" s="95" t="s">
        <v>1413</v>
      </c>
    </row>
    <row r="201" spans="1:11" x14ac:dyDescent="0.35">
      <c r="A201" s="155" t="s">
        <v>1087</v>
      </c>
      <c r="B201" s="155" t="s">
        <v>1088</v>
      </c>
      <c r="C201" s="155" t="s">
        <v>16</v>
      </c>
      <c r="D201" s="155" t="s">
        <v>17</v>
      </c>
      <c r="E201" s="155" t="s">
        <v>1343</v>
      </c>
      <c r="F201" s="155" t="s">
        <v>17</v>
      </c>
      <c r="G201" s="156">
        <v>12</v>
      </c>
      <c r="H201" s="155" t="s">
        <v>1343</v>
      </c>
      <c r="I201" s="95" t="s">
        <v>1412</v>
      </c>
      <c r="J201" s="95">
        <v>42643</v>
      </c>
      <c r="K201" s="95" t="s">
        <v>1413</v>
      </c>
    </row>
    <row r="202" spans="1:11" x14ac:dyDescent="0.35">
      <c r="A202" s="155" t="s">
        <v>191</v>
      </c>
      <c r="B202" s="155" t="s">
        <v>192</v>
      </c>
      <c r="C202" s="155" t="s">
        <v>16</v>
      </c>
      <c r="D202" s="155" t="s">
        <v>17</v>
      </c>
      <c r="E202" s="155" t="s">
        <v>1343</v>
      </c>
      <c r="F202" s="155" t="s">
        <v>17</v>
      </c>
      <c r="G202" s="156">
        <v>12</v>
      </c>
      <c r="H202" s="155" t="s">
        <v>1343</v>
      </c>
      <c r="I202" s="95" t="s">
        <v>1414</v>
      </c>
      <c r="K202" s="95" t="s">
        <v>1413</v>
      </c>
    </row>
    <row r="203" spans="1:11" x14ac:dyDescent="0.35">
      <c r="A203" s="155" t="s">
        <v>1089</v>
      </c>
      <c r="B203" s="155" t="s">
        <v>1090</v>
      </c>
      <c r="C203" s="155" t="s">
        <v>16</v>
      </c>
      <c r="D203" s="155" t="s">
        <v>17</v>
      </c>
      <c r="E203" s="155" t="s">
        <v>1343</v>
      </c>
      <c r="F203" s="155" t="s">
        <v>17</v>
      </c>
      <c r="G203" s="156">
        <v>12</v>
      </c>
      <c r="H203" s="155" t="s">
        <v>1343</v>
      </c>
      <c r="I203" s="95" t="s">
        <v>1412</v>
      </c>
      <c r="J203" s="95">
        <v>42643</v>
      </c>
      <c r="K203" s="95" t="s">
        <v>1413</v>
      </c>
    </row>
    <row r="204" spans="1:11" x14ac:dyDescent="0.35">
      <c r="A204" s="155" t="s">
        <v>193</v>
      </c>
      <c r="B204" s="155" t="s">
        <v>194</v>
      </c>
      <c r="C204" s="155" t="s">
        <v>16</v>
      </c>
      <c r="D204" s="155" t="s">
        <v>17</v>
      </c>
      <c r="E204" s="155" t="s">
        <v>1343</v>
      </c>
      <c r="F204" s="155" t="s">
        <v>17</v>
      </c>
      <c r="G204" s="156">
        <v>12</v>
      </c>
      <c r="H204" s="155" t="s">
        <v>1343</v>
      </c>
      <c r="I204" s="95" t="s">
        <v>1414</v>
      </c>
      <c r="K204" s="95" t="s">
        <v>1413</v>
      </c>
    </row>
    <row r="205" spans="1:11" x14ac:dyDescent="0.35">
      <c r="A205" s="155" t="s">
        <v>195</v>
      </c>
      <c r="B205" s="155" t="s">
        <v>196</v>
      </c>
      <c r="C205" s="155" t="s">
        <v>16</v>
      </c>
      <c r="D205" s="155" t="s">
        <v>17</v>
      </c>
      <c r="E205" s="155" t="s">
        <v>1343</v>
      </c>
      <c r="F205" s="155" t="s">
        <v>17</v>
      </c>
      <c r="G205" s="156">
        <v>12</v>
      </c>
      <c r="H205" s="155" t="s">
        <v>1343</v>
      </c>
      <c r="I205" s="95" t="s">
        <v>1414</v>
      </c>
      <c r="K205" s="95" t="s">
        <v>1413</v>
      </c>
    </row>
    <row r="206" spans="1:11" x14ac:dyDescent="0.35">
      <c r="A206" s="155" t="s">
        <v>197</v>
      </c>
      <c r="B206" s="155" t="s">
        <v>198</v>
      </c>
      <c r="C206" s="155" t="s">
        <v>16</v>
      </c>
      <c r="D206" s="155" t="s">
        <v>17</v>
      </c>
      <c r="E206" s="155" t="s">
        <v>1343</v>
      </c>
      <c r="F206" s="155" t="s">
        <v>17</v>
      </c>
      <c r="G206" s="156">
        <v>12</v>
      </c>
      <c r="H206" s="155" t="s">
        <v>1343</v>
      </c>
      <c r="I206" s="95" t="s">
        <v>1414</v>
      </c>
      <c r="K206" s="95" t="s">
        <v>1413</v>
      </c>
    </row>
    <row r="207" spans="1:11" x14ac:dyDescent="0.35">
      <c r="A207" s="155" t="s">
        <v>1091</v>
      </c>
      <c r="B207" s="155" t="s">
        <v>1092</v>
      </c>
      <c r="C207" s="155" t="s">
        <v>16</v>
      </c>
      <c r="D207" s="155" t="s">
        <v>17</v>
      </c>
      <c r="E207" s="155" t="s">
        <v>1343</v>
      </c>
      <c r="F207" s="155" t="s">
        <v>17</v>
      </c>
      <c r="G207" s="156">
        <v>12</v>
      </c>
      <c r="H207" s="155" t="s">
        <v>1343</v>
      </c>
      <c r="I207" s="95" t="s">
        <v>1412</v>
      </c>
      <c r="J207" s="95">
        <v>42643</v>
      </c>
      <c r="K207" s="95" t="s">
        <v>1413</v>
      </c>
    </row>
    <row r="208" spans="1:11" x14ac:dyDescent="0.35">
      <c r="A208" s="155" t="s">
        <v>1093</v>
      </c>
      <c r="B208" s="155" t="s">
        <v>1094</v>
      </c>
      <c r="C208" s="155" t="s">
        <v>16</v>
      </c>
      <c r="D208" s="155" t="s">
        <v>17</v>
      </c>
      <c r="E208" s="155" t="s">
        <v>1343</v>
      </c>
      <c r="F208" s="155" t="s">
        <v>17</v>
      </c>
      <c r="G208" s="156">
        <v>12</v>
      </c>
      <c r="H208" s="155" t="s">
        <v>1343</v>
      </c>
      <c r="I208" s="95" t="s">
        <v>1412</v>
      </c>
      <c r="J208" s="95">
        <v>42643</v>
      </c>
      <c r="K208" s="95" t="s">
        <v>1413</v>
      </c>
    </row>
    <row r="209" spans="1:11" x14ac:dyDescent="0.35">
      <c r="A209" s="155" t="s">
        <v>199</v>
      </c>
      <c r="B209" s="155" t="s">
        <v>200</v>
      </c>
      <c r="C209" s="155" t="s">
        <v>16</v>
      </c>
      <c r="D209" s="155" t="s">
        <v>17</v>
      </c>
      <c r="E209" s="155" t="s">
        <v>1343</v>
      </c>
      <c r="F209" s="155" t="s">
        <v>17</v>
      </c>
      <c r="G209" s="156">
        <v>12</v>
      </c>
      <c r="H209" s="155" t="s">
        <v>1343</v>
      </c>
      <c r="I209" s="95" t="s">
        <v>1414</v>
      </c>
      <c r="K209" s="95" t="s">
        <v>1413</v>
      </c>
    </row>
    <row r="210" spans="1:11" x14ac:dyDescent="0.35">
      <c r="A210" s="155" t="s">
        <v>201</v>
      </c>
      <c r="B210" s="155" t="s">
        <v>1485</v>
      </c>
      <c r="C210" s="155" t="s">
        <v>16</v>
      </c>
      <c r="D210" s="155" t="s">
        <v>17</v>
      </c>
      <c r="E210" s="155" t="s">
        <v>1343</v>
      </c>
      <c r="F210" s="155" t="s">
        <v>17</v>
      </c>
      <c r="G210" s="156">
        <v>12</v>
      </c>
      <c r="H210" s="155" t="s">
        <v>1343</v>
      </c>
      <c r="I210" s="95" t="s">
        <v>1414</v>
      </c>
      <c r="K210" s="95" t="s">
        <v>1413</v>
      </c>
    </row>
    <row r="211" spans="1:11" x14ac:dyDescent="0.35">
      <c r="A211" s="155" t="s">
        <v>202</v>
      </c>
      <c r="B211" s="155" t="s">
        <v>1486</v>
      </c>
      <c r="C211" s="155" t="s">
        <v>16</v>
      </c>
      <c r="D211" s="155" t="s">
        <v>17</v>
      </c>
      <c r="E211" s="155" t="s">
        <v>1343</v>
      </c>
      <c r="F211" s="155" t="s">
        <v>17</v>
      </c>
      <c r="G211" s="156">
        <v>12</v>
      </c>
      <c r="H211" s="155" t="s">
        <v>1343</v>
      </c>
      <c r="I211" s="95" t="s">
        <v>1414</v>
      </c>
      <c r="K211" s="95" t="s">
        <v>1413</v>
      </c>
    </row>
    <row r="212" spans="1:11" x14ac:dyDescent="0.35">
      <c r="A212" s="155" t="s">
        <v>203</v>
      </c>
      <c r="B212" s="155" t="s">
        <v>204</v>
      </c>
      <c r="C212" s="155" t="s">
        <v>16</v>
      </c>
      <c r="D212" s="155" t="s">
        <v>17</v>
      </c>
      <c r="E212" s="155" t="s">
        <v>1343</v>
      </c>
      <c r="F212" s="155" t="s">
        <v>17</v>
      </c>
      <c r="G212" s="156">
        <v>12</v>
      </c>
      <c r="H212" s="155" t="s">
        <v>1343</v>
      </c>
      <c r="I212" s="95" t="s">
        <v>1414</v>
      </c>
      <c r="K212" s="95" t="s">
        <v>1413</v>
      </c>
    </row>
    <row r="213" spans="1:11" x14ac:dyDescent="0.35">
      <c r="A213" s="155" t="s">
        <v>205</v>
      </c>
      <c r="B213" s="155" t="s">
        <v>206</v>
      </c>
      <c r="C213" s="155" t="s">
        <v>16</v>
      </c>
      <c r="D213" s="155" t="s">
        <v>17</v>
      </c>
      <c r="E213" s="155" t="s">
        <v>1343</v>
      </c>
      <c r="F213" s="155" t="s">
        <v>17</v>
      </c>
      <c r="G213" s="156">
        <v>12</v>
      </c>
      <c r="H213" s="155" t="s">
        <v>1343</v>
      </c>
      <c r="I213" s="95" t="s">
        <v>1414</v>
      </c>
      <c r="K213" s="95" t="s">
        <v>1413</v>
      </c>
    </row>
    <row r="214" spans="1:11" x14ac:dyDescent="0.35">
      <c r="A214" s="155" t="s">
        <v>218</v>
      </c>
      <c r="B214" s="155" t="s">
        <v>219</v>
      </c>
      <c r="C214" s="155" t="s">
        <v>18</v>
      </c>
      <c r="D214" s="155" t="s">
        <v>690</v>
      </c>
      <c r="E214" s="155" t="s">
        <v>1345</v>
      </c>
      <c r="F214" s="155" t="s">
        <v>673</v>
      </c>
      <c r="G214" s="156">
        <v>33</v>
      </c>
      <c r="H214" s="155" t="s">
        <v>1345</v>
      </c>
      <c r="I214" s="95" t="s">
        <v>1414</v>
      </c>
      <c r="K214" s="95" t="s">
        <v>1413</v>
      </c>
    </row>
    <row r="215" spans="1:11" x14ac:dyDescent="0.35">
      <c r="A215" s="155" t="s">
        <v>207</v>
      </c>
      <c r="B215" s="155" t="s">
        <v>1487</v>
      </c>
      <c r="C215" s="155" t="s">
        <v>16</v>
      </c>
      <c r="D215" s="155" t="s">
        <v>17</v>
      </c>
      <c r="E215" s="155" t="s">
        <v>1343</v>
      </c>
      <c r="F215" s="155" t="s">
        <v>17</v>
      </c>
      <c r="G215" s="156">
        <v>12</v>
      </c>
      <c r="H215" s="155" t="s">
        <v>1343</v>
      </c>
      <c r="I215" s="95" t="s">
        <v>1414</v>
      </c>
      <c r="K215" s="95" t="s">
        <v>1413</v>
      </c>
    </row>
    <row r="216" spans="1:11" x14ac:dyDescent="0.35">
      <c r="A216" s="155" t="s">
        <v>208</v>
      </c>
      <c r="B216" s="155" t="s">
        <v>209</v>
      </c>
      <c r="C216" s="155" t="s">
        <v>16</v>
      </c>
      <c r="D216" s="155" t="s">
        <v>17</v>
      </c>
      <c r="E216" s="155" t="s">
        <v>1343</v>
      </c>
      <c r="F216" s="155" t="s">
        <v>17</v>
      </c>
      <c r="G216" s="156">
        <v>12</v>
      </c>
      <c r="H216" s="155" t="s">
        <v>1343</v>
      </c>
      <c r="I216" s="95" t="s">
        <v>1414</v>
      </c>
      <c r="K216" s="95" t="s">
        <v>1413</v>
      </c>
    </row>
    <row r="217" spans="1:11" x14ac:dyDescent="0.35">
      <c r="A217" s="155" t="s">
        <v>210</v>
      </c>
      <c r="B217" s="155" t="s">
        <v>1488</v>
      </c>
      <c r="C217" s="155" t="s">
        <v>16</v>
      </c>
      <c r="D217" s="155" t="s">
        <v>17</v>
      </c>
      <c r="E217" s="155" t="s">
        <v>1343</v>
      </c>
      <c r="F217" s="155" t="s">
        <v>17</v>
      </c>
      <c r="G217" s="156">
        <v>12</v>
      </c>
      <c r="H217" s="155" t="s">
        <v>1343</v>
      </c>
      <c r="I217" s="95" t="s">
        <v>1414</v>
      </c>
      <c r="K217" s="95" t="s">
        <v>1413</v>
      </c>
    </row>
    <row r="218" spans="1:11" x14ac:dyDescent="0.35">
      <c r="A218" s="155" t="s">
        <v>211</v>
      </c>
      <c r="B218" s="155" t="s">
        <v>212</v>
      </c>
      <c r="C218" s="155" t="s">
        <v>16</v>
      </c>
      <c r="D218" s="155" t="s">
        <v>17</v>
      </c>
      <c r="E218" s="155" t="s">
        <v>1343</v>
      </c>
      <c r="F218" s="155" t="s">
        <v>17</v>
      </c>
      <c r="G218" s="156">
        <v>12</v>
      </c>
      <c r="H218" s="155" t="s">
        <v>1343</v>
      </c>
      <c r="I218" s="95" t="s">
        <v>1414</v>
      </c>
      <c r="K218" s="95" t="s">
        <v>1413</v>
      </c>
    </row>
    <row r="219" spans="1:11" x14ac:dyDescent="0.35">
      <c r="A219" s="155" t="s">
        <v>1095</v>
      </c>
      <c r="B219" s="155" t="s">
        <v>1096</v>
      </c>
      <c r="C219" s="155" t="s">
        <v>0</v>
      </c>
      <c r="D219" s="155" t="s">
        <v>1</v>
      </c>
      <c r="E219" s="155" t="s">
        <v>1302</v>
      </c>
      <c r="F219" s="155" t="s">
        <v>1303</v>
      </c>
      <c r="G219" s="156">
        <v>4</v>
      </c>
      <c r="H219" s="155" t="s">
        <v>1302</v>
      </c>
      <c r="I219" s="95" t="s">
        <v>1412</v>
      </c>
      <c r="J219" s="95">
        <v>42643</v>
      </c>
      <c r="K219" s="95" t="s">
        <v>1413</v>
      </c>
    </row>
    <row r="220" spans="1:11" x14ac:dyDescent="0.35">
      <c r="A220" s="155" t="s">
        <v>213</v>
      </c>
      <c r="B220" s="155" t="s">
        <v>214</v>
      </c>
      <c r="C220" s="155" t="s">
        <v>16</v>
      </c>
      <c r="D220" s="155" t="s">
        <v>17</v>
      </c>
      <c r="E220" s="155" t="s">
        <v>1343</v>
      </c>
      <c r="F220" s="155" t="s">
        <v>17</v>
      </c>
      <c r="G220" s="156">
        <v>12</v>
      </c>
      <c r="H220" s="155" t="s">
        <v>1343</v>
      </c>
      <c r="I220" s="95" t="s">
        <v>1414</v>
      </c>
      <c r="K220" s="95" t="s">
        <v>1413</v>
      </c>
    </row>
    <row r="221" spans="1:11" x14ac:dyDescent="0.35">
      <c r="A221" s="155" t="s">
        <v>1097</v>
      </c>
      <c r="B221" s="155" t="s">
        <v>107</v>
      </c>
      <c r="C221" s="155" t="s">
        <v>8</v>
      </c>
      <c r="D221" s="155" t="s">
        <v>9</v>
      </c>
      <c r="E221" s="155" t="s">
        <v>1327</v>
      </c>
      <c r="F221" s="155" t="s">
        <v>1328</v>
      </c>
      <c r="G221" s="156">
        <v>8</v>
      </c>
      <c r="H221" s="155" t="s">
        <v>1327</v>
      </c>
      <c r="I221" s="95" t="s">
        <v>1412</v>
      </c>
      <c r="J221" s="95">
        <v>42643</v>
      </c>
      <c r="K221" s="95" t="s">
        <v>1413</v>
      </c>
    </row>
    <row r="222" spans="1:11" x14ac:dyDescent="0.35">
      <c r="A222" s="155" t="s">
        <v>1098</v>
      </c>
      <c r="B222" s="155" t="s">
        <v>108</v>
      </c>
      <c r="C222" s="155" t="s">
        <v>8</v>
      </c>
      <c r="D222" s="155" t="s">
        <v>9</v>
      </c>
      <c r="E222" s="155" t="s">
        <v>1327</v>
      </c>
      <c r="F222" s="155" t="s">
        <v>1328</v>
      </c>
      <c r="G222" s="156">
        <v>8</v>
      </c>
      <c r="H222" s="155" t="s">
        <v>1327</v>
      </c>
      <c r="I222" s="95" t="s">
        <v>1412</v>
      </c>
      <c r="J222" s="95">
        <v>42643</v>
      </c>
      <c r="K222" s="95" t="s">
        <v>1413</v>
      </c>
    </row>
    <row r="223" spans="1:11" x14ac:dyDescent="0.35">
      <c r="A223" s="155" t="s">
        <v>1099</v>
      </c>
      <c r="B223" s="155" t="s">
        <v>116</v>
      </c>
      <c r="C223" s="155" t="s">
        <v>10</v>
      </c>
      <c r="D223" s="155" t="s">
        <v>11</v>
      </c>
      <c r="E223" s="155" t="s">
        <v>1334</v>
      </c>
      <c r="F223" s="155" t="s">
        <v>1335</v>
      </c>
      <c r="G223" s="156">
        <v>9</v>
      </c>
      <c r="H223" s="155" t="s">
        <v>1334</v>
      </c>
      <c r="I223" s="95" t="s">
        <v>1412</v>
      </c>
      <c r="J223" s="95">
        <v>42643</v>
      </c>
      <c r="K223" s="95" t="s">
        <v>1413</v>
      </c>
    </row>
    <row r="224" spans="1:11" x14ac:dyDescent="0.35">
      <c r="A224" s="155" t="s">
        <v>229</v>
      </c>
      <c r="B224" s="155" t="s">
        <v>230</v>
      </c>
      <c r="C224" s="155" t="s">
        <v>25</v>
      </c>
      <c r="D224" s="155" t="s">
        <v>26</v>
      </c>
      <c r="E224" s="155" t="s">
        <v>1357</v>
      </c>
      <c r="F224" s="155" t="s">
        <v>1358</v>
      </c>
      <c r="G224" s="156">
        <v>17</v>
      </c>
      <c r="H224" s="155" t="s">
        <v>1357</v>
      </c>
      <c r="I224" s="95" t="s">
        <v>1414</v>
      </c>
      <c r="K224" s="95" t="s">
        <v>1413</v>
      </c>
    </row>
    <row r="225" spans="1:11" x14ac:dyDescent="0.35">
      <c r="A225" s="155" t="s">
        <v>231</v>
      </c>
      <c r="B225" s="155" t="s">
        <v>232</v>
      </c>
      <c r="C225" s="155" t="s">
        <v>25</v>
      </c>
      <c r="D225" s="155" t="s">
        <v>26</v>
      </c>
      <c r="E225" s="155" t="s">
        <v>1357</v>
      </c>
      <c r="F225" s="155" t="s">
        <v>1358</v>
      </c>
      <c r="G225" s="156">
        <v>17</v>
      </c>
      <c r="H225" s="155" t="s">
        <v>1357</v>
      </c>
      <c r="I225" s="95" t="s">
        <v>1414</v>
      </c>
      <c r="K225" s="95" t="s">
        <v>1413</v>
      </c>
    </row>
    <row r="226" spans="1:11" x14ac:dyDescent="0.35">
      <c r="A226" s="155" t="s">
        <v>1100</v>
      </c>
      <c r="B226" s="155" t="s">
        <v>1101</v>
      </c>
      <c r="C226" s="155" t="s">
        <v>25</v>
      </c>
      <c r="D226" s="155" t="s">
        <v>26</v>
      </c>
      <c r="E226" s="155" t="s">
        <v>1357</v>
      </c>
      <c r="F226" s="155" t="s">
        <v>1358</v>
      </c>
      <c r="G226" s="156">
        <v>17</v>
      </c>
      <c r="H226" s="155" t="s">
        <v>1357</v>
      </c>
      <c r="I226" s="95" t="s">
        <v>1412</v>
      </c>
      <c r="J226" s="95">
        <v>42643</v>
      </c>
      <c r="K226" s="95" t="s">
        <v>1413</v>
      </c>
    </row>
    <row r="227" spans="1:11" x14ac:dyDescent="0.35">
      <c r="A227" s="155" t="s">
        <v>1102</v>
      </c>
      <c r="B227" s="155" t="s">
        <v>1103</v>
      </c>
      <c r="C227" s="155" t="s">
        <v>25</v>
      </c>
      <c r="D227" s="155" t="s">
        <v>26</v>
      </c>
      <c r="E227" s="155" t="s">
        <v>1357</v>
      </c>
      <c r="F227" s="155" t="s">
        <v>1358</v>
      </c>
      <c r="G227" s="156">
        <v>17</v>
      </c>
      <c r="H227" s="155" t="s">
        <v>1357</v>
      </c>
      <c r="I227" s="95" t="s">
        <v>1412</v>
      </c>
      <c r="J227" s="95">
        <v>42643</v>
      </c>
      <c r="K227" s="95" t="s">
        <v>1413</v>
      </c>
    </row>
    <row r="228" spans="1:11" x14ac:dyDescent="0.35">
      <c r="A228" s="155" t="s">
        <v>233</v>
      </c>
      <c r="B228" s="155" t="s">
        <v>234</v>
      </c>
      <c r="C228" s="155" t="s">
        <v>25</v>
      </c>
      <c r="D228" s="155" t="s">
        <v>26</v>
      </c>
      <c r="E228" s="155" t="s">
        <v>1357</v>
      </c>
      <c r="F228" s="155" t="s">
        <v>1358</v>
      </c>
      <c r="G228" s="156">
        <v>17</v>
      </c>
      <c r="H228" s="155" t="s">
        <v>1357</v>
      </c>
      <c r="I228" s="95" t="s">
        <v>1414</v>
      </c>
      <c r="K228" s="95" t="s">
        <v>1413</v>
      </c>
    </row>
    <row r="229" spans="1:11" x14ac:dyDescent="0.35">
      <c r="A229" s="155" t="s">
        <v>235</v>
      </c>
      <c r="B229" s="155" t="s">
        <v>236</v>
      </c>
      <c r="C229" s="155" t="s">
        <v>25</v>
      </c>
      <c r="D229" s="155" t="s">
        <v>26</v>
      </c>
      <c r="E229" s="155" t="s">
        <v>1357</v>
      </c>
      <c r="F229" s="155" t="s">
        <v>1358</v>
      </c>
      <c r="G229" s="156">
        <v>17</v>
      </c>
      <c r="H229" s="155" t="s">
        <v>1357</v>
      </c>
      <c r="I229" s="95" t="s">
        <v>1414</v>
      </c>
      <c r="K229" s="95" t="s">
        <v>1413</v>
      </c>
    </row>
    <row r="230" spans="1:11" x14ac:dyDescent="0.35">
      <c r="A230" s="155" t="s">
        <v>237</v>
      </c>
      <c r="B230" s="155" t="s">
        <v>238</v>
      </c>
      <c r="C230" s="155" t="s">
        <v>25</v>
      </c>
      <c r="D230" s="155" t="s">
        <v>26</v>
      </c>
      <c r="E230" s="155" t="s">
        <v>1357</v>
      </c>
      <c r="F230" s="155" t="s">
        <v>1358</v>
      </c>
      <c r="G230" s="156">
        <v>17</v>
      </c>
      <c r="H230" s="155" t="s">
        <v>1357</v>
      </c>
      <c r="I230" s="95" t="s">
        <v>1414</v>
      </c>
      <c r="K230" s="95" t="s">
        <v>1413</v>
      </c>
    </row>
    <row r="231" spans="1:11" x14ac:dyDescent="0.35">
      <c r="A231" s="155" t="s">
        <v>1104</v>
      </c>
      <c r="B231" s="155" t="s">
        <v>1105</v>
      </c>
      <c r="C231" s="155" t="s">
        <v>25</v>
      </c>
      <c r="D231" s="155" t="s">
        <v>26</v>
      </c>
      <c r="E231" s="155" t="s">
        <v>1357</v>
      </c>
      <c r="F231" s="155" t="s">
        <v>1358</v>
      </c>
      <c r="G231" s="156">
        <v>17</v>
      </c>
      <c r="H231" s="155" t="s">
        <v>1357</v>
      </c>
      <c r="I231" s="95" t="s">
        <v>1412</v>
      </c>
      <c r="J231" s="95">
        <v>42643</v>
      </c>
      <c r="K231" s="95" t="s">
        <v>1413</v>
      </c>
    </row>
    <row r="232" spans="1:11" x14ac:dyDescent="0.35">
      <c r="A232" s="155" t="s">
        <v>1106</v>
      </c>
      <c r="B232" s="155" t="s">
        <v>1107</v>
      </c>
      <c r="C232" s="155" t="s">
        <v>25</v>
      </c>
      <c r="D232" s="155" t="s">
        <v>26</v>
      </c>
      <c r="E232" s="155" t="s">
        <v>1357</v>
      </c>
      <c r="F232" s="155" t="s">
        <v>1358</v>
      </c>
      <c r="G232" s="156">
        <v>17</v>
      </c>
      <c r="H232" s="155" t="s">
        <v>1357</v>
      </c>
      <c r="I232" s="95" t="s">
        <v>1412</v>
      </c>
      <c r="J232" s="95">
        <v>42643</v>
      </c>
      <c r="K232" s="95" t="s">
        <v>1413</v>
      </c>
    </row>
    <row r="233" spans="1:11" x14ac:dyDescent="0.35">
      <c r="A233" s="155" t="s">
        <v>1108</v>
      </c>
      <c r="B233" s="155" t="s">
        <v>1109</v>
      </c>
      <c r="C233" s="155" t="s">
        <v>25</v>
      </c>
      <c r="D233" s="155" t="s">
        <v>26</v>
      </c>
      <c r="E233" s="155" t="s">
        <v>1357</v>
      </c>
      <c r="F233" s="155" t="s">
        <v>1358</v>
      </c>
      <c r="G233" s="156">
        <v>17</v>
      </c>
      <c r="H233" s="155" t="s">
        <v>1357</v>
      </c>
      <c r="I233" s="95" t="s">
        <v>1412</v>
      </c>
      <c r="J233" s="95">
        <v>42643</v>
      </c>
      <c r="K233" s="95" t="s">
        <v>1413</v>
      </c>
    </row>
    <row r="234" spans="1:11" x14ac:dyDescent="0.35">
      <c r="A234" s="155" t="s">
        <v>239</v>
      </c>
      <c r="B234" s="155" t="s">
        <v>240</v>
      </c>
      <c r="C234" s="155" t="s">
        <v>29</v>
      </c>
      <c r="D234" s="155" t="s">
        <v>30</v>
      </c>
      <c r="E234" s="155" t="s">
        <v>1359</v>
      </c>
      <c r="F234" s="155" t="s">
        <v>1360</v>
      </c>
      <c r="G234" s="156">
        <v>19</v>
      </c>
      <c r="H234" s="155" t="s">
        <v>1359</v>
      </c>
      <c r="I234" s="95" t="s">
        <v>1414</v>
      </c>
      <c r="K234" s="95" t="s">
        <v>1413</v>
      </c>
    </row>
    <row r="235" spans="1:11" x14ac:dyDescent="0.35">
      <c r="A235" s="155" t="s">
        <v>241</v>
      </c>
      <c r="B235" s="155" t="s">
        <v>242</v>
      </c>
      <c r="C235" s="155" t="s">
        <v>25</v>
      </c>
      <c r="D235" s="155" t="s">
        <v>26</v>
      </c>
      <c r="E235" s="155" t="s">
        <v>1357</v>
      </c>
      <c r="F235" s="155" t="s">
        <v>1358</v>
      </c>
      <c r="G235" s="156">
        <v>17</v>
      </c>
      <c r="H235" s="155" t="s">
        <v>1357</v>
      </c>
      <c r="I235" s="95" t="s">
        <v>1414</v>
      </c>
      <c r="K235" s="95" t="s">
        <v>1413</v>
      </c>
    </row>
    <row r="236" spans="1:11" x14ac:dyDescent="0.35">
      <c r="A236" s="155" t="s">
        <v>243</v>
      </c>
      <c r="B236" s="155" t="s">
        <v>244</v>
      </c>
      <c r="C236" s="155" t="s">
        <v>25</v>
      </c>
      <c r="D236" s="155" t="s">
        <v>26</v>
      </c>
      <c r="E236" s="155" t="s">
        <v>1357</v>
      </c>
      <c r="F236" s="155" t="s">
        <v>1358</v>
      </c>
      <c r="G236" s="156">
        <v>17</v>
      </c>
      <c r="H236" s="155" t="s">
        <v>1357</v>
      </c>
      <c r="I236" s="95" t="s">
        <v>1414</v>
      </c>
      <c r="K236" s="95" t="s">
        <v>1413</v>
      </c>
    </row>
    <row r="237" spans="1:11" x14ac:dyDescent="0.35">
      <c r="A237" s="155" t="s">
        <v>245</v>
      </c>
      <c r="B237" s="155" t="s">
        <v>246</v>
      </c>
      <c r="C237" s="155" t="s">
        <v>25</v>
      </c>
      <c r="D237" s="155" t="s">
        <v>26</v>
      </c>
      <c r="E237" s="155" t="s">
        <v>1357</v>
      </c>
      <c r="F237" s="155" t="s">
        <v>1358</v>
      </c>
      <c r="G237" s="156">
        <v>17</v>
      </c>
      <c r="H237" s="155" t="s">
        <v>1357</v>
      </c>
      <c r="I237" s="95" t="s">
        <v>1414</v>
      </c>
      <c r="K237" s="95" t="s">
        <v>1413</v>
      </c>
    </row>
    <row r="238" spans="1:11" x14ac:dyDescent="0.35">
      <c r="A238" s="155" t="s">
        <v>247</v>
      </c>
      <c r="B238" s="155" t="s">
        <v>248</v>
      </c>
      <c r="C238" s="155" t="s">
        <v>25</v>
      </c>
      <c r="D238" s="155" t="s">
        <v>26</v>
      </c>
      <c r="E238" s="155" t="s">
        <v>1357</v>
      </c>
      <c r="F238" s="155" t="s">
        <v>1358</v>
      </c>
      <c r="G238" s="156">
        <v>17</v>
      </c>
      <c r="H238" s="155" t="s">
        <v>1357</v>
      </c>
      <c r="I238" s="95" t="s">
        <v>1414</v>
      </c>
      <c r="K238" s="95" t="s">
        <v>1413</v>
      </c>
    </row>
    <row r="239" spans="1:11" x14ac:dyDescent="0.35">
      <c r="A239" s="155" t="s">
        <v>249</v>
      </c>
      <c r="B239" s="155" t="s">
        <v>250</v>
      </c>
      <c r="C239" s="155" t="s">
        <v>25</v>
      </c>
      <c r="D239" s="155" t="s">
        <v>26</v>
      </c>
      <c r="E239" s="155" t="s">
        <v>1357</v>
      </c>
      <c r="F239" s="155" t="s">
        <v>1358</v>
      </c>
      <c r="G239" s="156">
        <v>17</v>
      </c>
      <c r="H239" s="155" t="s">
        <v>1357</v>
      </c>
      <c r="I239" s="95" t="s">
        <v>1414</v>
      </c>
      <c r="K239" s="95" t="s">
        <v>1413</v>
      </c>
    </row>
    <row r="240" spans="1:11" x14ac:dyDescent="0.35">
      <c r="A240" s="155" t="s">
        <v>251</v>
      </c>
      <c r="B240" s="155" t="s">
        <v>252</v>
      </c>
      <c r="C240" s="155" t="s">
        <v>25</v>
      </c>
      <c r="D240" s="155" t="s">
        <v>26</v>
      </c>
      <c r="E240" s="155" t="s">
        <v>1357</v>
      </c>
      <c r="F240" s="155" t="s">
        <v>1358</v>
      </c>
      <c r="G240" s="156">
        <v>17</v>
      </c>
      <c r="H240" s="155" t="s">
        <v>1357</v>
      </c>
      <c r="I240" s="95" t="s">
        <v>1414</v>
      </c>
      <c r="K240" s="95" t="s">
        <v>1413</v>
      </c>
    </row>
    <row r="241" spans="1:11" x14ac:dyDescent="0.35">
      <c r="A241" s="155" t="s">
        <v>261</v>
      </c>
      <c r="B241" s="155" t="s">
        <v>262</v>
      </c>
      <c r="C241" s="155" t="s">
        <v>27</v>
      </c>
      <c r="D241" s="155" t="s">
        <v>28</v>
      </c>
      <c r="E241" s="155" t="s">
        <v>1361</v>
      </c>
      <c r="F241" s="155" t="s">
        <v>1362</v>
      </c>
      <c r="G241" s="156">
        <v>18</v>
      </c>
      <c r="H241" s="155" t="s">
        <v>1361</v>
      </c>
      <c r="I241" s="95" t="s">
        <v>1414</v>
      </c>
      <c r="K241" s="95" t="s">
        <v>1413</v>
      </c>
    </row>
    <row r="242" spans="1:11" x14ac:dyDescent="0.35">
      <c r="A242" s="155" t="s">
        <v>263</v>
      </c>
      <c r="B242" s="155" t="s">
        <v>264</v>
      </c>
      <c r="C242" s="155" t="s">
        <v>27</v>
      </c>
      <c r="D242" s="155" t="s">
        <v>28</v>
      </c>
      <c r="E242" s="155" t="s">
        <v>1361</v>
      </c>
      <c r="F242" s="155" t="s">
        <v>1362</v>
      </c>
      <c r="G242" s="156">
        <v>18</v>
      </c>
      <c r="H242" s="155" t="s">
        <v>1361</v>
      </c>
      <c r="I242" s="95" t="s">
        <v>1414</v>
      </c>
      <c r="K242" s="95" t="s">
        <v>1413</v>
      </c>
    </row>
    <row r="243" spans="1:11" x14ac:dyDescent="0.35">
      <c r="A243" s="155" t="s">
        <v>265</v>
      </c>
      <c r="B243" s="155" t="s">
        <v>1489</v>
      </c>
      <c r="C243" s="155" t="s">
        <v>27</v>
      </c>
      <c r="D243" s="155" t="s">
        <v>28</v>
      </c>
      <c r="E243" s="155" t="s">
        <v>1363</v>
      </c>
      <c r="F243" s="155" t="s">
        <v>1364</v>
      </c>
      <c r="G243" s="156">
        <v>18</v>
      </c>
      <c r="H243" s="155" t="s">
        <v>1363</v>
      </c>
      <c r="I243" s="95" t="s">
        <v>1414</v>
      </c>
      <c r="K243" s="95" t="s">
        <v>1413</v>
      </c>
    </row>
    <row r="244" spans="1:11" x14ac:dyDescent="0.35">
      <c r="A244" s="155" t="s">
        <v>266</v>
      </c>
      <c r="B244" s="155" t="s">
        <v>267</v>
      </c>
      <c r="C244" s="155" t="s">
        <v>27</v>
      </c>
      <c r="D244" s="155" t="s">
        <v>28</v>
      </c>
      <c r="E244" s="155" t="s">
        <v>1363</v>
      </c>
      <c r="F244" s="155" t="s">
        <v>1364</v>
      </c>
      <c r="G244" s="156">
        <v>18</v>
      </c>
      <c r="H244" s="155" t="s">
        <v>1363</v>
      </c>
      <c r="I244" s="95" t="s">
        <v>1414</v>
      </c>
      <c r="K244" s="95" t="s">
        <v>1413</v>
      </c>
    </row>
    <row r="245" spans="1:11" x14ac:dyDescent="0.35">
      <c r="A245" s="155" t="s">
        <v>268</v>
      </c>
      <c r="B245" s="155" t="s">
        <v>269</v>
      </c>
      <c r="C245" s="155" t="s">
        <v>27</v>
      </c>
      <c r="D245" s="155" t="s">
        <v>28</v>
      </c>
      <c r="E245" s="155" t="s">
        <v>1365</v>
      </c>
      <c r="F245" s="155" t="s">
        <v>1366</v>
      </c>
      <c r="G245" s="156">
        <v>18</v>
      </c>
      <c r="H245" s="155" t="s">
        <v>1365</v>
      </c>
      <c r="I245" s="95" t="s">
        <v>1414</v>
      </c>
      <c r="K245" s="95" t="s">
        <v>1413</v>
      </c>
    </row>
    <row r="246" spans="1:11" x14ac:dyDescent="0.35">
      <c r="A246" s="155" t="s">
        <v>270</v>
      </c>
      <c r="B246" s="155" t="s">
        <v>636</v>
      </c>
      <c r="C246" s="155" t="s">
        <v>27</v>
      </c>
      <c r="D246" s="155" t="s">
        <v>28</v>
      </c>
      <c r="E246" s="155" t="s">
        <v>1365</v>
      </c>
      <c r="F246" s="155" t="s">
        <v>1366</v>
      </c>
      <c r="G246" s="156">
        <v>18</v>
      </c>
      <c r="H246" s="155" t="s">
        <v>1365</v>
      </c>
      <c r="I246" s="95" t="s">
        <v>1414</v>
      </c>
      <c r="K246" s="95" t="s">
        <v>1413</v>
      </c>
    </row>
    <row r="247" spans="1:11" x14ac:dyDescent="0.35">
      <c r="A247" s="155" t="s">
        <v>253</v>
      </c>
      <c r="B247" s="155" t="s">
        <v>1490</v>
      </c>
      <c r="C247" s="155" t="s">
        <v>25</v>
      </c>
      <c r="D247" s="155" t="s">
        <v>26</v>
      </c>
      <c r="E247" s="155" t="s">
        <v>1357</v>
      </c>
      <c r="F247" s="155" t="s">
        <v>1358</v>
      </c>
      <c r="G247" s="156">
        <v>17</v>
      </c>
      <c r="H247" s="155" t="s">
        <v>1357</v>
      </c>
      <c r="I247" s="95" t="s">
        <v>1414</v>
      </c>
      <c r="K247" s="95" t="s">
        <v>1413</v>
      </c>
    </row>
    <row r="248" spans="1:11" x14ac:dyDescent="0.35">
      <c r="A248" s="155" t="s">
        <v>254</v>
      </c>
      <c r="B248" s="155" t="s">
        <v>1491</v>
      </c>
      <c r="C248" s="155" t="s">
        <v>25</v>
      </c>
      <c r="D248" s="155" t="s">
        <v>26</v>
      </c>
      <c r="E248" s="155" t="s">
        <v>1357</v>
      </c>
      <c r="F248" s="155" t="s">
        <v>1358</v>
      </c>
      <c r="G248" s="156">
        <v>17</v>
      </c>
      <c r="H248" s="155" t="s">
        <v>1357</v>
      </c>
      <c r="I248" s="95" t="s">
        <v>1414</v>
      </c>
      <c r="K248" s="95" t="s">
        <v>1413</v>
      </c>
    </row>
    <row r="249" spans="1:11" x14ac:dyDescent="0.35">
      <c r="A249" s="155" t="s">
        <v>1110</v>
      </c>
      <c r="B249" s="155" t="s">
        <v>1111</v>
      </c>
      <c r="C249" s="155" t="s">
        <v>25</v>
      </c>
      <c r="D249" s="155" t="s">
        <v>26</v>
      </c>
      <c r="E249" s="155" t="s">
        <v>1357</v>
      </c>
      <c r="F249" s="155" t="s">
        <v>1358</v>
      </c>
      <c r="G249" s="156">
        <v>17</v>
      </c>
      <c r="H249" s="155" t="s">
        <v>1357</v>
      </c>
      <c r="I249" s="95" t="s">
        <v>1412</v>
      </c>
      <c r="J249" s="95">
        <v>42643</v>
      </c>
      <c r="K249" s="95" t="s">
        <v>1413</v>
      </c>
    </row>
    <row r="250" spans="1:11" x14ac:dyDescent="0.35">
      <c r="A250" s="155" t="s">
        <v>1112</v>
      </c>
      <c r="B250" s="155" t="s">
        <v>1113</v>
      </c>
      <c r="C250" s="155" t="s">
        <v>25</v>
      </c>
      <c r="D250" s="155" t="s">
        <v>26</v>
      </c>
      <c r="E250" s="155" t="s">
        <v>1357</v>
      </c>
      <c r="F250" s="155" t="s">
        <v>1358</v>
      </c>
      <c r="G250" s="156">
        <v>17</v>
      </c>
      <c r="H250" s="155" t="s">
        <v>1357</v>
      </c>
      <c r="I250" s="95" t="s">
        <v>1412</v>
      </c>
      <c r="J250" s="95">
        <v>42643</v>
      </c>
      <c r="K250" s="95" t="s">
        <v>1413</v>
      </c>
    </row>
    <row r="251" spans="1:11" x14ac:dyDescent="0.35">
      <c r="A251" s="155" t="s">
        <v>255</v>
      </c>
      <c r="B251" s="155" t="s">
        <v>1492</v>
      </c>
      <c r="C251" s="155" t="s">
        <v>25</v>
      </c>
      <c r="D251" s="155" t="s">
        <v>26</v>
      </c>
      <c r="E251" s="155" t="s">
        <v>1357</v>
      </c>
      <c r="F251" s="155" t="s">
        <v>1358</v>
      </c>
      <c r="G251" s="156">
        <v>17</v>
      </c>
      <c r="H251" s="155" t="s">
        <v>1357</v>
      </c>
      <c r="I251" s="95" t="s">
        <v>1414</v>
      </c>
      <c r="K251" s="95" t="s">
        <v>1413</v>
      </c>
    </row>
    <row r="252" spans="1:11" x14ac:dyDescent="0.35">
      <c r="A252" s="155" t="s">
        <v>256</v>
      </c>
      <c r="B252" s="155" t="s">
        <v>1493</v>
      </c>
      <c r="C252" s="155" t="s">
        <v>25</v>
      </c>
      <c r="D252" s="155" t="s">
        <v>26</v>
      </c>
      <c r="E252" s="155" t="s">
        <v>1357</v>
      </c>
      <c r="F252" s="155" t="s">
        <v>1358</v>
      </c>
      <c r="G252" s="156">
        <v>17</v>
      </c>
      <c r="H252" s="155" t="s">
        <v>1357</v>
      </c>
      <c r="I252" s="95" t="s">
        <v>1414</v>
      </c>
      <c r="K252" s="95" t="s">
        <v>1413</v>
      </c>
    </row>
    <row r="253" spans="1:11" x14ac:dyDescent="0.35">
      <c r="A253" s="155" t="s">
        <v>257</v>
      </c>
      <c r="B253" s="155" t="s">
        <v>1494</v>
      </c>
      <c r="C253" s="155" t="s">
        <v>25</v>
      </c>
      <c r="D253" s="155" t="s">
        <v>26</v>
      </c>
      <c r="E253" s="155" t="s">
        <v>1357</v>
      </c>
      <c r="F253" s="155" t="s">
        <v>1358</v>
      </c>
      <c r="G253" s="156">
        <v>17</v>
      </c>
      <c r="H253" s="155" t="s">
        <v>1357</v>
      </c>
      <c r="I253" s="95" t="s">
        <v>1414</v>
      </c>
      <c r="K253" s="95" t="s">
        <v>1413</v>
      </c>
    </row>
    <row r="254" spans="1:11" x14ac:dyDescent="0.35">
      <c r="A254" s="155" t="s">
        <v>258</v>
      </c>
      <c r="B254" s="155" t="s">
        <v>1495</v>
      </c>
      <c r="C254" s="155" t="s">
        <v>25</v>
      </c>
      <c r="D254" s="155" t="s">
        <v>26</v>
      </c>
      <c r="E254" s="155" t="s">
        <v>1357</v>
      </c>
      <c r="F254" s="155" t="s">
        <v>1358</v>
      </c>
      <c r="G254" s="156">
        <v>17</v>
      </c>
      <c r="H254" s="155" t="s">
        <v>1357</v>
      </c>
      <c r="I254" s="95" t="s">
        <v>1414</v>
      </c>
      <c r="K254" s="95" t="s">
        <v>1413</v>
      </c>
    </row>
    <row r="255" spans="1:11" x14ac:dyDescent="0.35">
      <c r="A255" s="155" t="s">
        <v>259</v>
      </c>
      <c r="B255" s="155" t="s">
        <v>1496</v>
      </c>
      <c r="C255" s="155" t="s">
        <v>25</v>
      </c>
      <c r="D255" s="155" t="s">
        <v>26</v>
      </c>
      <c r="E255" s="155" t="s">
        <v>1357</v>
      </c>
      <c r="F255" s="155" t="s">
        <v>1358</v>
      </c>
      <c r="G255" s="156">
        <v>17</v>
      </c>
      <c r="H255" s="155" t="s">
        <v>1357</v>
      </c>
      <c r="I255" s="95" t="s">
        <v>1414</v>
      </c>
      <c r="K255" s="95" t="s">
        <v>1413</v>
      </c>
    </row>
    <row r="256" spans="1:11" x14ac:dyDescent="0.35">
      <c r="A256" s="155" t="s">
        <v>260</v>
      </c>
      <c r="B256" s="155" t="s">
        <v>1497</v>
      </c>
      <c r="C256" s="155" t="s">
        <v>25</v>
      </c>
      <c r="D256" s="155" t="s">
        <v>26</v>
      </c>
      <c r="E256" s="155" t="s">
        <v>1357</v>
      </c>
      <c r="F256" s="155" t="s">
        <v>1358</v>
      </c>
      <c r="G256" s="156">
        <v>17</v>
      </c>
      <c r="H256" s="155" t="s">
        <v>1357</v>
      </c>
      <c r="I256" s="95" t="s">
        <v>1414</v>
      </c>
      <c r="K256" s="95" t="s">
        <v>1413</v>
      </c>
    </row>
    <row r="257" spans="1:11" x14ac:dyDescent="0.35">
      <c r="A257" s="155" t="s">
        <v>1114</v>
      </c>
      <c r="B257" s="155" t="s">
        <v>1115</v>
      </c>
      <c r="C257" s="155" t="s">
        <v>31</v>
      </c>
      <c r="D257" s="155" t="s">
        <v>32</v>
      </c>
      <c r="E257" s="155" t="s">
        <v>1367</v>
      </c>
      <c r="F257" s="155" t="s">
        <v>1368</v>
      </c>
      <c r="G257" s="156">
        <v>20</v>
      </c>
      <c r="H257" s="155" t="s">
        <v>1367</v>
      </c>
      <c r="I257" s="95" t="s">
        <v>1412</v>
      </c>
      <c r="J257" s="95">
        <v>42643</v>
      </c>
      <c r="K257" s="95" t="s">
        <v>1413</v>
      </c>
    </row>
    <row r="258" spans="1:11" x14ac:dyDescent="0.35">
      <c r="A258" s="155" t="s">
        <v>1116</v>
      </c>
      <c r="B258" s="155" t="s">
        <v>1117</v>
      </c>
      <c r="C258" s="155" t="s">
        <v>31</v>
      </c>
      <c r="D258" s="155" t="s">
        <v>32</v>
      </c>
      <c r="E258" s="155" t="s">
        <v>1367</v>
      </c>
      <c r="F258" s="155" t="s">
        <v>1368</v>
      </c>
      <c r="G258" s="156">
        <v>20</v>
      </c>
      <c r="H258" s="155" t="s">
        <v>1367</v>
      </c>
      <c r="I258" s="95" t="s">
        <v>1412</v>
      </c>
      <c r="J258" s="95">
        <v>42643</v>
      </c>
      <c r="K258" s="95" t="s">
        <v>1413</v>
      </c>
    </row>
    <row r="259" spans="1:11" x14ac:dyDescent="0.35">
      <c r="A259" s="155" t="s">
        <v>918</v>
      </c>
      <c r="B259" s="155" t="s">
        <v>919</v>
      </c>
      <c r="C259" s="155" t="s">
        <v>25</v>
      </c>
      <c r="D259" s="155" t="s">
        <v>26</v>
      </c>
      <c r="E259" s="155" t="s">
        <v>1357</v>
      </c>
      <c r="F259" s="155" t="s">
        <v>1358</v>
      </c>
      <c r="G259" s="156">
        <v>17</v>
      </c>
      <c r="H259" s="155" t="s">
        <v>1357</v>
      </c>
      <c r="I259" s="95" t="s">
        <v>1414</v>
      </c>
      <c r="K259" s="95" t="s">
        <v>1416</v>
      </c>
    </row>
    <row r="260" spans="1:11" x14ac:dyDescent="0.35">
      <c r="A260" s="155" t="s">
        <v>920</v>
      </c>
      <c r="B260" s="155" t="s">
        <v>921</v>
      </c>
      <c r="C260" s="155" t="s">
        <v>25</v>
      </c>
      <c r="D260" s="155" t="s">
        <v>26</v>
      </c>
      <c r="E260" s="155" t="s">
        <v>1357</v>
      </c>
      <c r="F260" s="155" t="s">
        <v>1358</v>
      </c>
      <c r="G260" s="156">
        <v>17</v>
      </c>
      <c r="H260" s="155" t="s">
        <v>1357</v>
      </c>
      <c r="I260" s="95" t="s">
        <v>1414</v>
      </c>
      <c r="K260" s="95" t="s">
        <v>1416</v>
      </c>
    </row>
    <row r="261" spans="1:11" s="168" customFormat="1" x14ac:dyDescent="0.35">
      <c r="A261" s="166" t="s">
        <v>922</v>
      </c>
      <c r="B261" s="166" t="s">
        <v>1554</v>
      </c>
      <c r="C261" s="166" t="s">
        <v>29</v>
      </c>
      <c r="D261" s="166" t="s">
        <v>30</v>
      </c>
      <c r="E261" s="166" t="s">
        <v>1359</v>
      </c>
      <c r="F261" s="166" t="s">
        <v>1360</v>
      </c>
      <c r="G261" s="167">
        <v>19</v>
      </c>
      <c r="H261" s="166" t="s">
        <v>1359</v>
      </c>
      <c r="I261" s="168" t="s">
        <v>1414</v>
      </c>
      <c r="K261" s="168" t="s">
        <v>1416</v>
      </c>
    </row>
    <row r="262" spans="1:11" x14ac:dyDescent="0.35">
      <c r="A262" s="155" t="s">
        <v>285</v>
      </c>
      <c r="B262" s="155" t="s">
        <v>286</v>
      </c>
      <c r="C262" s="155" t="s">
        <v>31</v>
      </c>
      <c r="D262" s="155" t="s">
        <v>32</v>
      </c>
      <c r="E262" s="155" t="s">
        <v>1367</v>
      </c>
      <c r="F262" s="155" t="s">
        <v>1368</v>
      </c>
      <c r="G262" s="156">
        <v>20</v>
      </c>
      <c r="H262" s="155" t="s">
        <v>1367</v>
      </c>
      <c r="I262" s="95" t="s">
        <v>1414</v>
      </c>
      <c r="K262" s="95" t="s">
        <v>1413</v>
      </c>
    </row>
    <row r="263" spans="1:11" x14ac:dyDescent="0.35">
      <c r="A263" s="155" t="s">
        <v>287</v>
      </c>
      <c r="B263" s="155" t="s">
        <v>288</v>
      </c>
      <c r="C263" s="155" t="s">
        <v>31</v>
      </c>
      <c r="D263" s="155" t="s">
        <v>32</v>
      </c>
      <c r="E263" s="155" t="s">
        <v>1367</v>
      </c>
      <c r="F263" s="155" t="s">
        <v>1368</v>
      </c>
      <c r="G263" s="156">
        <v>20</v>
      </c>
      <c r="H263" s="155" t="s">
        <v>1367</v>
      </c>
      <c r="I263" s="95" t="s">
        <v>1414</v>
      </c>
      <c r="K263" s="95" t="s">
        <v>1413</v>
      </c>
    </row>
    <row r="264" spans="1:11" x14ac:dyDescent="0.35">
      <c r="A264" s="155" t="s">
        <v>289</v>
      </c>
      <c r="B264" s="155" t="s">
        <v>290</v>
      </c>
      <c r="C264" s="155" t="s">
        <v>31</v>
      </c>
      <c r="D264" s="155" t="s">
        <v>32</v>
      </c>
      <c r="E264" s="155" t="s">
        <v>1367</v>
      </c>
      <c r="F264" s="155" t="s">
        <v>1368</v>
      </c>
      <c r="G264" s="156">
        <v>20</v>
      </c>
      <c r="H264" s="155" t="s">
        <v>1367</v>
      </c>
      <c r="I264" s="95" t="s">
        <v>1414</v>
      </c>
      <c r="K264" s="95" t="s">
        <v>1413</v>
      </c>
    </row>
    <row r="265" spans="1:11" x14ac:dyDescent="0.35">
      <c r="A265" s="155" t="s">
        <v>291</v>
      </c>
      <c r="B265" s="155" t="s">
        <v>292</v>
      </c>
      <c r="C265" s="155" t="s">
        <v>31</v>
      </c>
      <c r="D265" s="155" t="s">
        <v>32</v>
      </c>
      <c r="E265" s="155" t="s">
        <v>1367</v>
      </c>
      <c r="F265" s="155" t="s">
        <v>1368</v>
      </c>
      <c r="G265" s="156">
        <v>20</v>
      </c>
      <c r="H265" s="155" t="s">
        <v>1367</v>
      </c>
      <c r="I265" s="95" t="s">
        <v>1414</v>
      </c>
      <c r="K265" s="95" t="s">
        <v>1413</v>
      </c>
    </row>
    <row r="266" spans="1:11" x14ac:dyDescent="0.35">
      <c r="A266" s="155" t="s">
        <v>293</v>
      </c>
      <c r="B266" s="155" t="s">
        <v>294</v>
      </c>
      <c r="C266" s="155" t="s">
        <v>31</v>
      </c>
      <c r="D266" s="155" t="s">
        <v>32</v>
      </c>
      <c r="E266" s="155" t="s">
        <v>1367</v>
      </c>
      <c r="F266" s="155" t="s">
        <v>1368</v>
      </c>
      <c r="G266" s="156">
        <v>20</v>
      </c>
      <c r="H266" s="155" t="s">
        <v>1367</v>
      </c>
      <c r="I266" s="95" t="s">
        <v>1414</v>
      </c>
      <c r="K266" s="95" t="s">
        <v>1413</v>
      </c>
    </row>
    <row r="267" spans="1:11" x14ac:dyDescent="0.35">
      <c r="A267" s="155" t="s">
        <v>295</v>
      </c>
      <c r="B267" s="155" t="s">
        <v>1498</v>
      </c>
      <c r="C267" s="155" t="s">
        <v>31</v>
      </c>
      <c r="D267" s="155" t="s">
        <v>32</v>
      </c>
      <c r="E267" s="155" t="s">
        <v>1367</v>
      </c>
      <c r="F267" s="155" t="s">
        <v>1368</v>
      </c>
      <c r="G267" s="156">
        <v>20</v>
      </c>
      <c r="H267" s="155" t="s">
        <v>1367</v>
      </c>
      <c r="I267" s="95" t="s">
        <v>1414</v>
      </c>
      <c r="K267" s="95" t="s">
        <v>1413</v>
      </c>
    </row>
    <row r="268" spans="1:11" x14ac:dyDescent="0.35">
      <c r="A268" s="155" t="s">
        <v>296</v>
      </c>
      <c r="B268" s="155" t="s">
        <v>297</v>
      </c>
      <c r="C268" s="155" t="s">
        <v>31</v>
      </c>
      <c r="D268" s="155" t="s">
        <v>32</v>
      </c>
      <c r="E268" s="155" t="s">
        <v>1367</v>
      </c>
      <c r="F268" s="155" t="s">
        <v>1368</v>
      </c>
      <c r="G268" s="156">
        <v>20</v>
      </c>
      <c r="H268" s="155" t="s">
        <v>1367</v>
      </c>
      <c r="I268" s="95" t="s">
        <v>1414</v>
      </c>
      <c r="K268" s="95" t="s">
        <v>1413</v>
      </c>
    </row>
    <row r="269" spans="1:11" x14ac:dyDescent="0.35">
      <c r="A269" s="155" t="s">
        <v>298</v>
      </c>
      <c r="B269" s="155" t="s">
        <v>299</v>
      </c>
      <c r="C269" s="155" t="s">
        <v>31</v>
      </c>
      <c r="D269" s="155" t="s">
        <v>32</v>
      </c>
      <c r="E269" s="155" t="s">
        <v>1367</v>
      </c>
      <c r="F269" s="155" t="s">
        <v>1368</v>
      </c>
      <c r="G269" s="156">
        <v>20</v>
      </c>
      <c r="H269" s="155" t="s">
        <v>1367</v>
      </c>
      <c r="I269" s="95" t="s">
        <v>1414</v>
      </c>
      <c r="K269" s="95" t="s">
        <v>1413</v>
      </c>
    </row>
    <row r="270" spans="1:11" x14ac:dyDescent="0.35">
      <c r="A270" s="155" t="s">
        <v>1118</v>
      </c>
      <c r="B270" s="155" t="s">
        <v>271</v>
      </c>
      <c r="C270" s="155" t="s">
        <v>29</v>
      </c>
      <c r="D270" s="155" t="s">
        <v>30</v>
      </c>
      <c r="E270" s="155" t="s">
        <v>1369</v>
      </c>
      <c r="F270" s="155" t="s">
        <v>1370</v>
      </c>
      <c r="G270" s="156">
        <v>19</v>
      </c>
      <c r="H270" s="155" t="s">
        <v>1369</v>
      </c>
      <c r="I270" s="95" t="s">
        <v>1412</v>
      </c>
      <c r="J270" s="95">
        <v>42643</v>
      </c>
      <c r="K270" s="95" t="s">
        <v>1413</v>
      </c>
    </row>
    <row r="271" spans="1:11" x14ac:dyDescent="0.35">
      <c r="A271" s="155" t="s">
        <v>1119</v>
      </c>
      <c r="B271" s="155" t="s">
        <v>272</v>
      </c>
      <c r="C271" s="155" t="s">
        <v>29</v>
      </c>
      <c r="D271" s="155" t="s">
        <v>30</v>
      </c>
      <c r="E271" s="155" t="s">
        <v>1369</v>
      </c>
      <c r="F271" s="155" t="s">
        <v>1370</v>
      </c>
      <c r="G271" s="156">
        <v>19</v>
      </c>
      <c r="H271" s="155" t="s">
        <v>1369</v>
      </c>
      <c r="I271" s="95" t="s">
        <v>1412</v>
      </c>
      <c r="J271" s="95">
        <v>42643</v>
      </c>
      <c r="K271" s="95" t="s">
        <v>1413</v>
      </c>
    </row>
    <row r="272" spans="1:11" x14ac:dyDescent="0.35">
      <c r="A272" s="155" t="s">
        <v>1120</v>
      </c>
      <c r="B272" s="155" t="s">
        <v>273</v>
      </c>
      <c r="C272" s="155" t="s">
        <v>29</v>
      </c>
      <c r="D272" s="155" t="s">
        <v>30</v>
      </c>
      <c r="E272" s="155" t="s">
        <v>1369</v>
      </c>
      <c r="F272" s="155" t="s">
        <v>1370</v>
      </c>
      <c r="G272" s="156">
        <v>19</v>
      </c>
      <c r="H272" s="155" t="s">
        <v>1369</v>
      </c>
      <c r="I272" s="95" t="s">
        <v>1412</v>
      </c>
      <c r="J272" s="95">
        <v>42643</v>
      </c>
      <c r="K272" s="95" t="s">
        <v>1413</v>
      </c>
    </row>
    <row r="273" spans="1:11" x14ac:dyDescent="0.35">
      <c r="A273" s="155" t="s">
        <v>1121</v>
      </c>
      <c r="B273" s="155" t="s">
        <v>1122</v>
      </c>
      <c r="C273" s="155" t="s">
        <v>29</v>
      </c>
      <c r="D273" s="155" t="s">
        <v>30</v>
      </c>
      <c r="E273" s="155" t="s">
        <v>1369</v>
      </c>
      <c r="F273" s="155" t="s">
        <v>1370</v>
      </c>
      <c r="G273" s="156">
        <v>19</v>
      </c>
      <c r="H273" s="155" t="s">
        <v>1369</v>
      </c>
      <c r="I273" s="95" t="s">
        <v>1412</v>
      </c>
      <c r="J273" s="95">
        <v>42643</v>
      </c>
      <c r="K273" s="95" t="s">
        <v>1413</v>
      </c>
    </row>
    <row r="274" spans="1:11" x14ac:dyDescent="0.35">
      <c r="A274" s="155" t="s">
        <v>1123</v>
      </c>
      <c r="B274" s="155" t="s">
        <v>1124</v>
      </c>
      <c r="C274" s="155" t="s">
        <v>29</v>
      </c>
      <c r="D274" s="155" t="s">
        <v>30</v>
      </c>
      <c r="E274" s="155" t="s">
        <v>1369</v>
      </c>
      <c r="F274" s="155" t="s">
        <v>1370</v>
      </c>
      <c r="G274" s="156">
        <v>19</v>
      </c>
      <c r="H274" s="155" t="s">
        <v>1369</v>
      </c>
      <c r="I274" s="95" t="s">
        <v>1412</v>
      </c>
      <c r="J274" s="95">
        <v>42643</v>
      </c>
      <c r="K274" s="95" t="s">
        <v>1413</v>
      </c>
    </row>
    <row r="275" spans="1:11" x14ac:dyDescent="0.35">
      <c r="A275" s="155" t="s">
        <v>1125</v>
      </c>
      <c r="B275" s="155" t="s">
        <v>1499</v>
      </c>
      <c r="C275" s="155" t="s">
        <v>29</v>
      </c>
      <c r="D275" s="155" t="s">
        <v>30</v>
      </c>
      <c r="E275" s="155" t="s">
        <v>1369</v>
      </c>
      <c r="F275" s="155" t="s">
        <v>1370</v>
      </c>
      <c r="G275" s="156">
        <v>19</v>
      </c>
      <c r="H275" s="155" t="s">
        <v>1369</v>
      </c>
      <c r="I275" s="95" t="s">
        <v>1412</v>
      </c>
      <c r="J275" s="95">
        <v>42643</v>
      </c>
      <c r="K275" s="95" t="s">
        <v>1413</v>
      </c>
    </row>
    <row r="276" spans="1:11" x14ac:dyDescent="0.35">
      <c r="A276" s="155" t="s">
        <v>274</v>
      </c>
      <c r="B276" s="155" t="s">
        <v>275</v>
      </c>
      <c r="C276" s="155" t="s">
        <v>29</v>
      </c>
      <c r="D276" s="155" t="s">
        <v>30</v>
      </c>
      <c r="E276" s="155" t="s">
        <v>1371</v>
      </c>
      <c r="F276" s="155" t="s">
        <v>1372</v>
      </c>
      <c r="G276" s="156">
        <v>19</v>
      </c>
      <c r="H276" s="155" t="s">
        <v>1371</v>
      </c>
      <c r="I276" s="95" t="s">
        <v>1414</v>
      </c>
      <c r="K276" s="95" t="s">
        <v>1413</v>
      </c>
    </row>
    <row r="277" spans="1:11" x14ac:dyDescent="0.35">
      <c r="A277" s="155" t="s">
        <v>1126</v>
      </c>
      <c r="B277" s="155" t="s">
        <v>276</v>
      </c>
      <c r="C277" s="155" t="s">
        <v>29</v>
      </c>
      <c r="D277" s="155" t="s">
        <v>30</v>
      </c>
      <c r="E277" s="155" t="s">
        <v>1369</v>
      </c>
      <c r="F277" s="155" t="s">
        <v>1370</v>
      </c>
      <c r="G277" s="156">
        <v>19</v>
      </c>
      <c r="H277" s="155" t="s">
        <v>1369</v>
      </c>
      <c r="I277" s="95" t="s">
        <v>1412</v>
      </c>
      <c r="J277" s="95">
        <v>42643</v>
      </c>
      <c r="K277" s="95" t="s">
        <v>1413</v>
      </c>
    </row>
    <row r="278" spans="1:11" x14ac:dyDescent="0.35">
      <c r="A278" s="155" t="s">
        <v>1127</v>
      </c>
      <c r="B278" s="155" t="s">
        <v>1128</v>
      </c>
      <c r="C278" s="155" t="s">
        <v>29</v>
      </c>
      <c r="D278" s="155" t="s">
        <v>30</v>
      </c>
      <c r="E278" s="155" t="s">
        <v>1359</v>
      </c>
      <c r="F278" s="155" t="s">
        <v>1360</v>
      </c>
      <c r="G278" s="156">
        <v>19</v>
      </c>
      <c r="H278" s="155" t="s">
        <v>1359</v>
      </c>
      <c r="I278" s="95" t="s">
        <v>1412</v>
      </c>
      <c r="J278" s="95">
        <v>42643</v>
      </c>
      <c r="K278" s="95" t="s">
        <v>1413</v>
      </c>
    </row>
    <row r="279" spans="1:11" x14ac:dyDescent="0.35">
      <c r="A279" s="155" t="s">
        <v>1129</v>
      </c>
      <c r="B279" s="155" t="s">
        <v>1500</v>
      </c>
      <c r="C279" s="155" t="s">
        <v>29</v>
      </c>
      <c r="D279" s="155" t="s">
        <v>30</v>
      </c>
      <c r="E279" s="155" t="s">
        <v>1359</v>
      </c>
      <c r="F279" s="155" t="s">
        <v>1360</v>
      </c>
      <c r="G279" s="156">
        <v>19</v>
      </c>
      <c r="H279" s="155" t="s">
        <v>1359</v>
      </c>
      <c r="I279" s="95" t="s">
        <v>1412</v>
      </c>
      <c r="J279" s="95">
        <v>42643</v>
      </c>
      <c r="K279" s="95" t="s">
        <v>1413</v>
      </c>
    </row>
    <row r="280" spans="1:11" x14ac:dyDescent="0.35">
      <c r="A280" s="155" t="s">
        <v>1130</v>
      </c>
      <c r="B280" s="155" t="s">
        <v>1131</v>
      </c>
      <c r="C280" s="155" t="s">
        <v>29</v>
      </c>
      <c r="D280" s="155" t="s">
        <v>30</v>
      </c>
      <c r="E280" s="155" t="s">
        <v>1359</v>
      </c>
      <c r="F280" s="155" t="s">
        <v>1360</v>
      </c>
      <c r="G280" s="156">
        <v>19</v>
      </c>
      <c r="H280" s="155" t="s">
        <v>1359</v>
      </c>
      <c r="I280" s="95" t="s">
        <v>1412</v>
      </c>
      <c r="J280" s="95">
        <v>42643</v>
      </c>
      <c r="K280" s="95" t="s">
        <v>1413</v>
      </c>
    </row>
    <row r="281" spans="1:11" x14ac:dyDescent="0.35">
      <c r="A281" s="155" t="s">
        <v>1132</v>
      </c>
      <c r="B281" s="155" t="s">
        <v>1501</v>
      </c>
      <c r="C281" s="155" t="s">
        <v>29</v>
      </c>
      <c r="D281" s="155" t="s">
        <v>30</v>
      </c>
      <c r="E281" s="155" t="s">
        <v>1369</v>
      </c>
      <c r="F281" s="155" t="s">
        <v>1370</v>
      </c>
      <c r="G281" s="156">
        <v>19</v>
      </c>
      <c r="H281" s="155" t="s">
        <v>1369</v>
      </c>
      <c r="I281" s="95" t="s">
        <v>1412</v>
      </c>
      <c r="J281" s="95">
        <v>42643</v>
      </c>
      <c r="K281" s="95" t="s">
        <v>1413</v>
      </c>
    </row>
    <row r="282" spans="1:11" x14ac:dyDescent="0.35">
      <c r="A282" s="155" t="s">
        <v>1133</v>
      </c>
      <c r="B282" s="155" t="s">
        <v>1502</v>
      </c>
      <c r="C282" s="155" t="s">
        <v>29</v>
      </c>
      <c r="D282" s="155" t="s">
        <v>30</v>
      </c>
      <c r="E282" s="155" t="s">
        <v>1369</v>
      </c>
      <c r="F282" s="155" t="s">
        <v>1370</v>
      </c>
      <c r="G282" s="156">
        <v>19</v>
      </c>
      <c r="H282" s="155" t="s">
        <v>1369</v>
      </c>
      <c r="I282" s="95" t="s">
        <v>1412</v>
      </c>
      <c r="J282" s="95">
        <v>42643</v>
      </c>
      <c r="K282" s="95" t="s">
        <v>1413</v>
      </c>
    </row>
    <row r="283" spans="1:11" x14ac:dyDescent="0.35">
      <c r="A283" s="155" t="s">
        <v>277</v>
      </c>
      <c r="B283" s="155" t="s">
        <v>278</v>
      </c>
      <c r="C283" s="155" t="s">
        <v>29</v>
      </c>
      <c r="D283" s="155" t="s">
        <v>30</v>
      </c>
      <c r="E283" s="155" t="s">
        <v>1371</v>
      </c>
      <c r="F283" s="155" t="s">
        <v>1372</v>
      </c>
      <c r="G283" s="156">
        <v>19</v>
      </c>
      <c r="H283" s="155" t="s">
        <v>1371</v>
      </c>
      <c r="I283" s="95" t="s">
        <v>1414</v>
      </c>
      <c r="K283" s="95" t="s">
        <v>1413</v>
      </c>
    </row>
    <row r="284" spans="1:11" x14ac:dyDescent="0.35">
      <c r="A284" s="155" t="s">
        <v>1134</v>
      </c>
      <c r="B284" s="155" t="s">
        <v>1135</v>
      </c>
      <c r="C284" s="155" t="s">
        <v>29</v>
      </c>
      <c r="D284" s="155" t="s">
        <v>30</v>
      </c>
      <c r="E284" s="155" t="s">
        <v>1369</v>
      </c>
      <c r="F284" s="155" t="s">
        <v>1370</v>
      </c>
      <c r="G284" s="156">
        <v>19</v>
      </c>
      <c r="H284" s="155" t="s">
        <v>1369</v>
      </c>
      <c r="I284" s="95" t="s">
        <v>1412</v>
      </c>
      <c r="J284" s="95">
        <v>42643</v>
      </c>
      <c r="K284" s="95" t="s">
        <v>1413</v>
      </c>
    </row>
    <row r="285" spans="1:11" s="168" customFormat="1" x14ac:dyDescent="0.35">
      <c r="A285" s="166" t="s">
        <v>279</v>
      </c>
      <c r="B285" s="166" t="s">
        <v>1552</v>
      </c>
      <c r="C285" s="166" t="s">
        <v>29</v>
      </c>
      <c r="D285" s="166" t="s">
        <v>30</v>
      </c>
      <c r="E285" s="166" t="s">
        <v>1373</v>
      </c>
      <c r="F285" s="166" t="s">
        <v>1374</v>
      </c>
      <c r="G285" s="167">
        <v>19</v>
      </c>
      <c r="H285" s="166" t="s">
        <v>1373</v>
      </c>
      <c r="I285" s="168" t="s">
        <v>1414</v>
      </c>
      <c r="K285" s="168" t="s">
        <v>1413</v>
      </c>
    </row>
    <row r="286" spans="1:11" s="168" customFormat="1" x14ac:dyDescent="0.35">
      <c r="A286" s="166" t="s">
        <v>280</v>
      </c>
      <c r="B286" s="166" t="s">
        <v>1553</v>
      </c>
      <c r="C286" s="166" t="s">
        <v>29</v>
      </c>
      <c r="D286" s="166" t="s">
        <v>30</v>
      </c>
      <c r="E286" s="166" t="s">
        <v>1373</v>
      </c>
      <c r="F286" s="166" t="s">
        <v>1374</v>
      </c>
      <c r="G286" s="167">
        <v>19</v>
      </c>
      <c r="H286" s="166" t="s">
        <v>1373</v>
      </c>
      <c r="I286" s="168" t="s">
        <v>1414</v>
      </c>
      <c r="K286" s="168" t="s">
        <v>1413</v>
      </c>
    </row>
    <row r="287" spans="1:11" s="168" customFormat="1" x14ac:dyDescent="0.35">
      <c r="A287" s="166" t="s">
        <v>281</v>
      </c>
      <c r="B287" s="166" t="s">
        <v>282</v>
      </c>
      <c r="C287" s="166" t="s">
        <v>29</v>
      </c>
      <c r="D287" s="166" t="s">
        <v>30</v>
      </c>
      <c r="E287" s="166" t="s">
        <v>1373</v>
      </c>
      <c r="F287" s="166" t="s">
        <v>1374</v>
      </c>
      <c r="G287" s="167">
        <v>19</v>
      </c>
      <c r="H287" s="166" t="s">
        <v>1373</v>
      </c>
      <c r="I287" s="168" t="s">
        <v>1414</v>
      </c>
      <c r="K287" s="168" t="s">
        <v>1413</v>
      </c>
    </row>
    <row r="288" spans="1:11" s="168" customFormat="1" x14ac:dyDescent="0.35">
      <c r="A288" s="166" t="s">
        <v>283</v>
      </c>
      <c r="B288" s="166" t="s">
        <v>284</v>
      </c>
      <c r="C288" s="166" t="s">
        <v>29</v>
      </c>
      <c r="D288" s="166" t="s">
        <v>30</v>
      </c>
      <c r="E288" s="166" t="s">
        <v>1373</v>
      </c>
      <c r="F288" s="166" t="s">
        <v>1374</v>
      </c>
      <c r="G288" s="167">
        <v>19</v>
      </c>
      <c r="H288" s="166" t="s">
        <v>1373</v>
      </c>
      <c r="I288" s="168" t="s">
        <v>1414</v>
      </c>
      <c r="K288" s="168" t="s">
        <v>1413</v>
      </c>
    </row>
    <row r="289" spans="1:11" s="168" customFormat="1" x14ac:dyDescent="0.35">
      <c r="A289" s="166" t="s">
        <v>924</v>
      </c>
      <c r="B289" s="166" t="s">
        <v>1556</v>
      </c>
      <c r="C289" s="166" t="s">
        <v>29</v>
      </c>
      <c r="D289" s="166" t="s">
        <v>30</v>
      </c>
      <c r="E289" s="166" t="s">
        <v>1369</v>
      </c>
      <c r="F289" s="166" t="s">
        <v>1370</v>
      </c>
      <c r="G289" s="167">
        <v>19</v>
      </c>
      <c r="H289" s="166" t="s">
        <v>1359</v>
      </c>
      <c r="I289" s="168" t="s">
        <v>1414</v>
      </c>
      <c r="K289" s="168" t="s">
        <v>1416</v>
      </c>
    </row>
    <row r="290" spans="1:11" s="168" customFormat="1" x14ac:dyDescent="0.35">
      <c r="A290" s="166" t="s">
        <v>926</v>
      </c>
      <c r="B290" s="166" t="s">
        <v>1555</v>
      </c>
      <c r="C290" s="166" t="s">
        <v>29</v>
      </c>
      <c r="D290" s="166" t="s">
        <v>30</v>
      </c>
      <c r="E290" s="166" t="s">
        <v>1369</v>
      </c>
      <c r="F290" s="166" t="s">
        <v>1370</v>
      </c>
      <c r="G290" s="167">
        <v>19</v>
      </c>
      <c r="H290" s="166" t="s">
        <v>1359</v>
      </c>
      <c r="I290" s="168" t="s">
        <v>1414</v>
      </c>
      <c r="K290" s="168" t="s">
        <v>1416</v>
      </c>
    </row>
    <row r="291" spans="1:11" s="168" customFormat="1" x14ac:dyDescent="0.35">
      <c r="A291" s="166" t="s">
        <v>928</v>
      </c>
      <c r="B291" s="166" t="s">
        <v>929</v>
      </c>
      <c r="C291" s="166" t="s">
        <v>29</v>
      </c>
      <c r="D291" s="166" t="s">
        <v>30</v>
      </c>
      <c r="E291" s="166" t="s">
        <v>1373</v>
      </c>
      <c r="F291" s="166" t="s">
        <v>1374</v>
      </c>
      <c r="G291" s="167">
        <v>19</v>
      </c>
      <c r="H291" s="166" t="s">
        <v>1373</v>
      </c>
      <c r="I291" s="168" t="s">
        <v>1414</v>
      </c>
      <c r="K291" s="168" t="s">
        <v>1416</v>
      </c>
    </row>
    <row r="292" spans="1:11" x14ac:dyDescent="0.35">
      <c r="A292" s="155" t="s">
        <v>1136</v>
      </c>
      <c r="B292" s="155" t="s">
        <v>1137</v>
      </c>
      <c r="C292" s="155" t="s">
        <v>31</v>
      </c>
      <c r="D292" s="155" t="s">
        <v>32</v>
      </c>
      <c r="E292" s="155" t="s">
        <v>1367</v>
      </c>
      <c r="F292" s="155" t="s">
        <v>1368</v>
      </c>
      <c r="G292" s="156">
        <v>20</v>
      </c>
      <c r="H292" s="155" t="s">
        <v>1367</v>
      </c>
      <c r="I292" s="95" t="s">
        <v>1412</v>
      </c>
      <c r="J292" s="95">
        <v>42643</v>
      </c>
      <c r="K292" s="95" t="s">
        <v>1413</v>
      </c>
    </row>
    <row r="293" spans="1:11" x14ac:dyDescent="0.35">
      <c r="A293" s="155" t="s">
        <v>930</v>
      </c>
      <c r="B293" s="155" t="s">
        <v>931</v>
      </c>
      <c r="C293" s="155" t="s">
        <v>29</v>
      </c>
      <c r="D293" s="155" t="s">
        <v>30</v>
      </c>
      <c r="E293" s="155" t="s">
        <v>1373</v>
      </c>
      <c r="F293" s="155" t="s">
        <v>1374</v>
      </c>
      <c r="G293" s="156">
        <v>19</v>
      </c>
      <c r="H293" s="155" t="s">
        <v>1373</v>
      </c>
      <c r="I293" s="95" t="s">
        <v>1414</v>
      </c>
      <c r="K293" s="95" t="s">
        <v>1416</v>
      </c>
    </row>
    <row r="294" spans="1:11" x14ac:dyDescent="0.35">
      <c r="A294" s="155" t="s">
        <v>932</v>
      </c>
      <c r="B294" s="155" t="s">
        <v>933</v>
      </c>
      <c r="C294" s="155" t="s">
        <v>29</v>
      </c>
      <c r="D294" s="155" t="s">
        <v>30</v>
      </c>
      <c r="E294" s="155" t="s">
        <v>1373</v>
      </c>
      <c r="F294" s="155" t="s">
        <v>1374</v>
      </c>
      <c r="G294" s="156">
        <v>19</v>
      </c>
      <c r="H294" s="155" t="s">
        <v>1373</v>
      </c>
      <c r="I294" s="95" t="s">
        <v>1414</v>
      </c>
      <c r="K294" s="95" t="s">
        <v>1416</v>
      </c>
    </row>
    <row r="295" spans="1:11" x14ac:dyDescent="0.35">
      <c r="A295" s="155" t="s">
        <v>300</v>
      </c>
      <c r="B295" s="155" t="s">
        <v>301</v>
      </c>
      <c r="C295" s="155" t="s">
        <v>31</v>
      </c>
      <c r="D295" s="155" t="s">
        <v>32</v>
      </c>
      <c r="E295" s="155" t="s">
        <v>1367</v>
      </c>
      <c r="F295" s="155" t="s">
        <v>1368</v>
      </c>
      <c r="G295" s="156">
        <v>20</v>
      </c>
      <c r="H295" s="155" t="s">
        <v>1367</v>
      </c>
      <c r="I295" s="95" t="s">
        <v>1414</v>
      </c>
      <c r="K295" s="95" t="s">
        <v>1413</v>
      </c>
    </row>
    <row r="296" spans="1:11" x14ac:dyDescent="0.35">
      <c r="A296" s="155" t="s">
        <v>1138</v>
      </c>
      <c r="B296" s="155" t="s">
        <v>1139</v>
      </c>
      <c r="C296" s="155" t="s">
        <v>31</v>
      </c>
      <c r="D296" s="155" t="s">
        <v>32</v>
      </c>
      <c r="E296" s="155" t="s">
        <v>1367</v>
      </c>
      <c r="F296" s="155" t="s">
        <v>1368</v>
      </c>
      <c r="G296" s="156">
        <v>20</v>
      </c>
      <c r="H296" s="155" t="s">
        <v>1367</v>
      </c>
      <c r="I296" s="95" t="s">
        <v>1412</v>
      </c>
      <c r="J296" s="95">
        <v>42643</v>
      </c>
      <c r="K296" s="95" t="s">
        <v>1413</v>
      </c>
    </row>
    <row r="297" spans="1:11" x14ac:dyDescent="0.35">
      <c r="A297" s="155" t="s">
        <v>302</v>
      </c>
      <c r="B297" s="155" t="s">
        <v>303</v>
      </c>
      <c r="C297" s="155" t="s">
        <v>31</v>
      </c>
      <c r="D297" s="155" t="s">
        <v>32</v>
      </c>
      <c r="E297" s="155" t="s">
        <v>1367</v>
      </c>
      <c r="F297" s="155" t="s">
        <v>1368</v>
      </c>
      <c r="G297" s="156">
        <v>20</v>
      </c>
      <c r="H297" s="155" t="s">
        <v>1367</v>
      </c>
      <c r="I297" s="95" t="s">
        <v>1414</v>
      </c>
      <c r="K297" s="95" t="s">
        <v>1413</v>
      </c>
    </row>
    <row r="298" spans="1:11" x14ac:dyDescent="0.35">
      <c r="A298" s="155" t="s">
        <v>934</v>
      </c>
      <c r="B298" s="155" t="s">
        <v>935</v>
      </c>
      <c r="C298" s="155" t="s">
        <v>31</v>
      </c>
      <c r="D298" s="155" t="s">
        <v>32</v>
      </c>
      <c r="E298" s="155" t="s">
        <v>1367</v>
      </c>
      <c r="F298" s="155" t="s">
        <v>1368</v>
      </c>
      <c r="G298" s="156">
        <v>20</v>
      </c>
      <c r="H298" s="155" t="s">
        <v>1367</v>
      </c>
      <c r="I298" s="95" t="s">
        <v>1414</v>
      </c>
      <c r="K298" s="95" t="s">
        <v>1416</v>
      </c>
    </row>
    <row r="299" spans="1:11" x14ac:dyDescent="0.35">
      <c r="A299" s="155" t="s">
        <v>304</v>
      </c>
      <c r="B299" s="155" t="s">
        <v>305</v>
      </c>
      <c r="C299" s="155" t="s">
        <v>31</v>
      </c>
      <c r="D299" s="155" t="s">
        <v>32</v>
      </c>
      <c r="E299" s="155" t="s">
        <v>1367</v>
      </c>
      <c r="F299" s="155" t="s">
        <v>1368</v>
      </c>
      <c r="G299" s="156">
        <v>20</v>
      </c>
      <c r="H299" s="155" t="s">
        <v>1367</v>
      </c>
      <c r="I299" s="95" t="s">
        <v>1414</v>
      </c>
      <c r="K299" s="95" t="s">
        <v>1413</v>
      </c>
    </row>
    <row r="300" spans="1:11" x14ac:dyDescent="0.35">
      <c r="A300" s="155" t="s">
        <v>306</v>
      </c>
      <c r="B300" s="155" t="s">
        <v>307</v>
      </c>
      <c r="C300" s="155" t="s">
        <v>31</v>
      </c>
      <c r="D300" s="155" t="s">
        <v>32</v>
      </c>
      <c r="E300" s="155" t="s">
        <v>1367</v>
      </c>
      <c r="F300" s="155" t="s">
        <v>1368</v>
      </c>
      <c r="G300" s="156">
        <v>20</v>
      </c>
      <c r="H300" s="155" t="s">
        <v>1367</v>
      </c>
      <c r="I300" s="95" t="s">
        <v>1414</v>
      </c>
      <c r="K300" s="95" t="s">
        <v>1413</v>
      </c>
    </row>
    <row r="301" spans="1:11" x14ac:dyDescent="0.35">
      <c r="A301" s="155" t="s">
        <v>308</v>
      </c>
      <c r="B301" s="155" t="s">
        <v>1505</v>
      </c>
      <c r="C301" s="155" t="s">
        <v>31</v>
      </c>
      <c r="D301" s="155" t="s">
        <v>32</v>
      </c>
      <c r="E301" s="155" t="s">
        <v>1367</v>
      </c>
      <c r="F301" s="155" t="s">
        <v>1368</v>
      </c>
      <c r="G301" s="156">
        <v>20</v>
      </c>
      <c r="H301" s="155" t="s">
        <v>1367</v>
      </c>
      <c r="I301" s="95" t="s">
        <v>1414</v>
      </c>
      <c r="K301" s="95" t="s">
        <v>1413</v>
      </c>
    </row>
    <row r="302" spans="1:11" x14ac:dyDescent="0.35">
      <c r="A302" s="155" t="s">
        <v>1140</v>
      </c>
      <c r="B302" s="155" t="s">
        <v>1141</v>
      </c>
      <c r="C302" s="155" t="s">
        <v>31</v>
      </c>
      <c r="D302" s="155" t="s">
        <v>32</v>
      </c>
      <c r="E302" s="155" t="s">
        <v>1367</v>
      </c>
      <c r="F302" s="155" t="s">
        <v>1368</v>
      </c>
      <c r="G302" s="156">
        <v>20</v>
      </c>
      <c r="H302" s="155" t="s">
        <v>1367</v>
      </c>
      <c r="I302" s="95" t="s">
        <v>1412</v>
      </c>
      <c r="J302" s="95">
        <v>42643</v>
      </c>
      <c r="K302" s="95" t="s">
        <v>1413</v>
      </c>
    </row>
    <row r="303" spans="1:11" x14ac:dyDescent="0.35">
      <c r="A303" s="155" t="s">
        <v>1142</v>
      </c>
      <c r="B303" s="155" t="s">
        <v>1143</v>
      </c>
      <c r="C303" s="155" t="s">
        <v>31</v>
      </c>
      <c r="D303" s="155" t="s">
        <v>32</v>
      </c>
      <c r="E303" s="155" t="s">
        <v>1367</v>
      </c>
      <c r="F303" s="155" t="s">
        <v>1368</v>
      </c>
      <c r="G303" s="156">
        <v>20</v>
      </c>
      <c r="H303" s="155" t="s">
        <v>1367</v>
      </c>
      <c r="I303" s="95" t="s">
        <v>1412</v>
      </c>
      <c r="J303" s="95">
        <v>42643</v>
      </c>
      <c r="K303" s="95" t="s">
        <v>1413</v>
      </c>
    </row>
    <row r="304" spans="1:11" x14ac:dyDescent="0.35">
      <c r="A304" s="155" t="s">
        <v>1144</v>
      </c>
      <c r="B304" s="155" t="s">
        <v>1145</v>
      </c>
      <c r="C304" s="155" t="s">
        <v>31</v>
      </c>
      <c r="D304" s="155" t="s">
        <v>32</v>
      </c>
      <c r="E304" s="155" t="s">
        <v>1367</v>
      </c>
      <c r="F304" s="155" t="s">
        <v>1368</v>
      </c>
      <c r="G304" s="156">
        <v>20</v>
      </c>
      <c r="H304" s="155" t="s">
        <v>1367</v>
      </c>
      <c r="I304" s="95" t="s">
        <v>1412</v>
      </c>
      <c r="J304" s="95">
        <v>42643</v>
      </c>
      <c r="K304" s="95" t="s">
        <v>1413</v>
      </c>
    </row>
    <row r="305" spans="1:11" x14ac:dyDescent="0.35">
      <c r="A305" s="155" t="s">
        <v>1146</v>
      </c>
      <c r="B305" s="155" t="s">
        <v>1147</v>
      </c>
      <c r="C305" s="155" t="s">
        <v>31</v>
      </c>
      <c r="D305" s="155" t="s">
        <v>32</v>
      </c>
      <c r="E305" s="155" t="s">
        <v>1367</v>
      </c>
      <c r="F305" s="155" t="s">
        <v>1368</v>
      </c>
      <c r="G305" s="156">
        <v>20</v>
      </c>
      <c r="H305" s="155" t="s">
        <v>1367</v>
      </c>
      <c r="I305" s="95" t="s">
        <v>1412</v>
      </c>
      <c r="J305" s="95">
        <v>42643</v>
      </c>
      <c r="K305" s="95" t="s">
        <v>1413</v>
      </c>
    </row>
    <row r="306" spans="1:11" x14ac:dyDescent="0.35">
      <c r="A306" s="155" t="s">
        <v>1148</v>
      </c>
      <c r="B306" s="155" t="s">
        <v>1149</v>
      </c>
      <c r="C306" s="155" t="s">
        <v>31</v>
      </c>
      <c r="D306" s="155" t="s">
        <v>32</v>
      </c>
      <c r="E306" s="155" t="s">
        <v>1367</v>
      </c>
      <c r="F306" s="155" t="s">
        <v>1368</v>
      </c>
      <c r="G306" s="156">
        <v>20</v>
      </c>
      <c r="H306" s="155" t="s">
        <v>1367</v>
      </c>
      <c r="I306" s="95" t="s">
        <v>1412</v>
      </c>
      <c r="J306" s="95">
        <v>42643</v>
      </c>
      <c r="K306" s="95" t="s">
        <v>1413</v>
      </c>
    </row>
    <row r="307" spans="1:11" x14ac:dyDescent="0.35">
      <c r="A307" s="155" t="s">
        <v>309</v>
      </c>
      <c r="B307" s="155" t="s">
        <v>310</v>
      </c>
      <c r="C307" s="155" t="s">
        <v>31</v>
      </c>
      <c r="D307" s="155" t="s">
        <v>32</v>
      </c>
      <c r="E307" s="155" t="s">
        <v>1367</v>
      </c>
      <c r="F307" s="155" t="s">
        <v>1368</v>
      </c>
      <c r="G307" s="156">
        <v>20</v>
      </c>
      <c r="H307" s="155" t="s">
        <v>1367</v>
      </c>
      <c r="I307" s="95" t="s">
        <v>1414</v>
      </c>
      <c r="K307" s="95" t="s">
        <v>1413</v>
      </c>
    </row>
    <row r="308" spans="1:11" x14ac:dyDescent="0.35">
      <c r="A308" s="155" t="s">
        <v>1150</v>
      </c>
      <c r="B308" s="155" t="s">
        <v>1151</v>
      </c>
      <c r="C308" s="155" t="s">
        <v>31</v>
      </c>
      <c r="D308" s="155" t="s">
        <v>32</v>
      </c>
      <c r="E308" s="155" t="s">
        <v>1367</v>
      </c>
      <c r="F308" s="155" t="s">
        <v>1368</v>
      </c>
      <c r="G308" s="156">
        <v>20</v>
      </c>
      <c r="H308" s="155" t="s">
        <v>1367</v>
      </c>
      <c r="I308" s="95" t="s">
        <v>1412</v>
      </c>
      <c r="J308" s="95">
        <v>42643</v>
      </c>
      <c r="K308" s="95" t="s">
        <v>1413</v>
      </c>
    </row>
    <row r="309" spans="1:11" x14ac:dyDescent="0.35">
      <c r="A309" s="155" t="s">
        <v>311</v>
      </c>
      <c r="B309" s="155" t="s">
        <v>312</v>
      </c>
      <c r="C309" s="155" t="s">
        <v>31</v>
      </c>
      <c r="D309" s="155" t="s">
        <v>32</v>
      </c>
      <c r="E309" s="155" t="s">
        <v>1367</v>
      </c>
      <c r="F309" s="155" t="s">
        <v>1368</v>
      </c>
      <c r="G309" s="156">
        <v>20</v>
      </c>
      <c r="H309" s="155" t="s">
        <v>1367</v>
      </c>
      <c r="I309" s="95" t="s">
        <v>1414</v>
      </c>
      <c r="K309" s="95" t="s">
        <v>1413</v>
      </c>
    </row>
    <row r="310" spans="1:11" x14ac:dyDescent="0.35">
      <c r="A310" s="155" t="s">
        <v>313</v>
      </c>
      <c r="B310" s="155" t="s">
        <v>314</v>
      </c>
      <c r="C310" s="155" t="s">
        <v>31</v>
      </c>
      <c r="D310" s="155" t="s">
        <v>32</v>
      </c>
      <c r="E310" s="155" t="s">
        <v>1367</v>
      </c>
      <c r="F310" s="155" t="s">
        <v>1368</v>
      </c>
      <c r="G310" s="156">
        <v>20</v>
      </c>
      <c r="H310" s="155" t="s">
        <v>1367</v>
      </c>
      <c r="I310" s="95" t="s">
        <v>1414</v>
      </c>
      <c r="K310" s="95" t="s">
        <v>1413</v>
      </c>
    </row>
    <row r="311" spans="1:11" x14ac:dyDescent="0.35">
      <c r="A311" s="155" t="s">
        <v>1152</v>
      </c>
      <c r="B311" s="155" t="s">
        <v>1153</v>
      </c>
      <c r="C311" s="155" t="s">
        <v>31</v>
      </c>
      <c r="D311" s="155" t="s">
        <v>32</v>
      </c>
      <c r="E311" s="155" t="s">
        <v>1367</v>
      </c>
      <c r="F311" s="155" t="s">
        <v>1368</v>
      </c>
      <c r="G311" s="156">
        <v>20</v>
      </c>
      <c r="H311" s="155" t="s">
        <v>1367</v>
      </c>
      <c r="I311" s="95" t="s">
        <v>1412</v>
      </c>
      <c r="J311" s="95">
        <v>42643</v>
      </c>
      <c r="K311" s="95" t="s">
        <v>1413</v>
      </c>
    </row>
    <row r="312" spans="1:11" x14ac:dyDescent="0.35">
      <c r="A312" s="155" t="s">
        <v>315</v>
      </c>
      <c r="B312" s="155" t="s">
        <v>301</v>
      </c>
      <c r="C312" s="155" t="s">
        <v>31</v>
      </c>
      <c r="D312" s="155" t="s">
        <v>32</v>
      </c>
      <c r="E312" s="155" t="s">
        <v>1367</v>
      </c>
      <c r="F312" s="155" t="s">
        <v>1368</v>
      </c>
      <c r="G312" s="156">
        <v>20</v>
      </c>
      <c r="H312" s="155" t="s">
        <v>1367</v>
      </c>
      <c r="I312" s="95" t="s">
        <v>1414</v>
      </c>
      <c r="K312" s="95" t="s">
        <v>1413</v>
      </c>
    </row>
    <row r="313" spans="1:11" x14ac:dyDescent="0.35">
      <c r="A313" s="155" t="s">
        <v>1154</v>
      </c>
      <c r="B313" s="155" t="s">
        <v>1139</v>
      </c>
      <c r="C313" s="155" t="s">
        <v>31</v>
      </c>
      <c r="D313" s="155" t="s">
        <v>32</v>
      </c>
      <c r="E313" s="155" t="s">
        <v>1367</v>
      </c>
      <c r="F313" s="155" t="s">
        <v>1368</v>
      </c>
      <c r="G313" s="156">
        <v>20</v>
      </c>
      <c r="H313" s="155" t="s">
        <v>1367</v>
      </c>
      <c r="I313" s="95" t="s">
        <v>1412</v>
      </c>
      <c r="J313" s="95">
        <v>42643</v>
      </c>
      <c r="K313" s="95" t="s">
        <v>1413</v>
      </c>
    </row>
    <row r="314" spans="1:11" x14ac:dyDescent="0.35">
      <c r="A314" s="155" t="s">
        <v>316</v>
      </c>
      <c r="B314" s="155" t="s">
        <v>317</v>
      </c>
      <c r="C314" s="155" t="s">
        <v>31</v>
      </c>
      <c r="D314" s="155" t="s">
        <v>32</v>
      </c>
      <c r="E314" s="155" t="s">
        <v>1367</v>
      </c>
      <c r="F314" s="155" t="s">
        <v>1368</v>
      </c>
      <c r="G314" s="156">
        <v>20</v>
      </c>
      <c r="H314" s="155" t="s">
        <v>1367</v>
      </c>
      <c r="I314" s="95" t="s">
        <v>1414</v>
      </c>
      <c r="K314" s="95" t="s">
        <v>1413</v>
      </c>
    </row>
    <row r="315" spans="1:11" x14ac:dyDescent="0.35">
      <c r="A315" s="155" t="s">
        <v>936</v>
      </c>
      <c r="B315" s="155" t="s">
        <v>937</v>
      </c>
      <c r="C315" s="155" t="s">
        <v>31</v>
      </c>
      <c r="D315" s="155" t="s">
        <v>32</v>
      </c>
      <c r="E315" s="155" t="s">
        <v>1367</v>
      </c>
      <c r="F315" s="155" t="s">
        <v>1368</v>
      </c>
      <c r="G315" s="156">
        <v>20</v>
      </c>
      <c r="H315" s="155" t="s">
        <v>1367</v>
      </c>
      <c r="I315" s="95" t="s">
        <v>1414</v>
      </c>
      <c r="K315" s="95" t="s">
        <v>1416</v>
      </c>
    </row>
    <row r="316" spans="1:11" x14ac:dyDescent="0.35">
      <c r="A316" s="155" t="s">
        <v>318</v>
      </c>
      <c r="B316" s="155" t="s">
        <v>319</v>
      </c>
      <c r="C316" s="155" t="s">
        <v>31</v>
      </c>
      <c r="D316" s="155" t="s">
        <v>32</v>
      </c>
      <c r="E316" s="155" t="s">
        <v>1367</v>
      </c>
      <c r="F316" s="155" t="s">
        <v>1368</v>
      </c>
      <c r="G316" s="156">
        <v>20</v>
      </c>
      <c r="H316" s="155" t="s">
        <v>1367</v>
      </c>
      <c r="I316" s="95" t="s">
        <v>1414</v>
      </c>
      <c r="K316" s="95" t="s">
        <v>1413</v>
      </c>
    </row>
    <row r="317" spans="1:11" x14ac:dyDescent="0.35">
      <c r="A317" s="155" t="s">
        <v>320</v>
      </c>
      <c r="B317" s="155" t="s">
        <v>321</v>
      </c>
      <c r="C317" s="155" t="s">
        <v>31</v>
      </c>
      <c r="D317" s="155" t="s">
        <v>32</v>
      </c>
      <c r="E317" s="155" t="s">
        <v>1367</v>
      </c>
      <c r="F317" s="155" t="s">
        <v>1368</v>
      </c>
      <c r="G317" s="156">
        <v>20</v>
      </c>
      <c r="H317" s="155" t="s">
        <v>1367</v>
      </c>
      <c r="I317" s="95" t="s">
        <v>1414</v>
      </c>
      <c r="K317" s="95" t="s">
        <v>1413</v>
      </c>
    </row>
    <row r="318" spans="1:11" x14ac:dyDescent="0.35">
      <c r="A318" s="155" t="s">
        <v>322</v>
      </c>
      <c r="B318" s="155" t="s">
        <v>323</v>
      </c>
      <c r="C318" s="155" t="s">
        <v>31</v>
      </c>
      <c r="D318" s="155" t="s">
        <v>32</v>
      </c>
      <c r="E318" s="155" t="s">
        <v>1367</v>
      </c>
      <c r="F318" s="155" t="s">
        <v>1368</v>
      </c>
      <c r="G318" s="156">
        <v>20</v>
      </c>
      <c r="H318" s="155" t="s">
        <v>1367</v>
      </c>
      <c r="I318" s="95" t="s">
        <v>1414</v>
      </c>
      <c r="K318" s="95" t="s">
        <v>1413</v>
      </c>
    </row>
    <row r="319" spans="1:11" x14ac:dyDescent="0.35">
      <c r="A319" s="155" t="s">
        <v>324</v>
      </c>
      <c r="B319" s="155" t="s">
        <v>325</v>
      </c>
      <c r="C319" s="155" t="s">
        <v>31</v>
      </c>
      <c r="D319" s="155" t="s">
        <v>32</v>
      </c>
      <c r="E319" s="155" t="s">
        <v>1367</v>
      </c>
      <c r="F319" s="155" t="s">
        <v>1368</v>
      </c>
      <c r="G319" s="156">
        <v>20</v>
      </c>
      <c r="H319" s="155" t="s">
        <v>1367</v>
      </c>
      <c r="I319" s="95" t="s">
        <v>1414</v>
      </c>
      <c r="K319" s="95" t="s">
        <v>1413</v>
      </c>
    </row>
    <row r="320" spans="1:11" x14ac:dyDescent="0.35">
      <c r="A320" s="155" t="s">
        <v>1155</v>
      </c>
      <c r="B320" s="155" t="s">
        <v>1156</v>
      </c>
      <c r="C320" s="155" t="s">
        <v>31</v>
      </c>
      <c r="D320" s="155" t="s">
        <v>32</v>
      </c>
      <c r="E320" s="155" t="s">
        <v>1367</v>
      </c>
      <c r="F320" s="155" t="s">
        <v>1368</v>
      </c>
      <c r="G320" s="156">
        <v>20</v>
      </c>
      <c r="H320" s="155" t="s">
        <v>1367</v>
      </c>
      <c r="I320" s="95" t="s">
        <v>1412</v>
      </c>
      <c r="J320" s="95">
        <v>42643</v>
      </c>
      <c r="K320" s="95" t="s">
        <v>1413</v>
      </c>
    </row>
    <row r="321" spans="1:11" x14ac:dyDescent="0.35">
      <c r="A321" s="155" t="s">
        <v>1157</v>
      </c>
      <c r="B321" s="155" t="s">
        <v>1158</v>
      </c>
      <c r="C321" s="155" t="s">
        <v>31</v>
      </c>
      <c r="D321" s="155" t="s">
        <v>32</v>
      </c>
      <c r="E321" s="155" t="s">
        <v>1367</v>
      </c>
      <c r="F321" s="155" t="s">
        <v>1368</v>
      </c>
      <c r="G321" s="156">
        <v>20</v>
      </c>
      <c r="H321" s="155" t="s">
        <v>1367</v>
      </c>
      <c r="I321" s="95" t="s">
        <v>1412</v>
      </c>
      <c r="J321" s="95">
        <v>42643</v>
      </c>
      <c r="K321" s="95" t="s">
        <v>1413</v>
      </c>
    </row>
    <row r="322" spans="1:11" x14ac:dyDescent="0.35">
      <c r="A322" s="155" t="s">
        <v>326</v>
      </c>
      <c r="B322" s="155" t="s">
        <v>327</v>
      </c>
      <c r="C322" s="155" t="s">
        <v>31</v>
      </c>
      <c r="D322" s="155" t="s">
        <v>32</v>
      </c>
      <c r="E322" s="155" t="s">
        <v>1367</v>
      </c>
      <c r="F322" s="155" t="s">
        <v>1368</v>
      </c>
      <c r="G322" s="156">
        <v>20</v>
      </c>
      <c r="H322" s="155" t="s">
        <v>1367</v>
      </c>
      <c r="I322" s="95" t="s">
        <v>1414</v>
      </c>
      <c r="K322" s="95" t="s">
        <v>1413</v>
      </c>
    </row>
    <row r="323" spans="1:11" x14ac:dyDescent="0.35">
      <c r="A323" s="155" t="s">
        <v>328</v>
      </c>
      <c r="B323" s="155" t="s">
        <v>329</v>
      </c>
      <c r="C323" s="155" t="s">
        <v>33</v>
      </c>
      <c r="D323" s="155" t="s">
        <v>34</v>
      </c>
      <c r="E323" s="155" t="s">
        <v>1375</v>
      </c>
      <c r="F323" s="155" t="s">
        <v>1376</v>
      </c>
      <c r="G323" s="156">
        <v>21</v>
      </c>
      <c r="H323" s="155" t="s">
        <v>1375</v>
      </c>
      <c r="I323" s="95" t="s">
        <v>1414</v>
      </c>
      <c r="K323" s="95" t="s">
        <v>1413</v>
      </c>
    </row>
    <row r="324" spans="1:11" x14ac:dyDescent="0.35">
      <c r="A324" s="155" t="s">
        <v>330</v>
      </c>
      <c r="B324" s="155" t="s">
        <v>331</v>
      </c>
      <c r="C324" s="155" t="s">
        <v>33</v>
      </c>
      <c r="D324" s="155" t="s">
        <v>34</v>
      </c>
      <c r="E324" s="155" t="s">
        <v>1375</v>
      </c>
      <c r="F324" s="155" t="s">
        <v>1376</v>
      </c>
      <c r="G324" s="156">
        <v>21</v>
      </c>
      <c r="H324" s="155" t="s">
        <v>1375</v>
      </c>
      <c r="I324" s="95" t="s">
        <v>1414</v>
      </c>
      <c r="K324" s="95" t="s">
        <v>1413</v>
      </c>
    </row>
    <row r="325" spans="1:11" x14ac:dyDescent="0.35">
      <c r="A325" s="155" t="s">
        <v>332</v>
      </c>
      <c r="B325" s="155" t="s">
        <v>333</v>
      </c>
      <c r="C325" s="155" t="s">
        <v>33</v>
      </c>
      <c r="D325" s="155" t="s">
        <v>34</v>
      </c>
      <c r="E325" s="155" t="s">
        <v>1375</v>
      </c>
      <c r="F325" s="155" t="s">
        <v>1376</v>
      </c>
      <c r="G325" s="156">
        <v>21</v>
      </c>
      <c r="H325" s="155" t="s">
        <v>1375</v>
      </c>
      <c r="I325" s="95" t="s">
        <v>1414</v>
      </c>
      <c r="K325" s="95" t="s">
        <v>1413</v>
      </c>
    </row>
    <row r="326" spans="1:11" x14ac:dyDescent="0.35">
      <c r="A326" s="155" t="s">
        <v>1159</v>
      </c>
      <c r="B326" s="155" t="s">
        <v>1160</v>
      </c>
      <c r="C326" s="155" t="s">
        <v>33</v>
      </c>
      <c r="D326" s="155" t="s">
        <v>34</v>
      </c>
      <c r="E326" s="155" t="s">
        <v>1375</v>
      </c>
      <c r="F326" s="155" t="s">
        <v>1376</v>
      </c>
      <c r="G326" s="156">
        <v>21</v>
      </c>
      <c r="H326" s="155" t="s">
        <v>1375</v>
      </c>
      <c r="I326" s="95" t="s">
        <v>1412</v>
      </c>
      <c r="J326" s="95">
        <v>42643</v>
      </c>
      <c r="K326" s="95" t="s">
        <v>1413</v>
      </c>
    </row>
    <row r="327" spans="1:11" x14ac:dyDescent="0.35">
      <c r="A327" s="155" t="s">
        <v>1161</v>
      </c>
      <c r="B327" s="155" t="s">
        <v>1162</v>
      </c>
      <c r="C327" s="155" t="s">
        <v>33</v>
      </c>
      <c r="D327" s="155" t="s">
        <v>34</v>
      </c>
      <c r="E327" s="155" t="s">
        <v>1375</v>
      </c>
      <c r="F327" s="155" t="s">
        <v>1376</v>
      </c>
      <c r="G327" s="156">
        <v>21</v>
      </c>
      <c r="H327" s="155" t="s">
        <v>1375</v>
      </c>
      <c r="I327" s="95" t="s">
        <v>1412</v>
      </c>
      <c r="J327" s="95">
        <v>42643</v>
      </c>
      <c r="K327" s="95" t="s">
        <v>1413</v>
      </c>
    </row>
    <row r="328" spans="1:11" x14ac:dyDescent="0.35">
      <c r="A328" s="155" t="s">
        <v>1163</v>
      </c>
      <c r="B328" s="155" t="s">
        <v>1164</v>
      </c>
      <c r="C328" s="155" t="s">
        <v>33</v>
      </c>
      <c r="D328" s="155" t="s">
        <v>34</v>
      </c>
      <c r="E328" s="155" t="s">
        <v>1375</v>
      </c>
      <c r="F328" s="155" t="s">
        <v>1376</v>
      </c>
      <c r="G328" s="156">
        <v>21</v>
      </c>
      <c r="H328" s="155" t="s">
        <v>1375</v>
      </c>
      <c r="I328" s="95" t="s">
        <v>1412</v>
      </c>
      <c r="J328" s="95">
        <v>42643</v>
      </c>
      <c r="K328" s="95" t="s">
        <v>1413</v>
      </c>
    </row>
    <row r="329" spans="1:11" x14ac:dyDescent="0.35">
      <c r="A329" s="155" t="s">
        <v>938</v>
      </c>
      <c r="B329" s="155" t="s">
        <v>399</v>
      </c>
      <c r="C329" s="155" t="s">
        <v>37</v>
      </c>
      <c r="D329" s="155" t="s">
        <v>38</v>
      </c>
      <c r="E329" s="155" t="s">
        <v>1387</v>
      </c>
      <c r="F329" s="155" t="s">
        <v>1388</v>
      </c>
      <c r="G329" s="156">
        <v>23</v>
      </c>
      <c r="H329" s="155" t="s">
        <v>1387</v>
      </c>
      <c r="I329" s="95" t="s">
        <v>1414</v>
      </c>
      <c r="K329" s="95" t="s">
        <v>1416</v>
      </c>
    </row>
    <row r="330" spans="1:11" x14ac:dyDescent="0.35">
      <c r="A330" s="155" t="s">
        <v>939</v>
      </c>
      <c r="B330" s="155" t="s">
        <v>400</v>
      </c>
      <c r="C330" s="155" t="s">
        <v>37</v>
      </c>
      <c r="D330" s="155" t="s">
        <v>38</v>
      </c>
      <c r="E330" s="155" t="s">
        <v>1387</v>
      </c>
      <c r="F330" s="155" t="s">
        <v>1388</v>
      </c>
      <c r="G330" s="156">
        <v>23</v>
      </c>
      <c r="H330" s="155" t="s">
        <v>1387</v>
      </c>
      <c r="I330" s="95" t="s">
        <v>1414</v>
      </c>
      <c r="K330" s="95" t="s">
        <v>1416</v>
      </c>
    </row>
    <row r="331" spans="1:11" x14ac:dyDescent="0.35">
      <c r="A331" s="155" t="s">
        <v>940</v>
      </c>
      <c r="B331" s="155" t="s">
        <v>401</v>
      </c>
      <c r="C331" s="155" t="s">
        <v>37</v>
      </c>
      <c r="D331" s="155" t="s">
        <v>38</v>
      </c>
      <c r="E331" s="155" t="s">
        <v>1387</v>
      </c>
      <c r="F331" s="155" t="s">
        <v>1388</v>
      </c>
      <c r="G331" s="156">
        <v>23</v>
      </c>
      <c r="H331" s="155" t="s">
        <v>1387</v>
      </c>
      <c r="I331" s="95" t="s">
        <v>1414</v>
      </c>
      <c r="K331" s="95" t="s">
        <v>1416</v>
      </c>
    </row>
    <row r="332" spans="1:11" x14ac:dyDescent="0.35">
      <c r="A332" s="155" t="s">
        <v>941</v>
      </c>
      <c r="B332" s="155" t="s">
        <v>402</v>
      </c>
      <c r="C332" s="155" t="s">
        <v>37</v>
      </c>
      <c r="D332" s="155" t="s">
        <v>38</v>
      </c>
      <c r="E332" s="155" t="s">
        <v>1387</v>
      </c>
      <c r="F332" s="155" t="s">
        <v>1388</v>
      </c>
      <c r="G332" s="156">
        <v>23</v>
      </c>
      <c r="H332" s="155" t="s">
        <v>1387</v>
      </c>
      <c r="I332" s="95" t="s">
        <v>1414</v>
      </c>
      <c r="K332" s="95" t="s">
        <v>1416</v>
      </c>
    </row>
    <row r="333" spans="1:11" x14ac:dyDescent="0.35">
      <c r="A333" s="155" t="s">
        <v>942</v>
      </c>
      <c r="B333" s="155" t="s">
        <v>403</v>
      </c>
      <c r="C333" s="155" t="s">
        <v>37</v>
      </c>
      <c r="D333" s="155" t="s">
        <v>38</v>
      </c>
      <c r="E333" s="155" t="s">
        <v>1387</v>
      </c>
      <c r="F333" s="155" t="s">
        <v>1388</v>
      </c>
      <c r="G333" s="156">
        <v>23</v>
      </c>
      <c r="H333" s="155" t="s">
        <v>1387</v>
      </c>
      <c r="I333" s="95" t="s">
        <v>1414</v>
      </c>
      <c r="K333" s="95" t="s">
        <v>1416</v>
      </c>
    </row>
    <row r="334" spans="1:11" x14ac:dyDescent="0.35">
      <c r="A334" s="155" t="s">
        <v>943</v>
      </c>
      <c r="B334" s="155" t="s">
        <v>404</v>
      </c>
      <c r="C334" s="155" t="s">
        <v>37</v>
      </c>
      <c r="D334" s="155" t="s">
        <v>38</v>
      </c>
      <c r="E334" s="155" t="s">
        <v>1387</v>
      </c>
      <c r="F334" s="155" t="s">
        <v>1388</v>
      </c>
      <c r="G334" s="156">
        <v>23</v>
      </c>
      <c r="H334" s="155" t="s">
        <v>1387</v>
      </c>
      <c r="I334" s="95" t="s">
        <v>1414</v>
      </c>
      <c r="K334" s="95" t="s">
        <v>1416</v>
      </c>
    </row>
    <row r="335" spans="1:11" x14ac:dyDescent="0.35">
      <c r="A335" s="155" t="s">
        <v>944</v>
      </c>
      <c r="B335" s="155" t="s">
        <v>409</v>
      </c>
      <c r="C335" s="155" t="s">
        <v>37</v>
      </c>
      <c r="D335" s="155" t="s">
        <v>38</v>
      </c>
      <c r="E335" s="155" t="s">
        <v>1387</v>
      </c>
      <c r="F335" s="155" t="s">
        <v>1388</v>
      </c>
      <c r="G335" s="156">
        <v>23</v>
      </c>
      <c r="H335" s="155" t="s">
        <v>1387</v>
      </c>
      <c r="I335" s="95" t="s">
        <v>1414</v>
      </c>
      <c r="K335" s="95" t="s">
        <v>1416</v>
      </c>
    </row>
    <row r="336" spans="1:11" x14ac:dyDescent="0.35">
      <c r="A336" s="155" t="s">
        <v>945</v>
      </c>
      <c r="B336" s="155" t="s">
        <v>410</v>
      </c>
      <c r="C336" s="155" t="s">
        <v>37</v>
      </c>
      <c r="D336" s="155" t="s">
        <v>38</v>
      </c>
      <c r="E336" s="155" t="s">
        <v>1387</v>
      </c>
      <c r="F336" s="155" t="s">
        <v>1388</v>
      </c>
      <c r="G336" s="156">
        <v>23</v>
      </c>
      <c r="H336" s="155" t="s">
        <v>1387</v>
      </c>
      <c r="I336" s="95" t="s">
        <v>1414</v>
      </c>
      <c r="K336" s="95" t="s">
        <v>1416</v>
      </c>
    </row>
    <row r="337" spans="1:11" x14ac:dyDescent="0.35">
      <c r="A337" s="155" t="s">
        <v>946</v>
      </c>
      <c r="B337" s="155" t="s">
        <v>411</v>
      </c>
      <c r="C337" s="155" t="s">
        <v>37</v>
      </c>
      <c r="D337" s="155" t="s">
        <v>38</v>
      </c>
      <c r="E337" s="155" t="s">
        <v>1387</v>
      </c>
      <c r="F337" s="155" t="s">
        <v>1388</v>
      </c>
      <c r="G337" s="156">
        <v>23</v>
      </c>
      <c r="H337" s="155" t="s">
        <v>1387</v>
      </c>
      <c r="I337" s="95" t="s">
        <v>1414</v>
      </c>
      <c r="K337" s="95" t="s">
        <v>1416</v>
      </c>
    </row>
    <row r="338" spans="1:11" x14ac:dyDescent="0.35">
      <c r="A338" s="155" t="s">
        <v>334</v>
      </c>
      <c r="B338" s="155" t="s">
        <v>335</v>
      </c>
      <c r="C338" s="155" t="s">
        <v>33</v>
      </c>
      <c r="D338" s="155" t="s">
        <v>34</v>
      </c>
      <c r="E338" s="155" t="s">
        <v>1377</v>
      </c>
      <c r="F338" s="155" t="s">
        <v>1378</v>
      </c>
      <c r="G338" s="156">
        <v>21</v>
      </c>
      <c r="H338" s="155" t="s">
        <v>1377</v>
      </c>
      <c r="I338" s="95" t="s">
        <v>1414</v>
      </c>
      <c r="K338" s="95" t="s">
        <v>1413</v>
      </c>
    </row>
    <row r="339" spans="1:11" x14ac:dyDescent="0.35">
      <c r="A339" s="155" t="s">
        <v>336</v>
      </c>
      <c r="B339" s="155" t="s">
        <v>337</v>
      </c>
      <c r="C339" s="155" t="s">
        <v>33</v>
      </c>
      <c r="D339" s="155" t="s">
        <v>34</v>
      </c>
      <c r="E339" s="155" t="s">
        <v>1377</v>
      </c>
      <c r="F339" s="155" t="s">
        <v>1378</v>
      </c>
      <c r="G339" s="156">
        <v>21</v>
      </c>
      <c r="H339" s="155" t="s">
        <v>1377</v>
      </c>
      <c r="I339" s="95" t="s">
        <v>1414</v>
      </c>
      <c r="K339" s="95" t="s">
        <v>1413</v>
      </c>
    </row>
    <row r="340" spans="1:11" x14ac:dyDescent="0.35">
      <c r="A340" s="155" t="s">
        <v>338</v>
      </c>
      <c r="B340" s="155" t="s">
        <v>339</v>
      </c>
      <c r="C340" s="155" t="s">
        <v>33</v>
      </c>
      <c r="D340" s="155" t="s">
        <v>34</v>
      </c>
      <c r="E340" s="155" t="s">
        <v>1377</v>
      </c>
      <c r="F340" s="155" t="s">
        <v>1378</v>
      </c>
      <c r="G340" s="156">
        <v>21</v>
      </c>
      <c r="H340" s="155" t="s">
        <v>1377</v>
      </c>
      <c r="I340" s="95" t="s">
        <v>1414</v>
      </c>
      <c r="K340" s="95" t="s">
        <v>1413</v>
      </c>
    </row>
    <row r="341" spans="1:11" x14ac:dyDescent="0.35">
      <c r="A341" s="155" t="s">
        <v>340</v>
      </c>
      <c r="B341" s="155" t="s">
        <v>341</v>
      </c>
      <c r="C341" s="155" t="s">
        <v>33</v>
      </c>
      <c r="D341" s="155" t="s">
        <v>34</v>
      </c>
      <c r="E341" s="155" t="s">
        <v>1377</v>
      </c>
      <c r="F341" s="155" t="s">
        <v>1378</v>
      </c>
      <c r="G341" s="156">
        <v>21</v>
      </c>
      <c r="H341" s="155" t="s">
        <v>1377</v>
      </c>
      <c r="I341" s="95" t="s">
        <v>1414</v>
      </c>
      <c r="K341" s="95" t="s">
        <v>1413</v>
      </c>
    </row>
    <row r="342" spans="1:11" x14ac:dyDescent="0.35">
      <c r="A342" s="155" t="s">
        <v>342</v>
      </c>
      <c r="B342" s="155" t="s">
        <v>343</v>
      </c>
      <c r="C342" s="155" t="s">
        <v>33</v>
      </c>
      <c r="D342" s="155" t="s">
        <v>34</v>
      </c>
      <c r="E342" s="155" t="s">
        <v>1377</v>
      </c>
      <c r="F342" s="155" t="s">
        <v>1378</v>
      </c>
      <c r="G342" s="156">
        <v>21</v>
      </c>
      <c r="H342" s="155" t="s">
        <v>1377</v>
      </c>
      <c r="I342" s="95" t="s">
        <v>1414</v>
      </c>
      <c r="K342" s="95" t="s">
        <v>1413</v>
      </c>
    </row>
    <row r="343" spans="1:11" x14ac:dyDescent="0.35">
      <c r="A343" s="155" t="s">
        <v>344</v>
      </c>
      <c r="B343" s="155" t="s">
        <v>345</v>
      </c>
      <c r="C343" s="155" t="s">
        <v>33</v>
      </c>
      <c r="D343" s="155" t="s">
        <v>34</v>
      </c>
      <c r="E343" s="155" t="s">
        <v>1377</v>
      </c>
      <c r="F343" s="155" t="s">
        <v>1378</v>
      </c>
      <c r="G343" s="156">
        <v>21</v>
      </c>
      <c r="H343" s="155" t="s">
        <v>1377</v>
      </c>
      <c r="I343" s="95" t="s">
        <v>1414</v>
      </c>
      <c r="K343" s="95" t="s">
        <v>1413</v>
      </c>
    </row>
    <row r="344" spans="1:11" x14ac:dyDescent="0.35">
      <c r="A344" s="155" t="s">
        <v>346</v>
      </c>
      <c r="B344" s="155" t="s">
        <v>347</v>
      </c>
      <c r="C344" s="155" t="s">
        <v>33</v>
      </c>
      <c r="D344" s="155" t="s">
        <v>34</v>
      </c>
      <c r="E344" s="155" t="s">
        <v>1377</v>
      </c>
      <c r="F344" s="155" t="s">
        <v>1378</v>
      </c>
      <c r="G344" s="156">
        <v>21</v>
      </c>
      <c r="H344" s="155" t="s">
        <v>1377</v>
      </c>
      <c r="I344" s="95" t="s">
        <v>1414</v>
      </c>
      <c r="K344" s="95" t="s">
        <v>1413</v>
      </c>
    </row>
    <row r="345" spans="1:11" x14ac:dyDescent="0.35">
      <c r="A345" s="155" t="s">
        <v>348</v>
      </c>
      <c r="B345" s="155" t="s">
        <v>349</v>
      </c>
      <c r="C345" s="155" t="s">
        <v>33</v>
      </c>
      <c r="D345" s="155" t="s">
        <v>34</v>
      </c>
      <c r="E345" s="155" t="s">
        <v>1377</v>
      </c>
      <c r="F345" s="155" t="s">
        <v>1378</v>
      </c>
      <c r="G345" s="156">
        <v>21</v>
      </c>
      <c r="H345" s="155" t="s">
        <v>1377</v>
      </c>
      <c r="I345" s="95" t="s">
        <v>1414</v>
      </c>
      <c r="K345" s="95" t="s">
        <v>1413</v>
      </c>
    </row>
    <row r="346" spans="1:11" x14ac:dyDescent="0.35">
      <c r="A346" s="155" t="s">
        <v>350</v>
      </c>
      <c r="B346" s="155" t="s">
        <v>351</v>
      </c>
      <c r="C346" s="155" t="s">
        <v>33</v>
      </c>
      <c r="D346" s="155" t="s">
        <v>34</v>
      </c>
      <c r="E346" s="155" t="s">
        <v>1379</v>
      </c>
      <c r="F346" s="155" t="s">
        <v>1380</v>
      </c>
      <c r="G346" s="156">
        <v>21</v>
      </c>
      <c r="H346" s="155" t="s">
        <v>1379</v>
      </c>
      <c r="I346" s="95" t="s">
        <v>1414</v>
      </c>
      <c r="K346" s="95" t="s">
        <v>1413</v>
      </c>
    </row>
    <row r="347" spans="1:11" x14ac:dyDescent="0.35">
      <c r="A347" s="155" t="s">
        <v>352</v>
      </c>
      <c r="B347" s="155" t="s">
        <v>353</v>
      </c>
      <c r="C347" s="155" t="s">
        <v>33</v>
      </c>
      <c r="D347" s="155" t="s">
        <v>34</v>
      </c>
      <c r="E347" s="155" t="s">
        <v>1379</v>
      </c>
      <c r="F347" s="155" t="s">
        <v>1380</v>
      </c>
      <c r="G347" s="156">
        <v>21</v>
      </c>
      <c r="H347" s="155" t="s">
        <v>1379</v>
      </c>
      <c r="I347" s="95" t="s">
        <v>1414</v>
      </c>
      <c r="K347" s="95" t="s">
        <v>1413</v>
      </c>
    </row>
    <row r="348" spans="1:11" x14ac:dyDescent="0.35">
      <c r="A348" s="155" t="s">
        <v>354</v>
      </c>
      <c r="B348" s="155" t="s">
        <v>1506</v>
      </c>
      <c r="C348" s="155" t="s">
        <v>33</v>
      </c>
      <c r="D348" s="155" t="s">
        <v>34</v>
      </c>
      <c r="E348" s="155" t="s">
        <v>1379</v>
      </c>
      <c r="F348" s="155" t="s">
        <v>1380</v>
      </c>
      <c r="G348" s="156">
        <v>21</v>
      </c>
      <c r="H348" s="155" t="s">
        <v>1379</v>
      </c>
      <c r="I348" s="95" t="s">
        <v>1414</v>
      </c>
      <c r="K348" s="95" t="s">
        <v>1413</v>
      </c>
    </row>
    <row r="349" spans="1:11" x14ac:dyDescent="0.35">
      <c r="A349" s="155" t="s">
        <v>355</v>
      </c>
      <c r="B349" s="155" t="s">
        <v>356</v>
      </c>
      <c r="C349" s="155" t="s">
        <v>33</v>
      </c>
      <c r="D349" s="155" t="s">
        <v>34</v>
      </c>
      <c r="E349" s="155" t="s">
        <v>1379</v>
      </c>
      <c r="F349" s="155" t="s">
        <v>1380</v>
      </c>
      <c r="G349" s="156">
        <v>21</v>
      </c>
      <c r="H349" s="155" t="s">
        <v>1379</v>
      </c>
      <c r="I349" s="95" t="s">
        <v>1414</v>
      </c>
      <c r="K349" s="95" t="s">
        <v>1413</v>
      </c>
    </row>
    <row r="350" spans="1:11" x14ac:dyDescent="0.35">
      <c r="A350" s="155" t="s">
        <v>357</v>
      </c>
      <c r="B350" s="155" t="s">
        <v>358</v>
      </c>
      <c r="C350" s="155" t="s">
        <v>33</v>
      </c>
      <c r="D350" s="155" t="s">
        <v>34</v>
      </c>
      <c r="E350" s="155" t="s">
        <v>1379</v>
      </c>
      <c r="F350" s="155" t="s">
        <v>1380</v>
      </c>
      <c r="G350" s="156">
        <v>21</v>
      </c>
      <c r="H350" s="155" t="s">
        <v>1379</v>
      </c>
      <c r="I350" s="95" t="s">
        <v>1414</v>
      </c>
      <c r="K350" s="95" t="s">
        <v>1413</v>
      </c>
    </row>
    <row r="351" spans="1:11" x14ac:dyDescent="0.35">
      <c r="A351" s="155" t="s">
        <v>947</v>
      </c>
      <c r="B351" s="155" t="s">
        <v>948</v>
      </c>
      <c r="C351" s="155" t="s">
        <v>37</v>
      </c>
      <c r="D351" s="155" t="s">
        <v>38</v>
      </c>
      <c r="E351" s="155" t="s">
        <v>1387</v>
      </c>
      <c r="F351" s="155" t="s">
        <v>1388</v>
      </c>
      <c r="G351" s="156">
        <v>23</v>
      </c>
      <c r="H351" s="155" t="s">
        <v>1387</v>
      </c>
      <c r="I351" s="95" t="s">
        <v>1414</v>
      </c>
      <c r="K351" s="95" t="s">
        <v>1416</v>
      </c>
    </row>
    <row r="352" spans="1:11" x14ac:dyDescent="0.35">
      <c r="A352" s="155" t="s">
        <v>359</v>
      </c>
      <c r="B352" s="155" t="s">
        <v>360</v>
      </c>
      <c r="C352" s="155" t="s">
        <v>33</v>
      </c>
      <c r="D352" s="155" t="s">
        <v>34</v>
      </c>
      <c r="E352" s="155" t="s">
        <v>1381</v>
      </c>
      <c r="F352" s="155" t="s">
        <v>1382</v>
      </c>
      <c r="G352" s="156">
        <v>21</v>
      </c>
      <c r="H352" s="155" t="s">
        <v>1381</v>
      </c>
      <c r="I352" s="95" t="s">
        <v>1414</v>
      </c>
      <c r="K352" s="95" t="s">
        <v>1413</v>
      </c>
    </row>
    <row r="353" spans="1:11" x14ac:dyDescent="0.35">
      <c r="A353" s="155" t="s">
        <v>361</v>
      </c>
      <c r="B353" s="155" t="s">
        <v>362</v>
      </c>
      <c r="C353" s="155" t="s">
        <v>33</v>
      </c>
      <c r="D353" s="155" t="s">
        <v>34</v>
      </c>
      <c r="E353" s="155" t="s">
        <v>1381</v>
      </c>
      <c r="F353" s="155" t="s">
        <v>1382</v>
      </c>
      <c r="G353" s="156">
        <v>21</v>
      </c>
      <c r="H353" s="155" t="s">
        <v>1381</v>
      </c>
      <c r="I353" s="95" t="s">
        <v>1414</v>
      </c>
      <c r="K353" s="95" t="s">
        <v>1413</v>
      </c>
    </row>
    <row r="354" spans="1:11" x14ac:dyDescent="0.35">
      <c r="A354" s="155" t="s">
        <v>363</v>
      </c>
      <c r="B354" s="155" t="s">
        <v>364</v>
      </c>
      <c r="C354" s="155" t="s">
        <v>33</v>
      </c>
      <c r="D354" s="155" t="s">
        <v>34</v>
      </c>
      <c r="E354" s="155" t="s">
        <v>1381</v>
      </c>
      <c r="F354" s="155" t="s">
        <v>1382</v>
      </c>
      <c r="G354" s="156">
        <v>21</v>
      </c>
      <c r="H354" s="155" t="s">
        <v>1381</v>
      </c>
      <c r="I354" s="95" t="s">
        <v>1414</v>
      </c>
      <c r="K354" s="95" t="s">
        <v>1413</v>
      </c>
    </row>
    <row r="355" spans="1:11" x14ac:dyDescent="0.35">
      <c r="A355" s="155" t="s">
        <v>365</v>
      </c>
      <c r="B355" s="155" t="s">
        <v>366</v>
      </c>
      <c r="C355" s="155" t="s">
        <v>33</v>
      </c>
      <c r="D355" s="155" t="s">
        <v>34</v>
      </c>
      <c r="E355" s="155" t="s">
        <v>1381</v>
      </c>
      <c r="F355" s="155" t="s">
        <v>1382</v>
      </c>
      <c r="G355" s="156">
        <v>21</v>
      </c>
      <c r="H355" s="155" t="s">
        <v>1381</v>
      </c>
      <c r="I355" s="95" t="s">
        <v>1414</v>
      </c>
      <c r="K355" s="95" t="s">
        <v>1413</v>
      </c>
    </row>
    <row r="356" spans="1:11" x14ac:dyDescent="0.35">
      <c r="A356" s="155" t="s">
        <v>367</v>
      </c>
      <c r="B356" s="155" t="s">
        <v>368</v>
      </c>
      <c r="C356" s="155" t="s">
        <v>33</v>
      </c>
      <c r="D356" s="155" t="s">
        <v>34</v>
      </c>
      <c r="E356" s="155" t="s">
        <v>1381</v>
      </c>
      <c r="F356" s="155" t="s">
        <v>1382</v>
      </c>
      <c r="G356" s="156">
        <v>21</v>
      </c>
      <c r="H356" s="155" t="s">
        <v>1381</v>
      </c>
      <c r="I356" s="95" t="s">
        <v>1414</v>
      </c>
      <c r="K356" s="95" t="s">
        <v>1413</v>
      </c>
    </row>
    <row r="357" spans="1:11" x14ac:dyDescent="0.35">
      <c r="A357" s="155" t="s">
        <v>369</v>
      </c>
      <c r="B357" s="155" t="s">
        <v>370</v>
      </c>
      <c r="C357" s="155" t="s">
        <v>33</v>
      </c>
      <c r="D357" s="155" t="s">
        <v>34</v>
      </c>
      <c r="E357" s="155" t="s">
        <v>1381</v>
      </c>
      <c r="F357" s="155" t="s">
        <v>1382</v>
      </c>
      <c r="G357" s="156">
        <v>21</v>
      </c>
      <c r="H357" s="155" t="s">
        <v>1381</v>
      </c>
      <c r="I357" s="95" t="s">
        <v>1414</v>
      </c>
      <c r="K357" s="95" t="s">
        <v>1413</v>
      </c>
    </row>
    <row r="358" spans="1:11" x14ac:dyDescent="0.35">
      <c r="A358" s="155" t="s">
        <v>371</v>
      </c>
      <c r="B358" s="155" t="s">
        <v>1507</v>
      </c>
      <c r="C358" s="155" t="s">
        <v>33</v>
      </c>
      <c r="D358" s="155" t="s">
        <v>34</v>
      </c>
      <c r="E358" s="155" t="s">
        <v>1383</v>
      </c>
      <c r="F358" s="155" t="s">
        <v>1384</v>
      </c>
      <c r="G358" s="156">
        <v>21</v>
      </c>
      <c r="H358" s="155" t="s">
        <v>1383</v>
      </c>
      <c r="I358" s="95" t="s">
        <v>1414</v>
      </c>
      <c r="K358" s="95" t="s">
        <v>1413</v>
      </c>
    </row>
    <row r="359" spans="1:11" x14ac:dyDescent="0.35">
      <c r="A359" s="155" t="s">
        <v>373</v>
      </c>
      <c r="B359" s="155" t="s">
        <v>1508</v>
      </c>
      <c r="C359" s="155" t="s">
        <v>33</v>
      </c>
      <c r="D359" s="155" t="s">
        <v>34</v>
      </c>
      <c r="E359" s="155" t="s">
        <v>1381</v>
      </c>
      <c r="F359" s="155" t="s">
        <v>1382</v>
      </c>
      <c r="G359" s="156">
        <v>21</v>
      </c>
      <c r="H359" s="155" t="s">
        <v>1381</v>
      </c>
      <c r="I359" s="95" t="s">
        <v>1414</v>
      </c>
      <c r="K359" s="95" t="s">
        <v>1413</v>
      </c>
    </row>
    <row r="360" spans="1:11" x14ac:dyDescent="0.35">
      <c r="A360" s="155" t="s">
        <v>374</v>
      </c>
      <c r="B360" s="155" t="s">
        <v>375</v>
      </c>
      <c r="C360" s="155" t="s">
        <v>33</v>
      </c>
      <c r="D360" s="155" t="s">
        <v>34</v>
      </c>
      <c r="E360" s="155" t="s">
        <v>1383</v>
      </c>
      <c r="F360" s="155" t="s">
        <v>1384</v>
      </c>
      <c r="G360" s="156">
        <v>21</v>
      </c>
      <c r="H360" s="155" t="s">
        <v>1383</v>
      </c>
      <c r="I360" s="95" t="s">
        <v>1414</v>
      </c>
      <c r="K360" s="95" t="s">
        <v>1413</v>
      </c>
    </row>
    <row r="361" spans="1:11" x14ac:dyDescent="0.35">
      <c r="A361" s="155" t="s">
        <v>376</v>
      </c>
      <c r="B361" s="155" t="s">
        <v>377</v>
      </c>
      <c r="C361" s="155" t="s">
        <v>33</v>
      </c>
      <c r="D361" s="155" t="s">
        <v>34</v>
      </c>
      <c r="E361" s="155" t="s">
        <v>1383</v>
      </c>
      <c r="F361" s="155" t="s">
        <v>1384</v>
      </c>
      <c r="G361" s="156">
        <v>21</v>
      </c>
      <c r="H361" s="155" t="s">
        <v>1383</v>
      </c>
      <c r="I361" s="95" t="s">
        <v>1414</v>
      </c>
      <c r="K361" s="95" t="s">
        <v>1413</v>
      </c>
    </row>
    <row r="362" spans="1:11" x14ac:dyDescent="0.35">
      <c r="A362" s="155" t="s">
        <v>378</v>
      </c>
      <c r="B362" s="155" t="s">
        <v>379</v>
      </c>
      <c r="C362" s="155" t="s">
        <v>33</v>
      </c>
      <c r="D362" s="155" t="s">
        <v>34</v>
      </c>
      <c r="E362" s="155" t="s">
        <v>1375</v>
      </c>
      <c r="F362" s="155" t="s">
        <v>1376</v>
      </c>
      <c r="G362" s="156">
        <v>21</v>
      </c>
      <c r="H362" s="155" t="s">
        <v>1375</v>
      </c>
      <c r="I362" s="95" t="s">
        <v>1414</v>
      </c>
      <c r="K362" s="95" t="s">
        <v>1413</v>
      </c>
    </row>
    <row r="363" spans="1:11" x14ac:dyDescent="0.35">
      <c r="A363" s="155" t="s">
        <v>380</v>
      </c>
      <c r="B363" s="155" t="s">
        <v>381</v>
      </c>
      <c r="C363" s="155" t="s">
        <v>33</v>
      </c>
      <c r="D363" s="155" t="s">
        <v>34</v>
      </c>
      <c r="E363" s="155" t="s">
        <v>1375</v>
      </c>
      <c r="F363" s="155" t="s">
        <v>1376</v>
      </c>
      <c r="G363" s="156">
        <v>21</v>
      </c>
      <c r="H363" s="155" t="s">
        <v>1375</v>
      </c>
      <c r="I363" s="95" t="s">
        <v>1414</v>
      </c>
      <c r="K363" s="95" t="s">
        <v>1413</v>
      </c>
    </row>
    <row r="364" spans="1:11" x14ac:dyDescent="0.35">
      <c r="A364" s="155" t="s">
        <v>390</v>
      </c>
      <c r="B364" s="155" t="s">
        <v>391</v>
      </c>
      <c r="C364" s="155" t="s">
        <v>35</v>
      </c>
      <c r="D364" s="155" t="s">
        <v>36</v>
      </c>
      <c r="E364" s="155" t="s">
        <v>1385</v>
      </c>
      <c r="F364" s="155" t="s">
        <v>1386</v>
      </c>
      <c r="G364" s="156">
        <v>22</v>
      </c>
      <c r="H364" s="155" t="s">
        <v>1385</v>
      </c>
      <c r="I364" s="95" t="s">
        <v>1414</v>
      </c>
      <c r="K364" s="95" t="s">
        <v>1413</v>
      </c>
    </row>
    <row r="365" spans="1:11" x14ac:dyDescent="0.35">
      <c r="A365" s="155" t="s">
        <v>392</v>
      </c>
      <c r="B365" s="155" t="s">
        <v>1509</v>
      </c>
      <c r="C365" s="155" t="s">
        <v>35</v>
      </c>
      <c r="D365" s="155" t="s">
        <v>36</v>
      </c>
      <c r="E365" s="155" t="s">
        <v>1385</v>
      </c>
      <c r="F365" s="155" t="s">
        <v>1386</v>
      </c>
      <c r="G365" s="156">
        <v>22</v>
      </c>
      <c r="H365" s="155" t="s">
        <v>1385</v>
      </c>
      <c r="I365" s="95" t="s">
        <v>1414</v>
      </c>
      <c r="K365" s="95" t="s">
        <v>1413</v>
      </c>
    </row>
    <row r="366" spans="1:11" x14ac:dyDescent="0.35">
      <c r="A366" s="155" t="s">
        <v>393</v>
      </c>
      <c r="B366" s="155" t="s">
        <v>394</v>
      </c>
      <c r="C366" s="155" t="s">
        <v>35</v>
      </c>
      <c r="D366" s="155" t="s">
        <v>36</v>
      </c>
      <c r="E366" s="155" t="s">
        <v>1385</v>
      </c>
      <c r="F366" s="155" t="s">
        <v>1386</v>
      </c>
      <c r="G366" s="156">
        <v>22</v>
      </c>
      <c r="H366" s="155" t="s">
        <v>1385</v>
      </c>
      <c r="I366" s="95" t="s">
        <v>1414</v>
      </c>
      <c r="K366" s="95" t="s">
        <v>1413</v>
      </c>
    </row>
    <row r="367" spans="1:11" x14ac:dyDescent="0.35">
      <c r="A367" s="155" t="s">
        <v>395</v>
      </c>
      <c r="B367" s="155" t="s">
        <v>396</v>
      </c>
      <c r="C367" s="155" t="s">
        <v>35</v>
      </c>
      <c r="D367" s="155" t="s">
        <v>36</v>
      </c>
      <c r="E367" s="155" t="s">
        <v>1385</v>
      </c>
      <c r="F367" s="155" t="s">
        <v>1386</v>
      </c>
      <c r="G367" s="156">
        <v>22</v>
      </c>
      <c r="H367" s="155" t="s">
        <v>1385</v>
      </c>
      <c r="I367" s="95" t="s">
        <v>1414</v>
      </c>
      <c r="K367" s="95" t="s">
        <v>1413</v>
      </c>
    </row>
    <row r="368" spans="1:11" x14ac:dyDescent="0.35">
      <c r="A368" s="155" t="s">
        <v>397</v>
      </c>
      <c r="B368" s="155" t="s">
        <v>398</v>
      </c>
      <c r="C368" s="155" t="s">
        <v>35</v>
      </c>
      <c r="D368" s="155" t="s">
        <v>36</v>
      </c>
      <c r="E368" s="155" t="s">
        <v>1385</v>
      </c>
      <c r="F368" s="155" t="s">
        <v>1386</v>
      </c>
      <c r="G368" s="156">
        <v>22</v>
      </c>
      <c r="H368" s="155" t="s">
        <v>1385</v>
      </c>
      <c r="I368" s="95" t="s">
        <v>1414</v>
      </c>
      <c r="K368" s="95" t="s">
        <v>1413</v>
      </c>
    </row>
    <row r="369" spans="1:11" x14ac:dyDescent="0.35">
      <c r="A369" s="155" t="s">
        <v>382</v>
      </c>
      <c r="B369" s="155" t="s">
        <v>383</v>
      </c>
      <c r="C369" s="155" t="s">
        <v>33</v>
      </c>
      <c r="D369" s="155" t="s">
        <v>34</v>
      </c>
      <c r="E369" s="155" t="s">
        <v>1375</v>
      </c>
      <c r="F369" s="155" t="s">
        <v>1376</v>
      </c>
      <c r="G369" s="156">
        <v>21</v>
      </c>
      <c r="H369" s="155" t="s">
        <v>1375</v>
      </c>
      <c r="I369" s="95" t="s">
        <v>1414</v>
      </c>
      <c r="K369" s="95" t="s">
        <v>1413</v>
      </c>
    </row>
    <row r="370" spans="1:11" x14ac:dyDescent="0.35">
      <c r="A370" s="155" t="s">
        <v>384</v>
      </c>
      <c r="B370" s="155" t="s">
        <v>385</v>
      </c>
      <c r="C370" s="155" t="s">
        <v>33</v>
      </c>
      <c r="D370" s="155" t="s">
        <v>34</v>
      </c>
      <c r="E370" s="155" t="s">
        <v>1375</v>
      </c>
      <c r="F370" s="155" t="s">
        <v>1376</v>
      </c>
      <c r="G370" s="156">
        <v>21</v>
      </c>
      <c r="H370" s="155" t="s">
        <v>1375</v>
      </c>
      <c r="I370" s="95" t="s">
        <v>1414</v>
      </c>
      <c r="K370" s="95" t="s">
        <v>1413</v>
      </c>
    </row>
    <row r="371" spans="1:11" x14ac:dyDescent="0.35">
      <c r="A371" s="155" t="s">
        <v>220</v>
      </c>
      <c r="B371" s="155" t="s">
        <v>221</v>
      </c>
      <c r="C371" s="155" t="s">
        <v>19</v>
      </c>
      <c r="D371" s="155" t="s">
        <v>20</v>
      </c>
      <c r="E371" s="155" t="s">
        <v>1347</v>
      </c>
      <c r="F371" s="155" t="s">
        <v>1348</v>
      </c>
      <c r="G371" s="156">
        <v>14</v>
      </c>
      <c r="H371" s="155" t="s">
        <v>1347</v>
      </c>
      <c r="I371" s="95" t="s">
        <v>1414</v>
      </c>
      <c r="K371" s="95" t="s">
        <v>1413</v>
      </c>
    </row>
    <row r="372" spans="1:11" x14ac:dyDescent="0.35">
      <c r="A372" s="155" t="s">
        <v>222</v>
      </c>
      <c r="B372" s="155" t="s">
        <v>1510</v>
      </c>
      <c r="C372" s="155" t="s">
        <v>21</v>
      </c>
      <c r="D372" s="155" t="s">
        <v>22</v>
      </c>
      <c r="E372" s="155" t="s">
        <v>1349</v>
      </c>
      <c r="F372" s="155" t="s">
        <v>1350</v>
      </c>
      <c r="G372" s="156">
        <v>15</v>
      </c>
      <c r="H372" s="155" t="s">
        <v>1349</v>
      </c>
      <c r="I372" s="95" t="s">
        <v>1414</v>
      </c>
      <c r="K372" s="95" t="s">
        <v>1413</v>
      </c>
    </row>
    <row r="373" spans="1:11" x14ac:dyDescent="0.35">
      <c r="A373" s="155" t="s">
        <v>224</v>
      </c>
      <c r="B373" s="155" t="s">
        <v>1511</v>
      </c>
      <c r="C373" s="155" t="s">
        <v>21</v>
      </c>
      <c r="D373" s="155" t="s">
        <v>22</v>
      </c>
      <c r="E373" s="155" t="s">
        <v>1351</v>
      </c>
      <c r="F373" s="155" t="s">
        <v>1352</v>
      </c>
      <c r="G373" s="156">
        <v>15</v>
      </c>
      <c r="H373" s="155" t="s">
        <v>1351</v>
      </c>
      <c r="I373" s="95" t="s">
        <v>1414</v>
      </c>
      <c r="K373" s="95" t="s">
        <v>1413</v>
      </c>
    </row>
    <row r="374" spans="1:11" x14ac:dyDescent="0.35">
      <c r="A374" s="155" t="s">
        <v>227</v>
      </c>
      <c r="B374" s="155" t="s">
        <v>228</v>
      </c>
      <c r="C374" s="155" t="s">
        <v>23</v>
      </c>
      <c r="D374" s="155" t="s">
        <v>24</v>
      </c>
      <c r="E374" s="155" t="s">
        <v>1355</v>
      </c>
      <c r="F374" s="155" t="s">
        <v>1356</v>
      </c>
      <c r="G374" s="156">
        <v>16</v>
      </c>
      <c r="H374" s="155" t="s">
        <v>1355</v>
      </c>
      <c r="I374" s="95" t="s">
        <v>1414</v>
      </c>
      <c r="K374" s="95" t="s">
        <v>1413</v>
      </c>
    </row>
    <row r="375" spans="1:11" x14ac:dyDescent="0.35">
      <c r="A375" s="155" t="s">
        <v>1165</v>
      </c>
      <c r="B375" s="155" t="s">
        <v>399</v>
      </c>
      <c r="C375" s="155" t="s">
        <v>37</v>
      </c>
      <c r="D375" s="155" t="s">
        <v>38</v>
      </c>
      <c r="E375" s="155" t="s">
        <v>1387</v>
      </c>
      <c r="F375" s="155" t="s">
        <v>1388</v>
      </c>
      <c r="G375" s="156">
        <v>23</v>
      </c>
      <c r="H375" s="155" t="s">
        <v>1387</v>
      </c>
      <c r="I375" s="95" t="s">
        <v>1412</v>
      </c>
      <c r="J375" s="95">
        <v>42643</v>
      </c>
      <c r="K375" s="95" t="s">
        <v>1413</v>
      </c>
    </row>
    <row r="376" spans="1:11" x14ac:dyDescent="0.35">
      <c r="A376" s="155" t="s">
        <v>1166</v>
      </c>
      <c r="B376" s="155" t="s">
        <v>400</v>
      </c>
      <c r="C376" s="155" t="s">
        <v>37</v>
      </c>
      <c r="D376" s="155" t="s">
        <v>38</v>
      </c>
      <c r="E376" s="155" t="s">
        <v>1387</v>
      </c>
      <c r="F376" s="155" t="s">
        <v>1388</v>
      </c>
      <c r="G376" s="156">
        <v>23</v>
      </c>
      <c r="H376" s="155" t="s">
        <v>1387</v>
      </c>
      <c r="I376" s="95" t="s">
        <v>1412</v>
      </c>
      <c r="J376" s="95">
        <v>42643</v>
      </c>
      <c r="K376" s="95" t="s">
        <v>1413</v>
      </c>
    </row>
    <row r="377" spans="1:11" x14ac:dyDescent="0.35">
      <c r="A377" s="155" t="s">
        <v>1167</v>
      </c>
      <c r="B377" s="155" t="s">
        <v>1168</v>
      </c>
      <c r="C377" s="155" t="s">
        <v>37</v>
      </c>
      <c r="D377" s="155" t="s">
        <v>38</v>
      </c>
      <c r="E377" s="155" t="s">
        <v>1387</v>
      </c>
      <c r="F377" s="155" t="s">
        <v>1388</v>
      </c>
      <c r="G377" s="156">
        <v>23</v>
      </c>
      <c r="H377" s="155" t="s">
        <v>1387</v>
      </c>
      <c r="I377" s="95" t="s">
        <v>1412</v>
      </c>
      <c r="J377" s="95">
        <v>42643</v>
      </c>
      <c r="K377" s="95" t="s">
        <v>1413</v>
      </c>
    </row>
    <row r="378" spans="1:11" x14ac:dyDescent="0.35">
      <c r="A378" s="155" t="s">
        <v>1169</v>
      </c>
      <c r="B378" s="155" t="s">
        <v>401</v>
      </c>
      <c r="C378" s="155" t="s">
        <v>37</v>
      </c>
      <c r="D378" s="155" t="s">
        <v>38</v>
      </c>
      <c r="E378" s="155" t="s">
        <v>1387</v>
      </c>
      <c r="F378" s="155" t="s">
        <v>1388</v>
      </c>
      <c r="G378" s="156">
        <v>23</v>
      </c>
      <c r="H378" s="155" t="s">
        <v>1387</v>
      </c>
      <c r="I378" s="95" t="s">
        <v>1412</v>
      </c>
      <c r="J378" s="95">
        <v>42643</v>
      </c>
      <c r="K378" s="95" t="s">
        <v>1413</v>
      </c>
    </row>
    <row r="379" spans="1:11" x14ac:dyDescent="0.35">
      <c r="A379" s="155" t="s">
        <v>1170</v>
      </c>
      <c r="B379" s="155" t="s">
        <v>402</v>
      </c>
      <c r="C379" s="155" t="s">
        <v>37</v>
      </c>
      <c r="D379" s="155" t="s">
        <v>38</v>
      </c>
      <c r="E379" s="155" t="s">
        <v>1387</v>
      </c>
      <c r="F379" s="155" t="s">
        <v>1388</v>
      </c>
      <c r="G379" s="156">
        <v>23</v>
      </c>
      <c r="H379" s="155" t="s">
        <v>1387</v>
      </c>
      <c r="I379" s="95" t="s">
        <v>1412</v>
      </c>
      <c r="J379" s="95">
        <v>42643</v>
      </c>
      <c r="K379" s="95" t="s">
        <v>1413</v>
      </c>
    </row>
    <row r="380" spans="1:11" x14ac:dyDescent="0.35">
      <c r="A380" s="155" t="s">
        <v>1171</v>
      </c>
      <c r="B380" s="155" t="s">
        <v>1512</v>
      </c>
      <c r="C380" s="155" t="s">
        <v>37</v>
      </c>
      <c r="D380" s="155" t="s">
        <v>38</v>
      </c>
      <c r="E380" s="155" t="s">
        <v>1387</v>
      </c>
      <c r="F380" s="155" t="s">
        <v>1388</v>
      </c>
      <c r="G380" s="156">
        <v>23</v>
      </c>
      <c r="H380" s="155" t="s">
        <v>1387</v>
      </c>
      <c r="I380" s="95" t="s">
        <v>1412</v>
      </c>
      <c r="J380" s="95">
        <v>42643</v>
      </c>
      <c r="K380" s="95" t="s">
        <v>1413</v>
      </c>
    </row>
    <row r="381" spans="1:11" x14ac:dyDescent="0.35">
      <c r="A381" s="155" t="s">
        <v>1172</v>
      </c>
      <c r="B381" s="155" t="s">
        <v>404</v>
      </c>
      <c r="C381" s="155" t="s">
        <v>37</v>
      </c>
      <c r="D381" s="155" t="s">
        <v>38</v>
      </c>
      <c r="E381" s="155" t="s">
        <v>1387</v>
      </c>
      <c r="F381" s="155" t="s">
        <v>1388</v>
      </c>
      <c r="G381" s="156">
        <v>23</v>
      </c>
      <c r="H381" s="155" t="s">
        <v>1387</v>
      </c>
      <c r="I381" s="95" t="s">
        <v>1412</v>
      </c>
      <c r="J381" s="95">
        <v>42643</v>
      </c>
      <c r="K381" s="95" t="s">
        <v>1413</v>
      </c>
    </row>
    <row r="382" spans="1:11" x14ac:dyDescent="0.35">
      <c r="A382" s="155" t="s">
        <v>405</v>
      </c>
      <c r="B382" s="155" t="s">
        <v>406</v>
      </c>
      <c r="C382" s="155" t="s">
        <v>37</v>
      </c>
      <c r="D382" s="155" t="s">
        <v>38</v>
      </c>
      <c r="E382" s="155" t="s">
        <v>1387</v>
      </c>
      <c r="F382" s="155" t="s">
        <v>1388</v>
      </c>
      <c r="G382" s="156">
        <v>23</v>
      </c>
      <c r="H382" s="155" t="s">
        <v>1387</v>
      </c>
      <c r="I382" s="95" t="s">
        <v>1414</v>
      </c>
      <c r="K382" s="95" t="s">
        <v>1413</v>
      </c>
    </row>
    <row r="383" spans="1:11" x14ac:dyDescent="0.35">
      <c r="A383" s="155" t="s">
        <v>407</v>
      </c>
      <c r="B383" s="155" t="s">
        <v>408</v>
      </c>
      <c r="C383" s="155" t="s">
        <v>37</v>
      </c>
      <c r="D383" s="155" t="s">
        <v>38</v>
      </c>
      <c r="E383" s="155" t="s">
        <v>1387</v>
      </c>
      <c r="F383" s="155" t="s">
        <v>1388</v>
      </c>
      <c r="G383" s="156">
        <v>23</v>
      </c>
      <c r="H383" s="155" t="s">
        <v>1387</v>
      </c>
      <c r="I383" s="95" t="s">
        <v>1414</v>
      </c>
      <c r="K383" s="95" t="s">
        <v>1413</v>
      </c>
    </row>
    <row r="384" spans="1:11" x14ac:dyDescent="0.35">
      <c r="A384" s="155" t="s">
        <v>1173</v>
      </c>
      <c r="B384" s="155" t="s">
        <v>409</v>
      </c>
      <c r="C384" s="155" t="s">
        <v>37</v>
      </c>
      <c r="D384" s="155" t="s">
        <v>38</v>
      </c>
      <c r="E384" s="155" t="s">
        <v>1387</v>
      </c>
      <c r="F384" s="155" t="s">
        <v>1388</v>
      </c>
      <c r="G384" s="156">
        <v>23</v>
      </c>
      <c r="H384" s="155" t="s">
        <v>1387</v>
      </c>
      <c r="I384" s="95" t="s">
        <v>1412</v>
      </c>
      <c r="J384" s="95">
        <v>42643</v>
      </c>
      <c r="K384" s="95" t="s">
        <v>1413</v>
      </c>
    </row>
    <row r="385" spans="1:11" x14ac:dyDescent="0.35">
      <c r="A385" s="155" t="s">
        <v>1174</v>
      </c>
      <c r="B385" s="155" t="s">
        <v>410</v>
      </c>
      <c r="C385" s="155" t="s">
        <v>37</v>
      </c>
      <c r="D385" s="155" t="s">
        <v>38</v>
      </c>
      <c r="E385" s="155" t="s">
        <v>1387</v>
      </c>
      <c r="F385" s="155" t="s">
        <v>1388</v>
      </c>
      <c r="G385" s="156">
        <v>23</v>
      </c>
      <c r="H385" s="155" t="s">
        <v>1387</v>
      </c>
      <c r="I385" s="95" t="s">
        <v>1412</v>
      </c>
      <c r="J385" s="95">
        <v>42643</v>
      </c>
      <c r="K385" s="95" t="s">
        <v>1413</v>
      </c>
    </row>
    <row r="386" spans="1:11" x14ac:dyDescent="0.35">
      <c r="A386" s="155" t="s">
        <v>1175</v>
      </c>
      <c r="B386" s="155" t="s">
        <v>411</v>
      </c>
      <c r="C386" s="155" t="s">
        <v>37</v>
      </c>
      <c r="D386" s="155" t="s">
        <v>38</v>
      </c>
      <c r="E386" s="155" t="s">
        <v>1387</v>
      </c>
      <c r="F386" s="155" t="s">
        <v>1388</v>
      </c>
      <c r="G386" s="156">
        <v>23</v>
      </c>
      <c r="H386" s="155" t="s">
        <v>1387</v>
      </c>
      <c r="I386" s="95" t="s">
        <v>1412</v>
      </c>
      <c r="J386" s="95">
        <v>42643</v>
      </c>
      <c r="K386" s="95" t="s">
        <v>1413</v>
      </c>
    </row>
    <row r="387" spans="1:11" x14ac:dyDescent="0.35">
      <c r="A387" s="155" t="s">
        <v>225</v>
      </c>
      <c r="B387" s="155" t="s">
        <v>226</v>
      </c>
      <c r="C387" s="155" t="s">
        <v>732</v>
      </c>
      <c r="D387" s="155" t="s">
        <v>733</v>
      </c>
      <c r="E387" s="155" t="s">
        <v>1353</v>
      </c>
      <c r="F387" s="155" t="s">
        <v>1354</v>
      </c>
      <c r="G387" s="156">
        <v>163</v>
      </c>
      <c r="H387" s="155" t="s">
        <v>1353</v>
      </c>
      <c r="I387" s="95" t="s">
        <v>1414</v>
      </c>
      <c r="K387" s="95" t="s">
        <v>1413</v>
      </c>
    </row>
    <row r="388" spans="1:11" x14ac:dyDescent="0.35">
      <c r="A388" s="155" t="s">
        <v>949</v>
      </c>
      <c r="B388" s="155" t="s">
        <v>950</v>
      </c>
      <c r="C388" s="155" t="s">
        <v>21</v>
      </c>
      <c r="D388" s="155" t="s">
        <v>22</v>
      </c>
      <c r="E388" s="155" t="s">
        <v>1349</v>
      </c>
      <c r="F388" s="155" t="s">
        <v>1350</v>
      </c>
      <c r="G388" s="156">
        <v>15</v>
      </c>
      <c r="H388" s="155" t="s">
        <v>1349</v>
      </c>
      <c r="I388" s="95" t="s">
        <v>1414</v>
      </c>
      <c r="K388" s="95" t="s">
        <v>1416</v>
      </c>
    </row>
    <row r="389" spans="1:11" x14ac:dyDescent="0.35">
      <c r="A389" s="155" t="s">
        <v>412</v>
      </c>
      <c r="B389" s="155" t="s">
        <v>1513</v>
      </c>
      <c r="C389" s="155" t="s">
        <v>37</v>
      </c>
      <c r="D389" s="155" t="s">
        <v>38</v>
      </c>
      <c r="E389" s="155" t="s">
        <v>1387</v>
      </c>
      <c r="F389" s="155" t="s">
        <v>1388</v>
      </c>
      <c r="G389" s="156">
        <v>23</v>
      </c>
      <c r="H389" s="155" t="s">
        <v>1387</v>
      </c>
      <c r="I389" s="95" t="s">
        <v>1414</v>
      </c>
      <c r="K389" s="95" t="s">
        <v>1413</v>
      </c>
    </row>
    <row r="390" spans="1:11" x14ac:dyDescent="0.35">
      <c r="A390" s="155" t="s">
        <v>386</v>
      </c>
      <c r="B390" s="155" t="s">
        <v>387</v>
      </c>
      <c r="C390" s="155" t="s">
        <v>33</v>
      </c>
      <c r="D390" s="155" t="s">
        <v>34</v>
      </c>
      <c r="E390" s="155" t="s">
        <v>1375</v>
      </c>
      <c r="F390" s="155" t="s">
        <v>1376</v>
      </c>
      <c r="G390" s="156">
        <v>21</v>
      </c>
      <c r="H390" s="155" t="s">
        <v>1375</v>
      </c>
      <c r="I390" s="95" t="s">
        <v>1414</v>
      </c>
      <c r="K390" s="95" t="s">
        <v>1413</v>
      </c>
    </row>
    <row r="391" spans="1:11" x14ac:dyDescent="0.35">
      <c r="A391" s="155" t="s">
        <v>388</v>
      </c>
      <c r="B391" s="155" t="s">
        <v>389</v>
      </c>
      <c r="C391" s="155" t="s">
        <v>33</v>
      </c>
      <c r="D391" s="155" t="s">
        <v>34</v>
      </c>
      <c r="E391" s="155" t="s">
        <v>1375</v>
      </c>
      <c r="F391" s="155" t="s">
        <v>1376</v>
      </c>
      <c r="G391" s="156">
        <v>21</v>
      </c>
      <c r="H391" s="155" t="s">
        <v>1375</v>
      </c>
      <c r="I391" s="95" t="s">
        <v>1414</v>
      </c>
      <c r="K391" s="95" t="s">
        <v>1413</v>
      </c>
    </row>
    <row r="392" spans="1:11" x14ac:dyDescent="0.35">
      <c r="A392" s="155" t="s">
        <v>1176</v>
      </c>
      <c r="B392" s="155" t="s">
        <v>1177</v>
      </c>
      <c r="C392" s="155" t="s">
        <v>33</v>
      </c>
      <c r="D392" s="155" t="s">
        <v>34</v>
      </c>
      <c r="E392" s="155" t="s">
        <v>1375</v>
      </c>
      <c r="F392" s="155" t="s">
        <v>1376</v>
      </c>
      <c r="G392" s="156">
        <v>21</v>
      </c>
      <c r="H392" s="155" t="s">
        <v>1375</v>
      </c>
      <c r="I392" s="95" t="s">
        <v>1412</v>
      </c>
      <c r="J392" s="95">
        <v>42643</v>
      </c>
      <c r="K392" s="95" t="s">
        <v>1413</v>
      </c>
    </row>
    <row r="393" spans="1:11" x14ac:dyDescent="0.35">
      <c r="A393" s="155" t="s">
        <v>503</v>
      </c>
      <c r="B393" s="155" t="s">
        <v>1514</v>
      </c>
      <c r="C393" s="155" t="s">
        <v>33</v>
      </c>
      <c r="D393" s="155" t="s">
        <v>34</v>
      </c>
      <c r="E393" s="155" t="s">
        <v>1375</v>
      </c>
      <c r="F393" s="155" t="s">
        <v>1376</v>
      </c>
      <c r="G393" s="156">
        <v>21</v>
      </c>
      <c r="H393" s="155" t="s">
        <v>1375</v>
      </c>
      <c r="I393" s="95" t="s">
        <v>1414</v>
      </c>
      <c r="K393" s="95" t="s">
        <v>1413</v>
      </c>
    </row>
    <row r="394" spans="1:11" x14ac:dyDescent="0.35">
      <c r="A394" s="155" t="s">
        <v>951</v>
      </c>
      <c r="B394" s="155" t="s">
        <v>952</v>
      </c>
      <c r="C394" s="155" t="s">
        <v>33</v>
      </c>
      <c r="D394" s="155" t="s">
        <v>34</v>
      </c>
      <c r="E394" s="155" t="s">
        <v>1375</v>
      </c>
      <c r="F394" s="155" t="s">
        <v>1376</v>
      </c>
      <c r="G394" s="156">
        <v>21</v>
      </c>
      <c r="H394" s="155" t="s">
        <v>1375</v>
      </c>
      <c r="I394" s="95" t="s">
        <v>1414</v>
      </c>
      <c r="K394" s="95" t="s">
        <v>1416</v>
      </c>
    </row>
    <row r="395" spans="1:11" x14ac:dyDescent="0.35">
      <c r="A395" s="155" t="s">
        <v>504</v>
      </c>
      <c r="B395" s="155" t="s">
        <v>505</v>
      </c>
      <c r="C395" s="155" t="s">
        <v>33</v>
      </c>
      <c r="D395" s="155" t="s">
        <v>34</v>
      </c>
      <c r="E395" s="155" t="s">
        <v>1375</v>
      </c>
      <c r="F395" s="155" t="s">
        <v>1376</v>
      </c>
      <c r="G395" s="156">
        <v>21</v>
      </c>
      <c r="H395" s="155" t="s">
        <v>1375</v>
      </c>
      <c r="I395" s="95" t="s">
        <v>1414</v>
      </c>
      <c r="K395" s="95" t="s">
        <v>1413</v>
      </c>
    </row>
    <row r="396" spans="1:11" x14ac:dyDescent="0.35">
      <c r="A396" s="155" t="s">
        <v>953</v>
      </c>
      <c r="B396" s="155" t="s">
        <v>954</v>
      </c>
      <c r="C396" s="155" t="s">
        <v>41</v>
      </c>
      <c r="D396" s="155" t="s">
        <v>42</v>
      </c>
      <c r="E396" s="155" t="s">
        <v>1401</v>
      </c>
      <c r="F396" s="155" t="s">
        <v>1402</v>
      </c>
      <c r="G396" s="156">
        <v>25</v>
      </c>
      <c r="H396" s="155" t="s">
        <v>1401</v>
      </c>
      <c r="I396" s="95" t="s">
        <v>1414</v>
      </c>
      <c r="K396" s="95" t="s">
        <v>1416</v>
      </c>
    </row>
    <row r="397" spans="1:11" x14ac:dyDescent="0.35">
      <c r="A397" s="155" t="s">
        <v>506</v>
      </c>
      <c r="B397" s="155" t="s">
        <v>507</v>
      </c>
      <c r="C397" s="155" t="s">
        <v>33</v>
      </c>
      <c r="D397" s="155" t="s">
        <v>34</v>
      </c>
      <c r="E397" s="155" t="s">
        <v>1375</v>
      </c>
      <c r="F397" s="155" t="s">
        <v>1376</v>
      </c>
      <c r="G397" s="156">
        <v>21</v>
      </c>
      <c r="H397" s="155" t="s">
        <v>1375</v>
      </c>
      <c r="I397" s="95" t="s">
        <v>1414</v>
      </c>
      <c r="K397" s="95" t="s">
        <v>1413</v>
      </c>
    </row>
    <row r="398" spans="1:11" x14ac:dyDescent="0.35">
      <c r="A398" s="155" t="s">
        <v>508</v>
      </c>
      <c r="B398" s="155" t="s">
        <v>509</v>
      </c>
      <c r="C398" s="155" t="s">
        <v>33</v>
      </c>
      <c r="D398" s="155" t="s">
        <v>34</v>
      </c>
      <c r="E398" s="155" t="s">
        <v>1375</v>
      </c>
      <c r="F398" s="155" t="s">
        <v>1376</v>
      </c>
      <c r="G398" s="156">
        <v>21</v>
      </c>
      <c r="H398" s="155" t="s">
        <v>1375</v>
      </c>
      <c r="I398" s="95" t="s">
        <v>1414</v>
      </c>
      <c r="K398" s="95" t="s">
        <v>1413</v>
      </c>
    </row>
    <row r="399" spans="1:11" x14ac:dyDescent="0.35">
      <c r="A399" s="155" t="s">
        <v>510</v>
      </c>
      <c r="B399" s="155" t="s">
        <v>511</v>
      </c>
      <c r="C399" s="155" t="s">
        <v>33</v>
      </c>
      <c r="D399" s="155" t="s">
        <v>34</v>
      </c>
      <c r="E399" s="155" t="s">
        <v>1375</v>
      </c>
      <c r="F399" s="155" t="s">
        <v>1376</v>
      </c>
      <c r="G399" s="156">
        <v>21</v>
      </c>
      <c r="H399" s="155" t="s">
        <v>1375</v>
      </c>
      <c r="I399" s="95" t="s">
        <v>1414</v>
      </c>
      <c r="K399" s="95" t="s">
        <v>1413</v>
      </c>
    </row>
    <row r="400" spans="1:11" x14ac:dyDescent="0.35">
      <c r="A400" s="155" t="s">
        <v>512</v>
      </c>
      <c r="B400" s="155" t="s">
        <v>1515</v>
      </c>
      <c r="C400" s="155" t="s">
        <v>41</v>
      </c>
      <c r="D400" s="155" t="s">
        <v>42</v>
      </c>
      <c r="E400" s="155" t="s">
        <v>1395</v>
      </c>
      <c r="F400" s="155" t="s">
        <v>1396</v>
      </c>
      <c r="G400" s="156">
        <v>25</v>
      </c>
      <c r="H400" s="155" t="s">
        <v>1395</v>
      </c>
      <c r="I400" s="95" t="s">
        <v>1414</v>
      </c>
      <c r="K400" s="95" t="s">
        <v>1413</v>
      </c>
    </row>
    <row r="401" spans="1:11" x14ac:dyDescent="0.35">
      <c r="A401" s="155" t="s">
        <v>513</v>
      </c>
      <c r="B401" s="155" t="s">
        <v>514</v>
      </c>
      <c r="C401" s="155" t="s">
        <v>41</v>
      </c>
      <c r="D401" s="155" t="s">
        <v>42</v>
      </c>
      <c r="E401" s="155" t="s">
        <v>1397</v>
      </c>
      <c r="F401" s="155" t="s">
        <v>1398</v>
      </c>
      <c r="G401" s="156">
        <v>25</v>
      </c>
      <c r="H401" s="155" t="s">
        <v>1397</v>
      </c>
      <c r="I401" s="95" t="s">
        <v>1414</v>
      </c>
      <c r="K401" s="95" t="s">
        <v>1413</v>
      </c>
    </row>
    <row r="402" spans="1:11" x14ac:dyDescent="0.35">
      <c r="A402" s="155" t="s">
        <v>955</v>
      </c>
      <c r="B402" s="155" t="s">
        <v>956</v>
      </c>
      <c r="C402" s="155" t="s">
        <v>33</v>
      </c>
      <c r="D402" s="155" t="s">
        <v>34</v>
      </c>
      <c r="E402" s="155" t="s">
        <v>1375</v>
      </c>
      <c r="F402" s="155" t="s">
        <v>1376</v>
      </c>
      <c r="G402" s="156">
        <v>21</v>
      </c>
      <c r="H402" s="155" t="s">
        <v>1375</v>
      </c>
      <c r="I402" s="95" t="s">
        <v>1414</v>
      </c>
      <c r="K402" s="95" t="s">
        <v>1416</v>
      </c>
    </row>
    <row r="403" spans="1:11" x14ac:dyDescent="0.35">
      <c r="A403" s="155" t="s">
        <v>515</v>
      </c>
      <c r="B403" s="155" t="s">
        <v>1516</v>
      </c>
      <c r="C403" s="155" t="s">
        <v>41</v>
      </c>
      <c r="D403" s="155" t="s">
        <v>42</v>
      </c>
      <c r="E403" s="155" t="s">
        <v>1399</v>
      </c>
      <c r="F403" s="155" t="s">
        <v>1400</v>
      </c>
      <c r="G403" s="156">
        <v>25</v>
      </c>
      <c r="H403" s="155" t="s">
        <v>1399</v>
      </c>
      <c r="I403" s="95" t="s">
        <v>1414</v>
      </c>
      <c r="K403" s="95" t="s">
        <v>1413</v>
      </c>
    </row>
    <row r="404" spans="1:11" x14ac:dyDescent="0.35">
      <c r="A404" s="155" t="s">
        <v>516</v>
      </c>
      <c r="B404" s="155" t="s">
        <v>1517</v>
      </c>
      <c r="C404" s="155" t="s">
        <v>41</v>
      </c>
      <c r="D404" s="155" t="s">
        <v>42</v>
      </c>
      <c r="E404" s="155" t="s">
        <v>1399</v>
      </c>
      <c r="F404" s="155" t="s">
        <v>1400</v>
      </c>
      <c r="G404" s="156">
        <v>25</v>
      </c>
      <c r="H404" s="155" t="s">
        <v>1399</v>
      </c>
      <c r="I404" s="95" t="s">
        <v>1414</v>
      </c>
      <c r="K404" s="95" t="s">
        <v>1413</v>
      </c>
    </row>
    <row r="405" spans="1:11" x14ac:dyDescent="0.35">
      <c r="A405" s="155" t="s">
        <v>1178</v>
      </c>
      <c r="B405" s="155" t="s">
        <v>1179</v>
      </c>
      <c r="C405" s="155" t="s">
        <v>41</v>
      </c>
      <c r="D405" s="155" t="s">
        <v>42</v>
      </c>
      <c r="E405" s="155" t="s">
        <v>1399</v>
      </c>
      <c r="F405" s="155" t="s">
        <v>1400</v>
      </c>
      <c r="G405" s="156">
        <v>25</v>
      </c>
      <c r="H405" s="155" t="s">
        <v>1399</v>
      </c>
      <c r="I405" s="95" t="s">
        <v>1412</v>
      </c>
      <c r="J405" s="95">
        <v>42643</v>
      </c>
      <c r="K405" s="95" t="s">
        <v>1413</v>
      </c>
    </row>
    <row r="406" spans="1:11" x14ac:dyDescent="0.35">
      <c r="A406" s="155" t="s">
        <v>957</v>
      </c>
      <c r="B406" s="155" t="s">
        <v>958</v>
      </c>
      <c r="C406" s="155" t="s">
        <v>41</v>
      </c>
      <c r="D406" s="155" t="s">
        <v>42</v>
      </c>
      <c r="E406" s="155" t="s">
        <v>1399</v>
      </c>
      <c r="F406" s="155" t="s">
        <v>1400</v>
      </c>
      <c r="G406" s="156">
        <v>25</v>
      </c>
      <c r="H406" s="155" t="s">
        <v>1399</v>
      </c>
      <c r="I406" s="95" t="s">
        <v>1414</v>
      </c>
      <c r="K406" s="95" t="s">
        <v>1416</v>
      </c>
    </row>
    <row r="407" spans="1:11" x14ac:dyDescent="0.35">
      <c r="A407" s="155" t="s">
        <v>517</v>
      </c>
      <c r="B407" s="155" t="s">
        <v>518</v>
      </c>
      <c r="C407" s="155" t="s">
        <v>41</v>
      </c>
      <c r="D407" s="155" t="s">
        <v>42</v>
      </c>
      <c r="E407" s="155" t="s">
        <v>1395</v>
      </c>
      <c r="F407" s="155" t="s">
        <v>1396</v>
      </c>
      <c r="G407" s="156">
        <v>25</v>
      </c>
      <c r="H407" s="155" t="s">
        <v>1395</v>
      </c>
      <c r="I407" s="95" t="s">
        <v>1414</v>
      </c>
      <c r="K407" s="95" t="s">
        <v>1413</v>
      </c>
    </row>
    <row r="408" spans="1:11" x14ac:dyDescent="0.35">
      <c r="A408" s="155" t="s">
        <v>519</v>
      </c>
      <c r="B408" s="155" t="s">
        <v>520</v>
      </c>
      <c r="C408" s="155" t="s">
        <v>41</v>
      </c>
      <c r="D408" s="155" t="s">
        <v>42</v>
      </c>
      <c r="E408" s="155" t="s">
        <v>1399</v>
      </c>
      <c r="F408" s="155" t="s">
        <v>1400</v>
      </c>
      <c r="G408" s="156">
        <v>25</v>
      </c>
      <c r="H408" s="155" t="s">
        <v>1399</v>
      </c>
      <c r="I408" s="95" t="s">
        <v>1414</v>
      </c>
      <c r="K408" s="95" t="s">
        <v>1413</v>
      </c>
    </row>
    <row r="409" spans="1:11" x14ac:dyDescent="0.35">
      <c r="A409" s="155" t="s">
        <v>959</v>
      </c>
      <c r="B409" s="155" t="s">
        <v>960</v>
      </c>
      <c r="C409" s="155" t="s">
        <v>29</v>
      </c>
      <c r="D409" s="155" t="s">
        <v>30</v>
      </c>
      <c r="E409" s="155" t="s">
        <v>1359</v>
      </c>
      <c r="F409" s="155" t="s">
        <v>1360</v>
      </c>
      <c r="G409" s="156">
        <v>19</v>
      </c>
      <c r="H409" s="155" t="s">
        <v>1359</v>
      </c>
      <c r="I409" s="95" t="s">
        <v>1414</v>
      </c>
      <c r="K409" s="95" t="s">
        <v>1416</v>
      </c>
    </row>
    <row r="410" spans="1:11" x14ac:dyDescent="0.35">
      <c r="A410" s="155" t="s">
        <v>961</v>
      </c>
      <c r="B410" s="155" t="s">
        <v>962</v>
      </c>
      <c r="C410" s="155" t="s">
        <v>29</v>
      </c>
      <c r="D410" s="155" t="s">
        <v>30</v>
      </c>
      <c r="E410" s="155" t="s">
        <v>1359</v>
      </c>
      <c r="F410" s="155" t="s">
        <v>1360</v>
      </c>
      <c r="G410" s="156">
        <v>19</v>
      </c>
      <c r="H410" s="155" t="s">
        <v>1359</v>
      </c>
      <c r="I410" s="95" t="s">
        <v>1414</v>
      </c>
      <c r="K410" s="95" t="s">
        <v>1416</v>
      </c>
    </row>
    <row r="411" spans="1:11" x14ac:dyDescent="0.35">
      <c r="A411" s="155" t="s">
        <v>963</v>
      </c>
      <c r="B411" s="155" t="s">
        <v>964</v>
      </c>
      <c r="C411" s="155" t="s">
        <v>29</v>
      </c>
      <c r="D411" s="155" t="s">
        <v>30</v>
      </c>
      <c r="E411" s="155" t="s">
        <v>1359</v>
      </c>
      <c r="F411" s="155" t="s">
        <v>1360</v>
      </c>
      <c r="G411" s="156">
        <v>19</v>
      </c>
      <c r="H411" s="155" t="s">
        <v>1359</v>
      </c>
      <c r="I411" s="95" t="s">
        <v>1414</v>
      </c>
      <c r="K411" s="95" t="s">
        <v>1416</v>
      </c>
    </row>
    <row r="412" spans="1:11" x14ac:dyDescent="0.35">
      <c r="A412" s="155" t="s">
        <v>965</v>
      </c>
      <c r="B412" s="155" t="s">
        <v>966</v>
      </c>
      <c r="C412" s="155" t="s">
        <v>29</v>
      </c>
      <c r="D412" s="155" t="s">
        <v>30</v>
      </c>
      <c r="E412" s="155" t="s">
        <v>1359</v>
      </c>
      <c r="F412" s="155" t="s">
        <v>1360</v>
      </c>
      <c r="G412" s="156">
        <v>19</v>
      </c>
      <c r="H412" s="155" t="s">
        <v>1359</v>
      </c>
      <c r="I412" s="95" t="s">
        <v>1414</v>
      </c>
      <c r="K412" s="95" t="s">
        <v>1416</v>
      </c>
    </row>
    <row r="413" spans="1:11" x14ac:dyDescent="0.35">
      <c r="A413" s="155" t="s">
        <v>967</v>
      </c>
      <c r="B413" s="155" t="s">
        <v>968</v>
      </c>
      <c r="C413" s="155" t="s">
        <v>29</v>
      </c>
      <c r="D413" s="155" t="s">
        <v>30</v>
      </c>
      <c r="E413" s="155" t="s">
        <v>1359</v>
      </c>
      <c r="F413" s="155" t="s">
        <v>1360</v>
      </c>
      <c r="G413" s="156">
        <v>19</v>
      </c>
      <c r="H413" s="155" t="s">
        <v>1359</v>
      </c>
      <c r="I413" s="95" t="s">
        <v>1414</v>
      </c>
      <c r="K413" s="95" t="s">
        <v>1416</v>
      </c>
    </row>
    <row r="414" spans="1:11" x14ac:dyDescent="0.35">
      <c r="A414" s="155" t="s">
        <v>969</v>
      </c>
      <c r="B414" s="155" t="s">
        <v>271</v>
      </c>
      <c r="C414" s="155" t="s">
        <v>29</v>
      </c>
      <c r="D414" s="155" t="s">
        <v>30</v>
      </c>
      <c r="E414" s="155" t="s">
        <v>1359</v>
      </c>
      <c r="F414" s="155" t="s">
        <v>1360</v>
      </c>
      <c r="G414" s="156">
        <v>19</v>
      </c>
      <c r="H414" s="155" t="s">
        <v>1359</v>
      </c>
      <c r="I414" s="95" t="s">
        <v>1414</v>
      </c>
      <c r="K414" s="95" t="s">
        <v>1416</v>
      </c>
    </row>
    <row r="415" spans="1:11" x14ac:dyDescent="0.35">
      <c r="A415" s="155" t="s">
        <v>970</v>
      </c>
      <c r="B415" s="155" t="s">
        <v>272</v>
      </c>
      <c r="C415" s="155" t="s">
        <v>29</v>
      </c>
      <c r="D415" s="155" t="s">
        <v>30</v>
      </c>
      <c r="E415" s="155" t="s">
        <v>1359</v>
      </c>
      <c r="F415" s="155" t="s">
        <v>1360</v>
      </c>
      <c r="G415" s="156">
        <v>19</v>
      </c>
      <c r="H415" s="155" t="s">
        <v>1359</v>
      </c>
      <c r="I415" s="95" t="s">
        <v>1414</v>
      </c>
      <c r="K415" s="95" t="s">
        <v>1416</v>
      </c>
    </row>
    <row r="416" spans="1:11" x14ac:dyDescent="0.35">
      <c r="A416" s="155" t="s">
        <v>971</v>
      </c>
      <c r="B416" s="155" t="s">
        <v>273</v>
      </c>
      <c r="C416" s="155" t="s">
        <v>29</v>
      </c>
      <c r="D416" s="155" t="s">
        <v>30</v>
      </c>
      <c r="E416" s="155" t="s">
        <v>1359</v>
      </c>
      <c r="F416" s="155" t="s">
        <v>1360</v>
      </c>
      <c r="G416" s="156">
        <v>19</v>
      </c>
      <c r="H416" s="155" t="s">
        <v>1359</v>
      </c>
      <c r="I416" s="95" t="s">
        <v>1414</v>
      </c>
      <c r="K416" s="95" t="s">
        <v>1416</v>
      </c>
    </row>
    <row r="417" spans="1:11" x14ac:dyDescent="0.35">
      <c r="A417" s="155" t="s">
        <v>972</v>
      </c>
      <c r="B417" s="155" t="s">
        <v>973</v>
      </c>
      <c r="C417" s="155" t="s">
        <v>29</v>
      </c>
      <c r="D417" s="155" t="s">
        <v>30</v>
      </c>
      <c r="E417" s="155" t="s">
        <v>1359</v>
      </c>
      <c r="F417" s="155" t="s">
        <v>1360</v>
      </c>
      <c r="G417" s="156">
        <v>19</v>
      </c>
      <c r="H417" s="155" t="s">
        <v>1359</v>
      </c>
      <c r="I417" s="95" t="s">
        <v>1414</v>
      </c>
      <c r="K417" s="95" t="s">
        <v>1416</v>
      </c>
    </row>
    <row r="418" spans="1:11" x14ac:dyDescent="0.35">
      <c r="A418" s="155" t="s">
        <v>974</v>
      </c>
      <c r="B418" s="155" t="s">
        <v>276</v>
      </c>
      <c r="C418" s="155" t="s">
        <v>29</v>
      </c>
      <c r="D418" s="155" t="s">
        <v>30</v>
      </c>
      <c r="E418" s="155" t="s">
        <v>1359</v>
      </c>
      <c r="F418" s="155" t="s">
        <v>1360</v>
      </c>
      <c r="G418" s="156">
        <v>19</v>
      </c>
      <c r="H418" s="155" t="s">
        <v>1359</v>
      </c>
      <c r="I418" s="95" t="s">
        <v>1414</v>
      </c>
      <c r="K418" s="95" t="s">
        <v>1416</v>
      </c>
    </row>
    <row r="419" spans="1:11" x14ac:dyDescent="0.35">
      <c r="A419" s="155" t="s">
        <v>413</v>
      </c>
      <c r="B419" s="155" t="s">
        <v>414</v>
      </c>
      <c r="C419" s="155" t="s">
        <v>39</v>
      </c>
      <c r="D419" s="155" t="s">
        <v>40</v>
      </c>
      <c r="E419" s="155" t="s">
        <v>1389</v>
      </c>
      <c r="F419" s="155" t="s">
        <v>1390</v>
      </c>
      <c r="G419" s="156">
        <v>24</v>
      </c>
      <c r="H419" s="155" t="s">
        <v>1389</v>
      </c>
      <c r="I419" s="95" t="s">
        <v>1414</v>
      </c>
      <c r="K419" s="95" t="s">
        <v>1413</v>
      </c>
    </row>
    <row r="420" spans="1:11" x14ac:dyDescent="0.35">
      <c r="A420" s="155" t="s">
        <v>415</v>
      </c>
      <c r="B420" s="155" t="s">
        <v>416</v>
      </c>
      <c r="C420" s="155" t="s">
        <v>39</v>
      </c>
      <c r="D420" s="155" t="s">
        <v>40</v>
      </c>
      <c r="E420" s="155" t="s">
        <v>1389</v>
      </c>
      <c r="F420" s="155" t="s">
        <v>1390</v>
      </c>
      <c r="G420" s="156">
        <v>24</v>
      </c>
      <c r="H420" s="155" t="s">
        <v>1389</v>
      </c>
      <c r="I420" s="95" t="s">
        <v>1414</v>
      </c>
      <c r="K420" s="95" t="s">
        <v>1413</v>
      </c>
    </row>
    <row r="421" spans="1:11" x14ac:dyDescent="0.35">
      <c r="A421" s="155" t="s">
        <v>417</v>
      </c>
      <c r="B421" s="155" t="s">
        <v>418</v>
      </c>
      <c r="C421" s="155" t="s">
        <v>39</v>
      </c>
      <c r="D421" s="155" t="s">
        <v>40</v>
      </c>
      <c r="E421" s="155" t="s">
        <v>1389</v>
      </c>
      <c r="F421" s="155" t="s">
        <v>1390</v>
      </c>
      <c r="G421" s="156">
        <v>24</v>
      </c>
      <c r="H421" s="155" t="s">
        <v>1389</v>
      </c>
      <c r="I421" s="95" t="s">
        <v>1414</v>
      </c>
      <c r="K421" s="95" t="s">
        <v>1413</v>
      </c>
    </row>
    <row r="422" spans="1:11" x14ac:dyDescent="0.35">
      <c r="A422" s="155" t="s">
        <v>419</v>
      </c>
      <c r="B422" s="155" t="s">
        <v>420</v>
      </c>
      <c r="C422" s="155" t="s">
        <v>39</v>
      </c>
      <c r="D422" s="155" t="s">
        <v>40</v>
      </c>
      <c r="E422" s="155" t="s">
        <v>1389</v>
      </c>
      <c r="F422" s="155" t="s">
        <v>1390</v>
      </c>
      <c r="G422" s="156">
        <v>24</v>
      </c>
      <c r="H422" s="155" t="s">
        <v>1389</v>
      </c>
      <c r="I422" s="95" t="s">
        <v>1414</v>
      </c>
      <c r="K422" s="95" t="s">
        <v>1413</v>
      </c>
    </row>
    <row r="423" spans="1:11" x14ac:dyDescent="0.35">
      <c r="A423" s="155" t="s">
        <v>421</v>
      </c>
      <c r="B423" s="155" t="s">
        <v>422</v>
      </c>
      <c r="C423" s="155" t="s">
        <v>39</v>
      </c>
      <c r="D423" s="155" t="s">
        <v>40</v>
      </c>
      <c r="E423" s="155" t="s">
        <v>1389</v>
      </c>
      <c r="F423" s="155" t="s">
        <v>1390</v>
      </c>
      <c r="G423" s="156">
        <v>24</v>
      </c>
      <c r="H423" s="155" t="s">
        <v>1389</v>
      </c>
      <c r="I423" s="95" t="s">
        <v>1414</v>
      </c>
      <c r="K423" s="95" t="s">
        <v>1413</v>
      </c>
    </row>
    <row r="424" spans="1:11" x14ac:dyDescent="0.35">
      <c r="A424" s="155" t="s">
        <v>423</v>
      </c>
      <c r="B424" s="155" t="s">
        <v>424</v>
      </c>
      <c r="C424" s="155" t="s">
        <v>39</v>
      </c>
      <c r="D424" s="155" t="s">
        <v>40</v>
      </c>
      <c r="E424" s="155" t="s">
        <v>1389</v>
      </c>
      <c r="F424" s="155" t="s">
        <v>1390</v>
      </c>
      <c r="G424" s="156">
        <v>24</v>
      </c>
      <c r="H424" s="155" t="s">
        <v>1389</v>
      </c>
      <c r="I424" s="95" t="s">
        <v>1414</v>
      </c>
      <c r="K424" s="95" t="s">
        <v>1413</v>
      </c>
    </row>
    <row r="425" spans="1:11" x14ac:dyDescent="0.35">
      <c r="A425" s="155" t="s">
        <v>425</v>
      </c>
      <c r="B425" s="155" t="s">
        <v>426</v>
      </c>
      <c r="C425" s="155" t="s">
        <v>39</v>
      </c>
      <c r="D425" s="155" t="s">
        <v>40</v>
      </c>
      <c r="E425" s="155" t="s">
        <v>1389</v>
      </c>
      <c r="F425" s="155" t="s">
        <v>1390</v>
      </c>
      <c r="G425" s="156">
        <v>24</v>
      </c>
      <c r="H425" s="155" t="s">
        <v>1389</v>
      </c>
      <c r="I425" s="95" t="s">
        <v>1414</v>
      </c>
      <c r="K425" s="95" t="s">
        <v>1413</v>
      </c>
    </row>
    <row r="426" spans="1:11" x14ac:dyDescent="0.35">
      <c r="A426" s="155" t="s">
        <v>427</v>
      </c>
      <c r="B426" s="155" t="s">
        <v>428</v>
      </c>
      <c r="C426" s="155" t="s">
        <v>39</v>
      </c>
      <c r="D426" s="155" t="s">
        <v>40</v>
      </c>
      <c r="E426" s="155" t="s">
        <v>1389</v>
      </c>
      <c r="F426" s="155" t="s">
        <v>1390</v>
      </c>
      <c r="G426" s="156">
        <v>24</v>
      </c>
      <c r="H426" s="155" t="s">
        <v>1389</v>
      </c>
      <c r="I426" s="95" t="s">
        <v>1414</v>
      </c>
      <c r="K426" s="95" t="s">
        <v>1413</v>
      </c>
    </row>
    <row r="427" spans="1:11" x14ac:dyDescent="0.35">
      <c r="A427" s="155" t="s">
        <v>429</v>
      </c>
      <c r="B427" s="155" t="s">
        <v>430</v>
      </c>
      <c r="C427" s="155" t="s">
        <v>39</v>
      </c>
      <c r="D427" s="155" t="s">
        <v>40</v>
      </c>
      <c r="E427" s="155" t="s">
        <v>1389</v>
      </c>
      <c r="F427" s="155" t="s">
        <v>1390</v>
      </c>
      <c r="G427" s="156">
        <v>24</v>
      </c>
      <c r="H427" s="155" t="s">
        <v>1389</v>
      </c>
      <c r="I427" s="95" t="s">
        <v>1414</v>
      </c>
      <c r="K427" s="95" t="s">
        <v>1413</v>
      </c>
    </row>
    <row r="428" spans="1:11" x14ac:dyDescent="0.35">
      <c r="A428" s="155" t="s">
        <v>431</v>
      </c>
      <c r="B428" s="155" t="s">
        <v>432</v>
      </c>
      <c r="C428" s="155" t="s">
        <v>39</v>
      </c>
      <c r="D428" s="155" t="s">
        <v>40</v>
      </c>
      <c r="E428" s="155" t="s">
        <v>1391</v>
      </c>
      <c r="F428" s="155" t="s">
        <v>1392</v>
      </c>
      <c r="G428" s="156">
        <v>24</v>
      </c>
      <c r="H428" s="155" t="s">
        <v>1391</v>
      </c>
      <c r="I428" s="95" t="s">
        <v>1414</v>
      </c>
      <c r="K428" s="95" t="s">
        <v>1413</v>
      </c>
    </row>
    <row r="429" spans="1:11" x14ac:dyDescent="0.35">
      <c r="A429" s="155" t="s">
        <v>433</v>
      </c>
      <c r="B429" s="155" t="s">
        <v>434</v>
      </c>
      <c r="C429" s="155" t="s">
        <v>39</v>
      </c>
      <c r="D429" s="155" t="s">
        <v>40</v>
      </c>
      <c r="E429" s="155" t="s">
        <v>1391</v>
      </c>
      <c r="F429" s="155" t="s">
        <v>1392</v>
      </c>
      <c r="G429" s="156">
        <v>24</v>
      </c>
      <c r="H429" s="155" t="s">
        <v>1391</v>
      </c>
      <c r="I429" s="95" t="s">
        <v>1414</v>
      </c>
      <c r="K429" s="95" t="s">
        <v>1413</v>
      </c>
    </row>
    <row r="430" spans="1:11" x14ac:dyDescent="0.35">
      <c r="A430" s="155" t="s">
        <v>435</v>
      </c>
      <c r="B430" s="155" t="s">
        <v>436</v>
      </c>
      <c r="C430" s="155" t="s">
        <v>39</v>
      </c>
      <c r="D430" s="155" t="s">
        <v>40</v>
      </c>
      <c r="E430" s="155" t="s">
        <v>1391</v>
      </c>
      <c r="F430" s="155" t="s">
        <v>1392</v>
      </c>
      <c r="G430" s="156">
        <v>24</v>
      </c>
      <c r="H430" s="155" t="s">
        <v>1391</v>
      </c>
      <c r="I430" s="95" t="s">
        <v>1414</v>
      </c>
      <c r="K430" s="95" t="s">
        <v>1413</v>
      </c>
    </row>
    <row r="431" spans="1:11" x14ac:dyDescent="0.35">
      <c r="A431" s="155" t="s">
        <v>437</v>
      </c>
      <c r="B431" s="155" t="s">
        <v>438</v>
      </c>
      <c r="C431" s="155" t="s">
        <v>39</v>
      </c>
      <c r="D431" s="155" t="s">
        <v>40</v>
      </c>
      <c r="E431" s="155" t="s">
        <v>1391</v>
      </c>
      <c r="F431" s="155" t="s">
        <v>1392</v>
      </c>
      <c r="G431" s="156">
        <v>24</v>
      </c>
      <c r="H431" s="155" t="s">
        <v>1391</v>
      </c>
      <c r="I431" s="95" t="s">
        <v>1414</v>
      </c>
      <c r="K431" s="95" t="s">
        <v>1413</v>
      </c>
    </row>
    <row r="432" spans="1:11" x14ac:dyDescent="0.35">
      <c r="A432" s="155" t="s">
        <v>439</v>
      </c>
      <c r="B432" s="155" t="s">
        <v>440</v>
      </c>
      <c r="C432" s="155" t="s">
        <v>39</v>
      </c>
      <c r="D432" s="155" t="s">
        <v>40</v>
      </c>
      <c r="E432" s="155" t="s">
        <v>1391</v>
      </c>
      <c r="F432" s="155" t="s">
        <v>1392</v>
      </c>
      <c r="G432" s="156">
        <v>24</v>
      </c>
      <c r="H432" s="155" t="s">
        <v>1391</v>
      </c>
      <c r="I432" s="95" t="s">
        <v>1414</v>
      </c>
      <c r="K432" s="95" t="s">
        <v>1413</v>
      </c>
    </row>
    <row r="433" spans="1:11" x14ac:dyDescent="0.35">
      <c r="A433" s="155" t="s">
        <v>441</v>
      </c>
      <c r="B433" s="155" t="s">
        <v>442</v>
      </c>
      <c r="C433" s="155" t="s">
        <v>39</v>
      </c>
      <c r="D433" s="155" t="s">
        <v>40</v>
      </c>
      <c r="E433" s="155" t="s">
        <v>1391</v>
      </c>
      <c r="F433" s="155" t="s">
        <v>1392</v>
      </c>
      <c r="G433" s="156">
        <v>24</v>
      </c>
      <c r="H433" s="155" t="s">
        <v>1391</v>
      </c>
      <c r="I433" s="95" t="s">
        <v>1414</v>
      </c>
      <c r="K433" s="95" t="s">
        <v>1413</v>
      </c>
    </row>
    <row r="434" spans="1:11" x14ac:dyDescent="0.35">
      <c r="A434" s="155" t="s">
        <v>443</v>
      </c>
      <c r="B434" s="155" t="s">
        <v>444</v>
      </c>
      <c r="C434" s="155" t="s">
        <v>39</v>
      </c>
      <c r="D434" s="155" t="s">
        <v>40</v>
      </c>
      <c r="E434" s="155" t="s">
        <v>1391</v>
      </c>
      <c r="F434" s="155" t="s">
        <v>1392</v>
      </c>
      <c r="G434" s="156">
        <v>24</v>
      </c>
      <c r="H434" s="155" t="s">
        <v>1391</v>
      </c>
      <c r="I434" s="95" t="s">
        <v>1414</v>
      </c>
      <c r="K434" s="95" t="s">
        <v>1413</v>
      </c>
    </row>
    <row r="435" spans="1:11" x14ac:dyDescent="0.35">
      <c r="A435" s="155" t="s">
        <v>445</v>
      </c>
      <c r="B435" s="155" t="s">
        <v>446</v>
      </c>
      <c r="C435" s="155" t="s">
        <v>39</v>
      </c>
      <c r="D435" s="155" t="s">
        <v>40</v>
      </c>
      <c r="E435" s="155" t="s">
        <v>1391</v>
      </c>
      <c r="F435" s="155" t="s">
        <v>1392</v>
      </c>
      <c r="G435" s="156">
        <v>24</v>
      </c>
      <c r="H435" s="155" t="s">
        <v>1391</v>
      </c>
      <c r="I435" s="95" t="s">
        <v>1414</v>
      </c>
      <c r="K435" s="95" t="s">
        <v>1413</v>
      </c>
    </row>
    <row r="436" spans="1:11" x14ac:dyDescent="0.35">
      <c r="A436" s="155" t="s">
        <v>975</v>
      </c>
      <c r="B436" s="155" t="s">
        <v>976</v>
      </c>
      <c r="C436" s="155" t="s">
        <v>39</v>
      </c>
      <c r="D436" s="155" t="s">
        <v>40</v>
      </c>
      <c r="E436" s="155" t="s">
        <v>1391</v>
      </c>
      <c r="F436" s="155" t="s">
        <v>1392</v>
      </c>
      <c r="G436" s="156">
        <v>24</v>
      </c>
      <c r="H436" s="155" t="s">
        <v>1391</v>
      </c>
      <c r="I436" s="95" t="s">
        <v>1414</v>
      </c>
      <c r="K436" s="95" t="s">
        <v>1416</v>
      </c>
    </row>
    <row r="437" spans="1:11" x14ac:dyDescent="0.35">
      <c r="A437" s="155" t="s">
        <v>447</v>
      </c>
      <c r="B437" s="155" t="s">
        <v>448</v>
      </c>
      <c r="C437" s="155" t="s">
        <v>39</v>
      </c>
      <c r="D437" s="155" t="s">
        <v>40</v>
      </c>
      <c r="E437" s="155" t="s">
        <v>1391</v>
      </c>
      <c r="F437" s="155" t="s">
        <v>1392</v>
      </c>
      <c r="G437" s="156">
        <v>24</v>
      </c>
      <c r="H437" s="155" t="s">
        <v>1391</v>
      </c>
      <c r="I437" s="95" t="s">
        <v>1414</v>
      </c>
      <c r="K437" s="95" t="s">
        <v>1413</v>
      </c>
    </row>
    <row r="438" spans="1:11" x14ac:dyDescent="0.35">
      <c r="A438" s="155" t="s">
        <v>977</v>
      </c>
      <c r="B438" s="155" t="s">
        <v>978</v>
      </c>
      <c r="C438" s="155" t="s">
        <v>39</v>
      </c>
      <c r="D438" s="155" t="s">
        <v>40</v>
      </c>
      <c r="E438" s="155" t="s">
        <v>1391</v>
      </c>
      <c r="F438" s="155" t="s">
        <v>1392</v>
      </c>
      <c r="G438" s="156">
        <v>24</v>
      </c>
      <c r="H438" s="155" t="s">
        <v>1391</v>
      </c>
      <c r="I438" s="95" t="s">
        <v>1414</v>
      </c>
      <c r="K438" s="95" t="s">
        <v>1416</v>
      </c>
    </row>
    <row r="439" spans="1:11" x14ac:dyDescent="0.35">
      <c r="A439" s="155" t="s">
        <v>979</v>
      </c>
      <c r="B439" s="155" t="s">
        <v>980</v>
      </c>
      <c r="C439" s="155" t="s">
        <v>39</v>
      </c>
      <c r="D439" s="155" t="s">
        <v>40</v>
      </c>
      <c r="E439" s="155" t="s">
        <v>1391</v>
      </c>
      <c r="F439" s="155" t="s">
        <v>1392</v>
      </c>
      <c r="G439" s="156">
        <v>24</v>
      </c>
      <c r="H439" s="155" t="s">
        <v>1391</v>
      </c>
      <c r="I439" s="95" t="s">
        <v>1414</v>
      </c>
      <c r="K439" s="95" t="s">
        <v>1416</v>
      </c>
    </row>
    <row r="440" spans="1:11" x14ac:dyDescent="0.35">
      <c r="A440" s="155" t="s">
        <v>981</v>
      </c>
      <c r="B440" s="155" t="s">
        <v>982</v>
      </c>
      <c r="C440" s="155" t="s">
        <v>39</v>
      </c>
      <c r="D440" s="155" t="s">
        <v>40</v>
      </c>
      <c r="E440" s="155" t="s">
        <v>1391</v>
      </c>
      <c r="F440" s="155" t="s">
        <v>1392</v>
      </c>
      <c r="G440" s="156">
        <v>24</v>
      </c>
      <c r="H440" s="155" t="s">
        <v>1391</v>
      </c>
      <c r="I440" s="95" t="s">
        <v>1414</v>
      </c>
      <c r="K440" s="95" t="s">
        <v>1416</v>
      </c>
    </row>
    <row r="441" spans="1:11" x14ac:dyDescent="0.35">
      <c r="A441" s="155" t="s">
        <v>449</v>
      </c>
      <c r="B441" s="155" t="s">
        <v>450</v>
      </c>
      <c r="C441" s="155" t="s">
        <v>39</v>
      </c>
      <c r="D441" s="155" t="s">
        <v>40</v>
      </c>
      <c r="E441" s="155" t="s">
        <v>1391</v>
      </c>
      <c r="F441" s="155" t="s">
        <v>1392</v>
      </c>
      <c r="G441" s="156">
        <v>24</v>
      </c>
      <c r="H441" s="155" t="s">
        <v>1391</v>
      </c>
      <c r="I441" s="95" t="s">
        <v>1414</v>
      </c>
      <c r="K441" s="95" t="s">
        <v>1413</v>
      </c>
    </row>
    <row r="442" spans="1:11" x14ac:dyDescent="0.35">
      <c r="A442" s="155" t="s">
        <v>451</v>
      </c>
      <c r="B442" s="155" t="s">
        <v>452</v>
      </c>
      <c r="C442" s="155" t="s">
        <v>39</v>
      </c>
      <c r="D442" s="155" t="s">
        <v>40</v>
      </c>
      <c r="E442" s="155" t="s">
        <v>1393</v>
      </c>
      <c r="F442" s="155" t="s">
        <v>1394</v>
      </c>
      <c r="G442" s="156">
        <v>24</v>
      </c>
      <c r="H442" s="155" t="s">
        <v>1393</v>
      </c>
      <c r="I442" s="95" t="s">
        <v>1414</v>
      </c>
      <c r="K442" s="95" t="s">
        <v>1413</v>
      </c>
    </row>
    <row r="443" spans="1:11" x14ac:dyDescent="0.35">
      <c r="A443" s="155" t="s">
        <v>1180</v>
      </c>
      <c r="B443" s="155" t="s">
        <v>1181</v>
      </c>
      <c r="C443" s="155" t="s">
        <v>39</v>
      </c>
      <c r="D443" s="155" t="s">
        <v>40</v>
      </c>
      <c r="E443" s="155" t="s">
        <v>1393</v>
      </c>
      <c r="F443" s="155" t="s">
        <v>1394</v>
      </c>
      <c r="G443" s="156">
        <v>24</v>
      </c>
      <c r="H443" s="155" t="s">
        <v>1393</v>
      </c>
      <c r="I443" s="95" t="s">
        <v>1412</v>
      </c>
      <c r="J443" s="95">
        <v>42643</v>
      </c>
      <c r="K443" s="95" t="s">
        <v>1413</v>
      </c>
    </row>
    <row r="444" spans="1:11" x14ac:dyDescent="0.35">
      <c r="A444" s="155" t="s">
        <v>453</v>
      </c>
      <c r="B444" s="155" t="s">
        <v>454</v>
      </c>
      <c r="C444" s="155" t="s">
        <v>39</v>
      </c>
      <c r="D444" s="155" t="s">
        <v>40</v>
      </c>
      <c r="E444" s="155" t="s">
        <v>1393</v>
      </c>
      <c r="F444" s="155" t="s">
        <v>1394</v>
      </c>
      <c r="G444" s="156">
        <v>24</v>
      </c>
      <c r="H444" s="155" t="s">
        <v>1393</v>
      </c>
      <c r="I444" s="95" t="s">
        <v>1414</v>
      </c>
      <c r="K444" s="95" t="s">
        <v>1413</v>
      </c>
    </row>
    <row r="445" spans="1:11" x14ac:dyDescent="0.35">
      <c r="A445" s="155" t="s">
        <v>455</v>
      </c>
      <c r="B445" s="155" t="s">
        <v>456</v>
      </c>
      <c r="C445" s="155" t="s">
        <v>39</v>
      </c>
      <c r="D445" s="155" t="s">
        <v>40</v>
      </c>
      <c r="E445" s="155" t="s">
        <v>1389</v>
      </c>
      <c r="F445" s="155" t="s">
        <v>1390</v>
      </c>
      <c r="G445" s="156">
        <v>24</v>
      </c>
      <c r="H445" s="155" t="s">
        <v>1389</v>
      </c>
      <c r="I445" s="95" t="s">
        <v>1414</v>
      </c>
      <c r="K445" s="95" t="s">
        <v>1413</v>
      </c>
    </row>
    <row r="446" spans="1:11" x14ac:dyDescent="0.35">
      <c r="A446" s="155" t="s">
        <v>457</v>
      </c>
      <c r="B446" s="155" t="s">
        <v>458</v>
      </c>
      <c r="C446" s="155" t="s">
        <v>39</v>
      </c>
      <c r="D446" s="155" t="s">
        <v>40</v>
      </c>
      <c r="E446" s="155" t="s">
        <v>1389</v>
      </c>
      <c r="F446" s="155" t="s">
        <v>1390</v>
      </c>
      <c r="G446" s="156">
        <v>24</v>
      </c>
      <c r="H446" s="155" t="s">
        <v>1389</v>
      </c>
      <c r="I446" s="95" t="s">
        <v>1414</v>
      </c>
      <c r="K446" s="95" t="s">
        <v>1413</v>
      </c>
    </row>
    <row r="447" spans="1:11" x14ac:dyDescent="0.35">
      <c r="A447" s="155" t="s">
        <v>459</v>
      </c>
      <c r="B447" s="155" t="s">
        <v>460</v>
      </c>
      <c r="C447" s="155" t="s">
        <v>39</v>
      </c>
      <c r="D447" s="155" t="s">
        <v>40</v>
      </c>
      <c r="E447" s="155" t="s">
        <v>1389</v>
      </c>
      <c r="F447" s="155" t="s">
        <v>1390</v>
      </c>
      <c r="G447" s="156">
        <v>24</v>
      </c>
      <c r="H447" s="155" t="s">
        <v>1389</v>
      </c>
      <c r="I447" s="95" t="s">
        <v>1414</v>
      </c>
      <c r="K447" s="95" t="s">
        <v>1413</v>
      </c>
    </row>
    <row r="448" spans="1:11" x14ac:dyDescent="0.35">
      <c r="A448" s="155" t="s">
        <v>461</v>
      </c>
      <c r="B448" s="155" t="s">
        <v>462</v>
      </c>
      <c r="C448" s="155" t="s">
        <v>39</v>
      </c>
      <c r="D448" s="155" t="s">
        <v>40</v>
      </c>
      <c r="E448" s="155" t="s">
        <v>1389</v>
      </c>
      <c r="F448" s="155" t="s">
        <v>1390</v>
      </c>
      <c r="G448" s="156">
        <v>24</v>
      </c>
      <c r="H448" s="155" t="s">
        <v>1389</v>
      </c>
      <c r="I448" s="95" t="s">
        <v>1414</v>
      </c>
      <c r="K448" s="95" t="s">
        <v>1413</v>
      </c>
    </row>
    <row r="449" spans="1:11" x14ac:dyDescent="0.35">
      <c r="A449" s="155" t="s">
        <v>463</v>
      </c>
      <c r="B449" s="155" t="s">
        <v>464</v>
      </c>
      <c r="C449" s="155" t="s">
        <v>39</v>
      </c>
      <c r="D449" s="155" t="s">
        <v>40</v>
      </c>
      <c r="E449" s="155" t="s">
        <v>1389</v>
      </c>
      <c r="F449" s="155" t="s">
        <v>1390</v>
      </c>
      <c r="G449" s="156">
        <v>24</v>
      </c>
      <c r="H449" s="155" t="s">
        <v>1389</v>
      </c>
      <c r="I449" s="95" t="s">
        <v>1414</v>
      </c>
      <c r="K449" s="95" t="s">
        <v>1413</v>
      </c>
    </row>
    <row r="450" spans="1:11" x14ac:dyDescent="0.35">
      <c r="A450" s="155" t="s">
        <v>465</v>
      </c>
      <c r="B450" s="155" t="s">
        <v>466</v>
      </c>
      <c r="C450" s="155" t="s">
        <v>39</v>
      </c>
      <c r="D450" s="155" t="s">
        <v>40</v>
      </c>
      <c r="E450" s="155" t="s">
        <v>1389</v>
      </c>
      <c r="F450" s="155" t="s">
        <v>1390</v>
      </c>
      <c r="G450" s="156">
        <v>24</v>
      </c>
      <c r="H450" s="155" t="s">
        <v>1389</v>
      </c>
      <c r="I450" s="95" t="s">
        <v>1414</v>
      </c>
      <c r="K450" s="95" t="s">
        <v>1413</v>
      </c>
    </row>
    <row r="451" spans="1:11" x14ac:dyDescent="0.35">
      <c r="A451" s="155" t="s">
        <v>467</v>
      </c>
      <c r="B451" s="155" t="s">
        <v>468</v>
      </c>
      <c r="C451" s="155" t="s">
        <v>39</v>
      </c>
      <c r="D451" s="155" t="s">
        <v>40</v>
      </c>
      <c r="E451" s="155" t="s">
        <v>1389</v>
      </c>
      <c r="F451" s="155" t="s">
        <v>1390</v>
      </c>
      <c r="G451" s="156">
        <v>24</v>
      </c>
      <c r="H451" s="155" t="s">
        <v>1389</v>
      </c>
      <c r="I451" s="95" t="s">
        <v>1414</v>
      </c>
      <c r="K451" s="95" t="s">
        <v>1413</v>
      </c>
    </row>
    <row r="452" spans="1:11" x14ac:dyDescent="0.35">
      <c r="A452" s="155" t="s">
        <v>469</v>
      </c>
      <c r="B452" s="155" t="s">
        <v>470</v>
      </c>
      <c r="C452" s="155" t="s">
        <v>39</v>
      </c>
      <c r="D452" s="155" t="s">
        <v>40</v>
      </c>
      <c r="E452" s="155" t="s">
        <v>1389</v>
      </c>
      <c r="F452" s="155" t="s">
        <v>1390</v>
      </c>
      <c r="G452" s="156">
        <v>24</v>
      </c>
      <c r="H452" s="155" t="s">
        <v>1389</v>
      </c>
      <c r="I452" s="95" t="s">
        <v>1414</v>
      </c>
      <c r="K452" s="95" t="s">
        <v>1413</v>
      </c>
    </row>
    <row r="453" spans="1:11" ht="18" customHeight="1" x14ac:dyDescent="0.35">
      <c r="A453" s="155" t="s">
        <v>471</v>
      </c>
      <c r="B453" s="155" t="s">
        <v>472</v>
      </c>
      <c r="C453" s="155" t="s">
        <v>39</v>
      </c>
      <c r="D453" s="155" t="s">
        <v>40</v>
      </c>
      <c r="E453" s="155" t="s">
        <v>1389</v>
      </c>
      <c r="F453" s="155" t="s">
        <v>1390</v>
      </c>
      <c r="G453" s="156">
        <v>24</v>
      </c>
      <c r="H453" s="155" t="s">
        <v>1389</v>
      </c>
      <c r="I453" s="95" t="s">
        <v>1414</v>
      </c>
      <c r="K453" s="95" t="s">
        <v>1413</v>
      </c>
    </row>
    <row r="454" spans="1:11" x14ac:dyDescent="0.35">
      <c r="A454" s="155" t="s">
        <v>473</v>
      </c>
      <c r="B454" s="155" t="s">
        <v>474</v>
      </c>
      <c r="C454" s="155" t="s">
        <v>39</v>
      </c>
      <c r="D454" s="155" t="s">
        <v>40</v>
      </c>
      <c r="E454" s="155" t="s">
        <v>1389</v>
      </c>
      <c r="F454" s="155" t="s">
        <v>1390</v>
      </c>
      <c r="G454" s="156">
        <v>24</v>
      </c>
      <c r="H454" s="155" t="s">
        <v>1389</v>
      </c>
      <c r="I454" s="95" t="s">
        <v>1414</v>
      </c>
      <c r="K454" s="95" t="s">
        <v>1413</v>
      </c>
    </row>
    <row r="455" spans="1:11" x14ac:dyDescent="0.35">
      <c r="A455" s="155" t="s">
        <v>475</v>
      </c>
      <c r="B455" s="155" t="s">
        <v>476</v>
      </c>
      <c r="C455" s="155" t="s">
        <v>39</v>
      </c>
      <c r="D455" s="155" t="s">
        <v>40</v>
      </c>
      <c r="E455" s="155" t="s">
        <v>1391</v>
      </c>
      <c r="F455" s="155" t="s">
        <v>1392</v>
      </c>
      <c r="G455" s="156">
        <v>24</v>
      </c>
      <c r="H455" s="155" t="s">
        <v>1391</v>
      </c>
      <c r="I455" s="95" t="s">
        <v>1414</v>
      </c>
      <c r="K455" s="95" t="s">
        <v>1413</v>
      </c>
    </row>
    <row r="456" spans="1:11" x14ac:dyDescent="0.35">
      <c r="A456" s="155" t="s">
        <v>477</v>
      </c>
      <c r="B456" s="155" t="s">
        <v>478</v>
      </c>
      <c r="C456" s="155" t="s">
        <v>39</v>
      </c>
      <c r="D456" s="155" t="s">
        <v>40</v>
      </c>
      <c r="E456" s="155" t="s">
        <v>1391</v>
      </c>
      <c r="F456" s="155" t="s">
        <v>1392</v>
      </c>
      <c r="G456" s="156">
        <v>24</v>
      </c>
      <c r="H456" s="155" t="s">
        <v>1391</v>
      </c>
      <c r="I456" s="95" t="s">
        <v>1414</v>
      </c>
      <c r="K456" s="95" t="s">
        <v>1413</v>
      </c>
    </row>
    <row r="457" spans="1:11" x14ac:dyDescent="0.35">
      <c r="A457" s="155" t="s">
        <v>479</v>
      </c>
      <c r="B457" s="155" t="s">
        <v>480</v>
      </c>
      <c r="C457" s="155" t="s">
        <v>39</v>
      </c>
      <c r="D457" s="155" t="s">
        <v>40</v>
      </c>
      <c r="E457" s="155" t="s">
        <v>1391</v>
      </c>
      <c r="F457" s="155" t="s">
        <v>1392</v>
      </c>
      <c r="G457" s="156">
        <v>24</v>
      </c>
      <c r="H457" s="155" t="s">
        <v>1391</v>
      </c>
      <c r="I457" s="95" t="s">
        <v>1414</v>
      </c>
      <c r="K457" s="95" t="s">
        <v>1413</v>
      </c>
    </row>
    <row r="458" spans="1:11" x14ac:dyDescent="0.35">
      <c r="A458" s="155" t="s">
        <v>481</v>
      </c>
      <c r="B458" s="155" t="s">
        <v>482</v>
      </c>
      <c r="C458" s="155" t="s">
        <v>39</v>
      </c>
      <c r="D458" s="155" t="s">
        <v>40</v>
      </c>
      <c r="E458" s="155" t="s">
        <v>1391</v>
      </c>
      <c r="F458" s="155" t="s">
        <v>1392</v>
      </c>
      <c r="G458" s="156">
        <v>24</v>
      </c>
      <c r="H458" s="155" t="s">
        <v>1391</v>
      </c>
      <c r="I458" s="95" t="s">
        <v>1414</v>
      </c>
      <c r="K458" s="95" t="s">
        <v>1413</v>
      </c>
    </row>
    <row r="459" spans="1:11" x14ac:dyDescent="0.35">
      <c r="A459" s="155" t="s">
        <v>483</v>
      </c>
      <c r="B459" s="155" t="s">
        <v>484</v>
      </c>
      <c r="C459" s="155" t="s">
        <v>39</v>
      </c>
      <c r="D459" s="155" t="s">
        <v>40</v>
      </c>
      <c r="E459" s="155" t="s">
        <v>1391</v>
      </c>
      <c r="F459" s="155" t="s">
        <v>1392</v>
      </c>
      <c r="G459" s="156">
        <v>24</v>
      </c>
      <c r="H459" s="155" t="s">
        <v>1391</v>
      </c>
      <c r="I459" s="95" t="s">
        <v>1414</v>
      </c>
      <c r="K459" s="95" t="s">
        <v>1413</v>
      </c>
    </row>
    <row r="460" spans="1:11" x14ac:dyDescent="0.35">
      <c r="A460" s="155" t="s">
        <v>485</v>
      </c>
      <c r="B460" s="155" t="s">
        <v>486</v>
      </c>
      <c r="C460" s="155" t="s">
        <v>39</v>
      </c>
      <c r="D460" s="155" t="s">
        <v>40</v>
      </c>
      <c r="E460" s="155" t="s">
        <v>1391</v>
      </c>
      <c r="F460" s="155" t="s">
        <v>1392</v>
      </c>
      <c r="G460" s="156">
        <v>24</v>
      </c>
      <c r="H460" s="155" t="s">
        <v>1391</v>
      </c>
      <c r="I460" s="95" t="s">
        <v>1414</v>
      </c>
      <c r="K460" s="95" t="s">
        <v>1413</v>
      </c>
    </row>
    <row r="461" spans="1:11" x14ac:dyDescent="0.35">
      <c r="A461" s="155" t="s">
        <v>487</v>
      </c>
      <c r="B461" s="155" t="s">
        <v>488</v>
      </c>
      <c r="C461" s="155" t="s">
        <v>39</v>
      </c>
      <c r="D461" s="155" t="s">
        <v>40</v>
      </c>
      <c r="E461" s="155" t="s">
        <v>1391</v>
      </c>
      <c r="F461" s="155" t="s">
        <v>1392</v>
      </c>
      <c r="G461" s="156">
        <v>24</v>
      </c>
      <c r="H461" s="155" t="s">
        <v>1391</v>
      </c>
      <c r="I461" s="95" t="s">
        <v>1414</v>
      </c>
      <c r="K461" s="95" t="s">
        <v>1413</v>
      </c>
    </row>
    <row r="462" spans="1:11" x14ac:dyDescent="0.35">
      <c r="A462" s="155" t="s">
        <v>489</v>
      </c>
      <c r="B462" s="155" t="s">
        <v>490</v>
      </c>
      <c r="C462" s="155" t="s">
        <v>39</v>
      </c>
      <c r="D462" s="155" t="s">
        <v>40</v>
      </c>
      <c r="E462" s="155" t="s">
        <v>1391</v>
      </c>
      <c r="F462" s="155" t="s">
        <v>1392</v>
      </c>
      <c r="G462" s="156">
        <v>24</v>
      </c>
      <c r="H462" s="155" t="s">
        <v>1391</v>
      </c>
      <c r="I462" s="95" t="s">
        <v>1414</v>
      </c>
      <c r="K462" s="95" t="s">
        <v>1413</v>
      </c>
    </row>
    <row r="463" spans="1:11" x14ac:dyDescent="0.35">
      <c r="A463" s="155" t="s">
        <v>491</v>
      </c>
      <c r="B463" s="155" t="s">
        <v>492</v>
      </c>
      <c r="C463" s="155" t="s">
        <v>39</v>
      </c>
      <c r="D463" s="155" t="s">
        <v>40</v>
      </c>
      <c r="E463" s="155" t="s">
        <v>1391</v>
      </c>
      <c r="F463" s="155" t="s">
        <v>1392</v>
      </c>
      <c r="G463" s="156">
        <v>24</v>
      </c>
      <c r="H463" s="155" t="s">
        <v>1391</v>
      </c>
      <c r="I463" s="95" t="s">
        <v>1414</v>
      </c>
      <c r="K463" s="95" t="s">
        <v>1413</v>
      </c>
    </row>
    <row r="464" spans="1:11" x14ac:dyDescent="0.35">
      <c r="A464" s="155" t="s">
        <v>493</v>
      </c>
      <c r="B464" s="155" t="s">
        <v>494</v>
      </c>
      <c r="C464" s="155" t="s">
        <v>39</v>
      </c>
      <c r="D464" s="155" t="s">
        <v>40</v>
      </c>
      <c r="E464" s="155" t="s">
        <v>1391</v>
      </c>
      <c r="F464" s="155" t="s">
        <v>1392</v>
      </c>
      <c r="G464" s="156">
        <v>24</v>
      </c>
      <c r="H464" s="155" t="s">
        <v>1391</v>
      </c>
      <c r="I464" s="95" t="s">
        <v>1414</v>
      </c>
      <c r="K464" s="95" t="s">
        <v>1413</v>
      </c>
    </row>
    <row r="465" spans="1:11" x14ac:dyDescent="0.35">
      <c r="A465" s="155" t="s">
        <v>495</v>
      </c>
      <c r="B465" s="155" t="s">
        <v>496</v>
      </c>
      <c r="C465" s="155" t="s">
        <v>39</v>
      </c>
      <c r="D465" s="155" t="s">
        <v>40</v>
      </c>
      <c r="E465" s="155" t="s">
        <v>1393</v>
      </c>
      <c r="F465" s="155" t="s">
        <v>1394</v>
      </c>
      <c r="G465" s="156">
        <v>24</v>
      </c>
      <c r="H465" s="155" t="s">
        <v>1393</v>
      </c>
      <c r="I465" s="95" t="s">
        <v>1414</v>
      </c>
      <c r="K465" s="95" t="s">
        <v>1413</v>
      </c>
    </row>
    <row r="466" spans="1:11" x14ac:dyDescent="0.35">
      <c r="A466" s="155" t="s">
        <v>1182</v>
      </c>
      <c r="B466" s="155" t="s">
        <v>1183</v>
      </c>
      <c r="C466" s="155" t="s">
        <v>39</v>
      </c>
      <c r="D466" s="155" t="s">
        <v>40</v>
      </c>
      <c r="E466" s="155" t="s">
        <v>1393</v>
      </c>
      <c r="F466" s="155" t="s">
        <v>1394</v>
      </c>
      <c r="G466" s="156">
        <v>24</v>
      </c>
      <c r="H466" s="155" t="s">
        <v>1393</v>
      </c>
      <c r="I466" s="95" t="s">
        <v>1412</v>
      </c>
      <c r="J466" s="95">
        <v>42643</v>
      </c>
      <c r="K466" s="95" t="s">
        <v>1413</v>
      </c>
    </row>
    <row r="467" spans="1:11" x14ac:dyDescent="0.35">
      <c r="A467" s="155" t="s">
        <v>497</v>
      </c>
      <c r="B467" s="155" t="s">
        <v>498</v>
      </c>
      <c r="C467" s="155" t="s">
        <v>39</v>
      </c>
      <c r="D467" s="155" t="s">
        <v>40</v>
      </c>
      <c r="E467" s="155" t="s">
        <v>1393</v>
      </c>
      <c r="F467" s="155" t="s">
        <v>1394</v>
      </c>
      <c r="G467" s="156">
        <v>24</v>
      </c>
      <c r="H467" s="155" t="s">
        <v>1393</v>
      </c>
      <c r="I467" s="95" t="s">
        <v>1414</v>
      </c>
      <c r="K467" s="95" t="s">
        <v>1413</v>
      </c>
    </row>
    <row r="468" spans="1:11" x14ac:dyDescent="0.35">
      <c r="A468" s="155" t="s">
        <v>499</v>
      </c>
      <c r="B468" s="155" t="s">
        <v>500</v>
      </c>
      <c r="C468" s="155" t="s">
        <v>39</v>
      </c>
      <c r="D468" s="155" t="s">
        <v>40</v>
      </c>
      <c r="E468" s="155" t="s">
        <v>1389</v>
      </c>
      <c r="F468" s="155" t="s">
        <v>1390</v>
      </c>
      <c r="G468" s="156">
        <v>24</v>
      </c>
      <c r="H468" s="155" t="s">
        <v>1389</v>
      </c>
      <c r="I468" s="95" t="s">
        <v>1414</v>
      </c>
      <c r="K468" s="95" t="s">
        <v>1413</v>
      </c>
    </row>
    <row r="469" spans="1:11" x14ac:dyDescent="0.35">
      <c r="A469" s="155" t="s">
        <v>501</v>
      </c>
      <c r="B469" s="155" t="s">
        <v>502</v>
      </c>
      <c r="C469" s="155" t="s">
        <v>39</v>
      </c>
      <c r="D469" s="155" t="s">
        <v>40</v>
      </c>
      <c r="E469" s="155" t="s">
        <v>1389</v>
      </c>
      <c r="F469" s="155" t="s">
        <v>1390</v>
      </c>
      <c r="G469" s="156">
        <v>24</v>
      </c>
      <c r="H469" s="155" t="s">
        <v>1389</v>
      </c>
      <c r="I469" s="95" t="s">
        <v>1414</v>
      </c>
      <c r="K469" s="95" t="s">
        <v>1413</v>
      </c>
    </row>
    <row r="470" spans="1:11" x14ac:dyDescent="0.35">
      <c r="A470" s="155" t="s">
        <v>1184</v>
      </c>
      <c r="B470" s="155" t="s">
        <v>1185</v>
      </c>
      <c r="C470" s="155" t="s">
        <v>41</v>
      </c>
      <c r="D470" s="155" t="s">
        <v>42</v>
      </c>
      <c r="E470" s="155" t="s">
        <v>1401</v>
      </c>
      <c r="F470" s="155" t="s">
        <v>1402</v>
      </c>
      <c r="G470" s="156">
        <v>25</v>
      </c>
      <c r="H470" s="155" t="s">
        <v>1401</v>
      </c>
      <c r="I470" s="95" t="s">
        <v>1412</v>
      </c>
      <c r="J470" s="95">
        <v>42643</v>
      </c>
      <c r="K470" s="95" t="s">
        <v>1413</v>
      </c>
    </row>
    <row r="471" spans="1:11" x14ac:dyDescent="0.35">
      <c r="A471" s="155" t="s">
        <v>1186</v>
      </c>
      <c r="B471" s="155" t="s">
        <v>1187</v>
      </c>
      <c r="C471" s="155" t="s">
        <v>41</v>
      </c>
      <c r="D471" s="155" t="s">
        <v>42</v>
      </c>
      <c r="E471" s="155" t="s">
        <v>1401</v>
      </c>
      <c r="F471" s="155" t="s">
        <v>1402</v>
      </c>
      <c r="G471" s="156">
        <v>25</v>
      </c>
      <c r="H471" s="155" t="s">
        <v>1401</v>
      </c>
      <c r="I471" s="95" t="s">
        <v>1412</v>
      </c>
      <c r="J471" s="95">
        <v>42643</v>
      </c>
      <c r="K471" s="95" t="s">
        <v>1413</v>
      </c>
    </row>
    <row r="472" spans="1:11" x14ac:dyDescent="0.35">
      <c r="A472" s="155" t="s">
        <v>1188</v>
      </c>
      <c r="B472" s="155" t="s">
        <v>1189</v>
      </c>
      <c r="C472" s="155" t="s">
        <v>41</v>
      </c>
      <c r="D472" s="155" t="s">
        <v>42</v>
      </c>
      <c r="E472" s="155" t="s">
        <v>1401</v>
      </c>
      <c r="F472" s="155" t="s">
        <v>1402</v>
      </c>
      <c r="G472" s="156">
        <v>25</v>
      </c>
      <c r="H472" s="155" t="s">
        <v>1401</v>
      </c>
      <c r="I472" s="95" t="s">
        <v>1412</v>
      </c>
      <c r="J472" s="95">
        <v>42643</v>
      </c>
      <c r="K472" s="95" t="s">
        <v>1413</v>
      </c>
    </row>
    <row r="473" spans="1:11" x14ac:dyDescent="0.35">
      <c r="A473" s="155" t="s">
        <v>1190</v>
      </c>
      <c r="B473" s="155" t="s">
        <v>1191</v>
      </c>
      <c r="C473" s="155" t="s">
        <v>41</v>
      </c>
      <c r="D473" s="155" t="s">
        <v>42</v>
      </c>
      <c r="E473" s="155" t="s">
        <v>1401</v>
      </c>
      <c r="F473" s="155" t="s">
        <v>1402</v>
      </c>
      <c r="G473" s="156">
        <v>25</v>
      </c>
      <c r="H473" s="155" t="s">
        <v>1401</v>
      </c>
      <c r="I473" s="95" t="s">
        <v>1412</v>
      </c>
      <c r="J473" s="95">
        <v>42643</v>
      </c>
      <c r="K473" s="95" t="s">
        <v>1413</v>
      </c>
    </row>
    <row r="474" spans="1:11" x14ac:dyDescent="0.35">
      <c r="A474" s="155" t="s">
        <v>1192</v>
      </c>
      <c r="B474" s="155" t="s">
        <v>1193</v>
      </c>
      <c r="C474" s="155" t="s">
        <v>41</v>
      </c>
      <c r="D474" s="155" t="s">
        <v>42</v>
      </c>
      <c r="E474" s="155" t="s">
        <v>1401</v>
      </c>
      <c r="F474" s="155" t="s">
        <v>1402</v>
      </c>
      <c r="G474" s="156">
        <v>25</v>
      </c>
      <c r="H474" s="155" t="s">
        <v>1401</v>
      </c>
      <c r="I474" s="95" t="s">
        <v>1412</v>
      </c>
      <c r="J474" s="95">
        <v>42643</v>
      </c>
      <c r="K474" s="95" t="s">
        <v>1413</v>
      </c>
    </row>
    <row r="475" spans="1:11" x14ac:dyDescent="0.35">
      <c r="A475" s="155" t="s">
        <v>521</v>
      </c>
      <c r="B475" s="155" t="s">
        <v>522</v>
      </c>
      <c r="C475" s="155" t="s">
        <v>41</v>
      </c>
      <c r="D475" s="155" t="s">
        <v>42</v>
      </c>
      <c r="E475" s="155" t="s">
        <v>1401</v>
      </c>
      <c r="F475" s="155" t="s">
        <v>1402</v>
      </c>
      <c r="G475" s="156">
        <v>25</v>
      </c>
      <c r="H475" s="155" t="s">
        <v>1401</v>
      </c>
      <c r="I475" s="95" t="s">
        <v>1414</v>
      </c>
      <c r="K475" s="95" t="s">
        <v>1413</v>
      </c>
    </row>
    <row r="476" spans="1:11" x14ac:dyDescent="0.35">
      <c r="A476" s="155" t="s">
        <v>523</v>
      </c>
      <c r="B476" s="155" t="s">
        <v>524</v>
      </c>
      <c r="C476" s="155" t="s">
        <v>41</v>
      </c>
      <c r="D476" s="155" t="s">
        <v>42</v>
      </c>
      <c r="E476" s="155" t="s">
        <v>1401</v>
      </c>
      <c r="F476" s="155" t="s">
        <v>1402</v>
      </c>
      <c r="G476" s="156">
        <v>25</v>
      </c>
      <c r="H476" s="155" t="s">
        <v>1401</v>
      </c>
      <c r="I476" s="95" t="s">
        <v>1414</v>
      </c>
      <c r="K476" s="95" t="s">
        <v>1413</v>
      </c>
    </row>
    <row r="477" spans="1:11" x14ac:dyDescent="0.35">
      <c r="A477" s="155" t="s">
        <v>983</v>
      </c>
      <c r="B477" s="155" t="s">
        <v>984</v>
      </c>
      <c r="C477" s="155" t="s">
        <v>41</v>
      </c>
      <c r="D477" s="155" t="s">
        <v>42</v>
      </c>
      <c r="E477" s="155" t="s">
        <v>1401</v>
      </c>
      <c r="F477" s="155" t="s">
        <v>1402</v>
      </c>
      <c r="G477" s="156">
        <v>25</v>
      </c>
      <c r="H477" s="155" t="s">
        <v>1401</v>
      </c>
      <c r="I477" s="95" t="s">
        <v>1414</v>
      </c>
      <c r="K477" s="95" t="s">
        <v>1416</v>
      </c>
    </row>
    <row r="478" spans="1:11" x14ac:dyDescent="0.35">
      <c r="A478" s="155" t="s">
        <v>525</v>
      </c>
      <c r="B478" s="155" t="s">
        <v>1518</v>
      </c>
      <c r="C478" s="155" t="s">
        <v>734</v>
      </c>
      <c r="D478" s="155" t="s">
        <v>735</v>
      </c>
      <c r="E478" s="155" t="s">
        <v>1403</v>
      </c>
      <c r="F478" s="155" t="s">
        <v>1404</v>
      </c>
      <c r="G478" s="156">
        <v>164</v>
      </c>
      <c r="H478" s="155" t="s">
        <v>1403</v>
      </c>
      <c r="I478" s="95" t="s">
        <v>1414</v>
      </c>
      <c r="K478" s="95" t="s">
        <v>1413</v>
      </c>
    </row>
    <row r="479" spans="1:11" x14ac:dyDescent="0.35">
      <c r="A479" s="155" t="s">
        <v>1194</v>
      </c>
      <c r="B479" s="155" t="s">
        <v>1195</v>
      </c>
      <c r="C479" s="155" t="s">
        <v>734</v>
      </c>
      <c r="D479" s="155" t="s">
        <v>735</v>
      </c>
      <c r="E479" s="155" t="s">
        <v>1403</v>
      </c>
      <c r="F479" s="155" t="s">
        <v>1404</v>
      </c>
      <c r="G479" s="156">
        <v>164</v>
      </c>
      <c r="H479" s="155" t="s">
        <v>1403</v>
      </c>
      <c r="I479" s="95" t="s">
        <v>1412</v>
      </c>
      <c r="J479" s="95">
        <v>42643</v>
      </c>
      <c r="K479" s="95" t="s">
        <v>1413</v>
      </c>
    </row>
    <row r="480" spans="1:11" x14ac:dyDescent="0.35">
      <c r="A480" s="155" t="s">
        <v>526</v>
      </c>
      <c r="B480" s="155" t="s">
        <v>527</v>
      </c>
      <c r="C480" s="155" t="s">
        <v>734</v>
      </c>
      <c r="D480" s="155" t="s">
        <v>735</v>
      </c>
      <c r="E480" s="155" t="s">
        <v>1403</v>
      </c>
      <c r="F480" s="155" t="s">
        <v>1404</v>
      </c>
      <c r="G480" s="156">
        <v>164</v>
      </c>
      <c r="H480" s="155" t="s">
        <v>1403</v>
      </c>
      <c r="I480" s="95" t="s">
        <v>1414</v>
      </c>
      <c r="K480" s="95" t="s">
        <v>1413</v>
      </c>
    </row>
    <row r="481" spans="1:11" x14ac:dyDescent="0.35">
      <c r="A481" s="155" t="s">
        <v>528</v>
      </c>
      <c r="B481" s="155" t="s">
        <v>529</v>
      </c>
      <c r="C481" s="155" t="s">
        <v>734</v>
      </c>
      <c r="D481" s="155" t="s">
        <v>735</v>
      </c>
      <c r="E481" s="155" t="s">
        <v>1403</v>
      </c>
      <c r="F481" s="155" t="s">
        <v>1404</v>
      </c>
      <c r="G481" s="156">
        <v>164</v>
      </c>
      <c r="H481" s="155" t="s">
        <v>1403</v>
      </c>
      <c r="I481" s="95" t="s">
        <v>1414</v>
      </c>
      <c r="K481" s="95" t="s">
        <v>1413</v>
      </c>
    </row>
    <row r="482" spans="1:11" x14ac:dyDescent="0.35">
      <c r="A482" s="155" t="s">
        <v>1196</v>
      </c>
      <c r="B482" s="155" t="s">
        <v>1197</v>
      </c>
      <c r="C482" s="155" t="s">
        <v>734</v>
      </c>
      <c r="D482" s="155" t="s">
        <v>735</v>
      </c>
      <c r="E482" s="155" t="s">
        <v>1403</v>
      </c>
      <c r="F482" s="155" t="s">
        <v>1404</v>
      </c>
      <c r="G482" s="156">
        <v>164</v>
      </c>
      <c r="H482" s="155" t="s">
        <v>1403</v>
      </c>
      <c r="I482" s="95" t="s">
        <v>1412</v>
      </c>
      <c r="J482" s="95">
        <v>42643</v>
      </c>
      <c r="K482" s="95" t="s">
        <v>1413</v>
      </c>
    </row>
    <row r="483" spans="1:11" x14ac:dyDescent="0.35">
      <c r="A483" s="155" t="s">
        <v>1198</v>
      </c>
      <c r="B483" s="155" t="s">
        <v>1199</v>
      </c>
      <c r="C483" s="155" t="s">
        <v>734</v>
      </c>
      <c r="D483" s="155" t="s">
        <v>735</v>
      </c>
      <c r="E483" s="155" t="s">
        <v>1403</v>
      </c>
      <c r="F483" s="155" t="s">
        <v>1404</v>
      </c>
      <c r="G483" s="156">
        <v>164</v>
      </c>
      <c r="H483" s="155" t="s">
        <v>1403</v>
      </c>
      <c r="I483" s="95" t="s">
        <v>1412</v>
      </c>
      <c r="J483" s="95">
        <v>42643</v>
      </c>
      <c r="K483" s="95" t="s">
        <v>1413</v>
      </c>
    </row>
    <row r="484" spans="1:11" x14ac:dyDescent="0.35">
      <c r="A484" s="155" t="s">
        <v>1200</v>
      </c>
      <c r="B484" s="155" t="s">
        <v>1201</v>
      </c>
      <c r="C484" s="155" t="s">
        <v>734</v>
      </c>
      <c r="D484" s="155" t="s">
        <v>735</v>
      </c>
      <c r="E484" s="155" t="s">
        <v>1403</v>
      </c>
      <c r="F484" s="155" t="s">
        <v>1404</v>
      </c>
      <c r="G484" s="156">
        <v>164</v>
      </c>
      <c r="H484" s="155" t="s">
        <v>1403</v>
      </c>
      <c r="I484" s="95" t="s">
        <v>1412</v>
      </c>
      <c r="J484" s="95">
        <v>42643</v>
      </c>
      <c r="K484" s="95" t="s">
        <v>1413</v>
      </c>
    </row>
    <row r="485" spans="1:11" x14ac:dyDescent="0.35">
      <c r="A485" s="155" t="s">
        <v>1202</v>
      </c>
      <c r="B485" s="155" t="s">
        <v>1203</v>
      </c>
      <c r="C485" s="155" t="s">
        <v>734</v>
      </c>
      <c r="D485" s="155" t="s">
        <v>735</v>
      </c>
      <c r="E485" s="155" t="s">
        <v>1403</v>
      </c>
      <c r="F485" s="155" t="s">
        <v>1404</v>
      </c>
      <c r="G485" s="156">
        <v>164</v>
      </c>
      <c r="H485" s="155" t="s">
        <v>1403</v>
      </c>
      <c r="I485" s="95" t="s">
        <v>1412</v>
      </c>
      <c r="J485" s="95">
        <v>42643</v>
      </c>
      <c r="K485" s="95" t="s">
        <v>1413</v>
      </c>
    </row>
    <row r="486" spans="1:11" x14ac:dyDescent="0.35">
      <c r="A486" s="155" t="s">
        <v>1204</v>
      </c>
      <c r="B486" s="155" t="s">
        <v>1205</v>
      </c>
      <c r="C486" s="155" t="s">
        <v>734</v>
      </c>
      <c r="D486" s="155" t="s">
        <v>735</v>
      </c>
      <c r="E486" s="155" t="s">
        <v>1403</v>
      </c>
      <c r="F486" s="155" t="s">
        <v>1404</v>
      </c>
      <c r="G486" s="156">
        <v>164</v>
      </c>
      <c r="H486" s="155" t="s">
        <v>1403</v>
      </c>
      <c r="I486" s="95" t="s">
        <v>1412</v>
      </c>
      <c r="J486" s="95">
        <v>42643</v>
      </c>
      <c r="K486" s="95" t="s">
        <v>1413</v>
      </c>
    </row>
    <row r="487" spans="1:11" x14ac:dyDescent="0.35">
      <c r="A487" s="155" t="s">
        <v>1206</v>
      </c>
      <c r="B487" s="155" t="s">
        <v>1207</v>
      </c>
      <c r="C487" s="155" t="s">
        <v>734</v>
      </c>
      <c r="D487" s="155" t="s">
        <v>735</v>
      </c>
      <c r="E487" s="155" t="s">
        <v>1403</v>
      </c>
      <c r="F487" s="155" t="s">
        <v>1404</v>
      </c>
      <c r="G487" s="156">
        <v>164</v>
      </c>
      <c r="H487" s="155" t="s">
        <v>1403</v>
      </c>
      <c r="I487" s="95" t="s">
        <v>1412</v>
      </c>
      <c r="J487" s="95">
        <v>42643</v>
      </c>
      <c r="K487" s="95" t="s">
        <v>1413</v>
      </c>
    </row>
    <row r="488" spans="1:11" x14ac:dyDescent="0.35">
      <c r="A488" s="155" t="s">
        <v>1208</v>
      </c>
      <c r="B488" s="155" t="s">
        <v>1209</v>
      </c>
      <c r="C488" s="155" t="s">
        <v>734</v>
      </c>
      <c r="D488" s="155" t="s">
        <v>735</v>
      </c>
      <c r="E488" s="155" t="s">
        <v>1403</v>
      </c>
      <c r="F488" s="155" t="s">
        <v>1404</v>
      </c>
      <c r="G488" s="156">
        <v>164</v>
      </c>
      <c r="H488" s="155" t="s">
        <v>1403</v>
      </c>
      <c r="I488" s="95" t="s">
        <v>1412</v>
      </c>
      <c r="J488" s="95">
        <v>42643</v>
      </c>
      <c r="K488" s="95" t="s">
        <v>1413</v>
      </c>
    </row>
    <row r="489" spans="1:11" x14ac:dyDescent="0.35">
      <c r="A489" s="155" t="s">
        <v>530</v>
      </c>
      <c r="B489" s="155" t="s">
        <v>1519</v>
      </c>
      <c r="C489" s="155" t="s">
        <v>734</v>
      </c>
      <c r="D489" s="155" t="s">
        <v>735</v>
      </c>
      <c r="E489" s="155" t="s">
        <v>1403</v>
      </c>
      <c r="F489" s="155" t="s">
        <v>1404</v>
      </c>
      <c r="G489" s="156">
        <v>164</v>
      </c>
      <c r="H489" s="155" t="s">
        <v>1403</v>
      </c>
      <c r="I489" s="95" t="s">
        <v>1414</v>
      </c>
      <c r="K489" s="95" t="s">
        <v>1413</v>
      </c>
    </row>
    <row r="490" spans="1:11" x14ac:dyDescent="0.35">
      <c r="A490" s="155" t="s">
        <v>531</v>
      </c>
      <c r="B490" s="155" t="s">
        <v>1520</v>
      </c>
      <c r="C490" s="155" t="s">
        <v>734</v>
      </c>
      <c r="D490" s="155" t="s">
        <v>735</v>
      </c>
      <c r="E490" s="155" t="s">
        <v>1403</v>
      </c>
      <c r="F490" s="155" t="s">
        <v>1404</v>
      </c>
      <c r="G490" s="156">
        <v>164</v>
      </c>
      <c r="H490" s="155" t="s">
        <v>1403</v>
      </c>
      <c r="I490" s="95" t="s">
        <v>1414</v>
      </c>
      <c r="K490" s="95" t="s">
        <v>1413</v>
      </c>
    </row>
    <row r="491" spans="1:11" x14ac:dyDescent="0.35">
      <c r="A491" s="155" t="s">
        <v>985</v>
      </c>
      <c r="B491" s="155" t="s">
        <v>986</v>
      </c>
      <c r="C491" s="155" t="s">
        <v>734</v>
      </c>
      <c r="D491" s="155" t="s">
        <v>735</v>
      </c>
      <c r="E491" s="155" t="s">
        <v>1403</v>
      </c>
      <c r="F491" s="155" t="s">
        <v>1404</v>
      </c>
      <c r="G491" s="156">
        <v>164</v>
      </c>
      <c r="H491" s="155" t="s">
        <v>1403</v>
      </c>
      <c r="I491" s="95" t="s">
        <v>1414</v>
      </c>
      <c r="K491" s="95" t="s">
        <v>1416</v>
      </c>
    </row>
    <row r="492" spans="1:11" x14ac:dyDescent="0.35">
      <c r="A492" s="155" t="s">
        <v>532</v>
      </c>
      <c r="B492" s="155" t="s">
        <v>1521</v>
      </c>
      <c r="C492" s="155" t="s">
        <v>734</v>
      </c>
      <c r="D492" s="155" t="s">
        <v>735</v>
      </c>
      <c r="E492" s="155" t="s">
        <v>1403</v>
      </c>
      <c r="F492" s="155" t="s">
        <v>1404</v>
      </c>
      <c r="G492" s="156">
        <v>164</v>
      </c>
      <c r="H492" s="155" t="s">
        <v>1403</v>
      </c>
      <c r="I492" s="95" t="s">
        <v>1414</v>
      </c>
      <c r="K492" s="95" t="s">
        <v>1413</v>
      </c>
    </row>
    <row r="493" spans="1:11" x14ac:dyDescent="0.35">
      <c r="A493" s="155" t="s">
        <v>533</v>
      </c>
      <c r="B493" s="155" t="s">
        <v>1522</v>
      </c>
      <c r="C493" s="155" t="s">
        <v>734</v>
      </c>
      <c r="D493" s="155" t="s">
        <v>735</v>
      </c>
      <c r="E493" s="155" t="s">
        <v>1403</v>
      </c>
      <c r="F493" s="155" t="s">
        <v>1404</v>
      </c>
      <c r="G493" s="156">
        <v>164</v>
      </c>
      <c r="H493" s="155" t="s">
        <v>1403</v>
      </c>
      <c r="I493" s="95" t="s">
        <v>1414</v>
      </c>
      <c r="K493" s="95" t="s">
        <v>1413</v>
      </c>
    </row>
    <row r="494" spans="1:11" x14ac:dyDescent="0.35">
      <c r="A494" s="155" t="s">
        <v>1210</v>
      </c>
      <c r="B494" s="155" t="s">
        <v>1211</v>
      </c>
      <c r="C494" s="155" t="s">
        <v>734</v>
      </c>
      <c r="D494" s="155" t="s">
        <v>735</v>
      </c>
      <c r="E494" s="155" t="s">
        <v>1403</v>
      </c>
      <c r="F494" s="155" t="s">
        <v>1404</v>
      </c>
      <c r="G494" s="156">
        <v>164</v>
      </c>
      <c r="H494" s="155" t="s">
        <v>1403</v>
      </c>
      <c r="I494" s="95" t="s">
        <v>1412</v>
      </c>
      <c r="J494" s="95">
        <v>42643</v>
      </c>
      <c r="K494" s="95" t="s">
        <v>1413</v>
      </c>
    </row>
    <row r="495" spans="1:11" x14ac:dyDescent="0.35">
      <c r="A495" s="155" t="s">
        <v>534</v>
      </c>
      <c r="B495" s="155" t="s">
        <v>1523</v>
      </c>
      <c r="C495" s="155" t="s">
        <v>734</v>
      </c>
      <c r="D495" s="155" t="s">
        <v>735</v>
      </c>
      <c r="E495" s="155" t="s">
        <v>1403</v>
      </c>
      <c r="F495" s="155" t="s">
        <v>1404</v>
      </c>
      <c r="G495" s="156">
        <v>164</v>
      </c>
      <c r="H495" s="155" t="s">
        <v>1403</v>
      </c>
      <c r="I495" s="95" t="s">
        <v>1414</v>
      </c>
      <c r="K495" s="95" t="s">
        <v>1413</v>
      </c>
    </row>
    <row r="496" spans="1:11" x14ac:dyDescent="0.35">
      <c r="A496" s="155" t="s">
        <v>1212</v>
      </c>
      <c r="B496" s="155" t="s">
        <v>1213</v>
      </c>
      <c r="C496" s="155" t="s">
        <v>734</v>
      </c>
      <c r="D496" s="155" t="s">
        <v>735</v>
      </c>
      <c r="E496" s="155" t="s">
        <v>1403</v>
      </c>
      <c r="F496" s="155" t="s">
        <v>1404</v>
      </c>
      <c r="G496" s="156">
        <v>164</v>
      </c>
      <c r="H496" s="155" t="s">
        <v>1403</v>
      </c>
      <c r="I496" s="95" t="s">
        <v>1412</v>
      </c>
      <c r="J496" s="95">
        <v>42643</v>
      </c>
      <c r="K496" s="95" t="s">
        <v>1413</v>
      </c>
    </row>
    <row r="497" spans="1:11" x14ac:dyDescent="0.35">
      <c r="A497" s="155" t="s">
        <v>535</v>
      </c>
      <c r="B497" s="155" t="s">
        <v>1524</v>
      </c>
      <c r="C497" s="155" t="s">
        <v>734</v>
      </c>
      <c r="D497" s="155" t="s">
        <v>735</v>
      </c>
      <c r="E497" s="155" t="s">
        <v>1403</v>
      </c>
      <c r="F497" s="155" t="s">
        <v>1404</v>
      </c>
      <c r="G497" s="156">
        <v>164</v>
      </c>
      <c r="H497" s="155" t="s">
        <v>1403</v>
      </c>
      <c r="I497" s="95" t="s">
        <v>1414</v>
      </c>
      <c r="K497" s="95" t="s">
        <v>1413</v>
      </c>
    </row>
    <row r="498" spans="1:11" x14ac:dyDescent="0.35">
      <c r="A498" s="155" t="s">
        <v>536</v>
      </c>
      <c r="B498" s="155" t="s">
        <v>1525</v>
      </c>
      <c r="C498" s="155" t="s">
        <v>734</v>
      </c>
      <c r="D498" s="155" t="s">
        <v>735</v>
      </c>
      <c r="E498" s="155" t="s">
        <v>1403</v>
      </c>
      <c r="F498" s="155" t="s">
        <v>1404</v>
      </c>
      <c r="G498" s="156">
        <v>164</v>
      </c>
      <c r="H498" s="155" t="s">
        <v>1403</v>
      </c>
      <c r="I498" s="95" t="s">
        <v>1414</v>
      </c>
      <c r="K498" s="95" t="s">
        <v>1413</v>
      </c>
    </row>
    <row r="499" spans="1:11" x14ac:dyDescent="0.35">
      <c r="A499" s="155" t="s">
        <v>537</v>
      </c>
      <c r="B499" s="155" t="s">
        <v>1526</v>
      </c>
      <c r="C499" s="155" t="s">
        <v>734</v>
      </c>
      <c r="D499" s="155" t="s">
        <v>735</v>
      </c>
      <c r="E499" s="155" t="s">
        <v>1403</v>
      </c>
      <c r="F499" s="155" t="s">
        <v>1404</v>
      </c>
      <c r="G499" s="156">
        <v>164</v>
      </c>
      <c r="H499" s="155" t="s">
        <v>1403</v>
      </c>
      <c r="I499" s="95" t="s">
        <v>1414</v>
      </c>
      <c r="K499" s="95" t="s">
        <v>1413</v>
      </c>
    </row>
    <row r="500" spans="1:11" x14ac:dyDescent="0.35">
      <c r="A500" s="155" t="s">
        <v>538</v>
      </c>
      <c r="B500" s="155" t="s">
        <v>1527</v>
      </c>
      <c r="C500" s="155" t="s">
        <v>734</v>
      </c>
      <c r="D500" s="155" t="s">
        <v>735</v>
      </c>
      <c r="E500" s="155" t="s">
        <v>1403</v>
      </c>
      <c r="F500" s="155" t="s">
        <v>1404</v>
      </c>
      <c r="G500" s="156">
        <v>164</v>
      </c>
      <c r="H500" s="155" t="s">
        <v>1403</v>
      </c>
      <c r="I500" s="95" t="s">
        <v>1414</v>
      </c>
      <c r="K500" s="95" t="s">
        <v>1413</v>
      </c>
    </row>
    <row r="501" spans="1:11" x14ac:dyDescent="0.35">
      <c r="A501" s="155" t="s">
        <v>1214</v>
      </c>
      <c r="B501" s="155" t="s">
        <v>1215</v>
      </c>
      <c r="C501" s="155" t="s">
        <v>734</v>
      </c>
      <c r="D501" s="155" t="s">
        <v>735</v>
      </c>
      <c r="E501" s="155" t="s">
        <v>1403</v>
      </c>
      <c r="F501" s="155" t="s">
        <v>1404</v>
      </c>
      <c r="G501" s="156">
        <v>164</v>
      </c>
      <c r="H501" s="155" t="s">
        <v>1403</v>
      </c>
      <c r="I501" s="95" t="s">
        <v>1412</v>
      </c>
      <c r="J501" s="95">
        <v>42643</v>
      </c>
      <c r="K501" s="95" t="s">
        <v>1413</v>
      </c>
    </row>
    <row r="502" spans="1:11" x14ac:dyDescent="0.35">
      <c r="A502" s="155" t="s">
        <v>1216</v>
      </c>
      <c r="B502" s="155" t="s">
        <v>1217</v>
      </c>
      <c r="C502" s="155" t="s">
        <v>734</v>
      </c>
      <c r="D502" s="155" t="s">
        <v>735</v>
      </c>
      <c r="E502" s="155" t="s">
        <v>1403</v>
      </c>
      <c r="F502" s="155" t="s">
        <v>1404</v>
      </c>
      <c r="G502" s="156">
        <v>164</v>
      </c>
      <c r="H502" s="155" t="s">
        <v>1403</v>
      </c>
      <c r="I502" s="95" t="s">
        <v>1412</v>
      </c>
      <c r="J502" s="95">
        <v>42643</v>
      </c>
      <c r="K502" s="95" t="s">
        <v>1413</v>
      </c>
    </row>
    <row r="503" spans="1:11" x14ac:dyDescent="0.35">
      <c r="A503" s="155" t="s">
        <v>1218</v>
      </c>
      <c r="B503" s="155" t="s">
        <v>1219</v>
      </c>
      <c r="C503" s="155" t="s">
        <v>734</v>
      </c>
      <c r="D503" s="155" t="s">
        <v>735</v>
      </c>
      <c r="E503" s="155" t="s">
        <v>1403</v>
      </c>
      <c r="F503" s="155" t="s">
        <v>1404</v>
      </c>
      <c r="G503" s="156">
        <v>164</v>
      </c>
      <c r="H503" s="155" t="s">
        <v>1403</v>
      </c>
      <c r="I503" s="95" t="s">
        <v>1412</v>
      </c>
      <c r="J503" s="95">
        <v>42643</v>
      </c>
      <c r="K503" s="95" t="s">
        <v>1413</v>
      </c>
    </row>
    <row r="504" spans="1:11" x14ac:dyDescent="0.35">
      <c r="A504" s="155" t="s">
        <v>1220</v>
      </c>
      <c r="B504" s="155" t="s">
        <v>1221</v>
      </c>
      <c r="C504" s="155" t="s">
        <v>734</v>
      </c>
      <c r="D504" s="155" t="s">
        <v>735</v>
      </c>
      <c r="E504" s="155" t="s">
        <v>1403</v>
      </c>
      <c r="F504" s="155" t="s">
        <v>1404</v>
      </c>
      <c r="G504" s="156">
        <v>164</v>
      </c>
      <c r="H504" s="155" t="s">
        <v>1403</v>
      </c>
      <c r="I504" s="95" t="s">
        <v>1412</v>
      </c>
      <c r="J504" s="95">
        <v>42643</v>
      </c>
      <c r="K504" s="95" t="s">
        <v>1413</v>
      </c>
    </row>
    <row r="505" spans="1:11" x14ac:dyDescent="0.35">
      <c r="A505" s="155" t="s">
        <v>1222</v>
      </c>
      <c r="B505" s="155" t="s">
        <v>1223</v>
      </c>
      <c r="C505" s="155" t="s">
        <v>734</v>
      </c>
      <c r="D505" s="155" t="s">
        <v>735</v>
      </c>
      <c r="E505" s="155" t="s">
        <v>1403</v>
      </c>
      <c r="F505" s="155" t="s">
        <v>1404</v>
      </c>
      <c r="G505" s="156">
        <v>164</v>
      </c>
      <c r="H505" s="155" t="s">
        <v>1403</v>
      </c>
      <c r="I505" s="95" t="s">
        <v>1412</v>
      </c>
      <c r="J505" s="95">
        <v>42643</v>
      </c>
      <c r="K505" s="95" t="s">
        <v>1413</v>
      </c>
    </row>
    <row r="506" spans="1:11" x14ac:dyDescent="0.35">
      <c r="A506" s="155" t="s">
        <v>1224</v>
      </c>
      <c r="B506" s="155" t="s">
        <v>1225</v>
      </c>
      <c r="C506" s="155" t="s">
        <v>734</v>
      </c>
      <c r="D506" s="155" t="s">
        <v>735</v>
      </c>
      <c r="E506" s="155" t="s">
        <v>1403</v>
      </c>
      <c r="F506" s="155" t="s">
        <v>1404</v>
      </c>
      <c r="G506" s="156">
        <v>164</v>
      </c>
      <c r="H506" s="155" t="s">
        <v>1403</v>
      </c>
      <c r="I506" s="95" t="s">
        <v>1412</v>
      </c>
      <c r="J506" s="95">
        <v>42643</v>
      </c>
      <c r="K506" s="95" t="s">
        <v>1413</v>
      </c>
    </row>
    <row r="507" spans="1:11" x14ac:dyDescent="0.35">
      <c r="A507" s="155" t="s">
        <v>539</v>
      </c>
      <c r="B507" s="155" t="s">
        <v>1528</v>
      </c>
      <c r="C507" s="155" t="s">
        <v>734</v>
      </c>
      <c r="D507" s="155" t="s">
        <v>735</v>
      </c>
      <c r="E507" s="155" t="s">
        <v>1403</v>
      </c>
      <c r="F507" s="155" t="s">
        <v>1404</v>
      </c>
      <c r="G507" s="156">
        <v>164</v>
      </c>
      <c r="H507" s="155" t="s">
        <v>1403</v>
      </c>
      <c r="I507" s="95" t="s">
        <v>1414</v>
      </c>
      <c r="K507" s="95" t="s">
        <v>1413</v>
      </c>
    </row>
    <row r="508" spans="1:11" x14ac:dyDescent="0.35">
      <c r="A508" s="155" t="s">
        <v>1226</v>
      </c>
      <c r="B508" s="155" t="s">
        <v>1227</v>
      </c>
      <c r="C508" s="155" t="s">
        <v>734</v>
      </c>
      <c r="D508" s="155" t="s">
        <v>735</v>
      </c>
      <c r="E508" s="155" t="s">
        <v>1403</v>
      </c>
      <c r="F508" s="155" t="s">
        <v>1404</v>
      </c>
      <c r="G508" s="156">
        <v>164</v>
      </c>
      <c r="H508" s="155" t="s">
        <v>1403</v>
      </c>
      <c r="I508" s="95" t="s">
        <v>1412</v>
      </c>
      <c r="J508" s="95">
        <v>42643</v>
      </c>
      <c r="K508" s="95" t="s">
        <v>1413</v>
      </c>
    </row>
    <row r="509" spans="1:11" x14ac:dyDescent="0.35">
      <c r="A509" s="155" t="s">
        <v>1228</v>
      </c>
      <c r="B509" s="155" t="s">
        <v>1229</v>
      </c>
      <c r="C509" s="155" t="s">
        <v>734</v>
      </c>
      <c r="D509" s="155" t="s">
        <v>735</v>
      </c>
      <c r="E509" s="155" t="s">
        <v>1403</v>
      </c>
      <c r="F509" s="155" t="s">
        <v>1404</v>
      </c>
      <c r="G509" s="156">
        <v>164</v>
      </c>
      <c r="H509" s="155" t="s">
        <v>1403</v>
      </c>
      <c r="I509" s="95" t="s">
        <v>1412</v>
      </c>
      <c r="J509" s="95">
        <v>42643</v>
      </c>
      <c r="K509" s="95" t="s">
        <v>1413</v>
      </c>
    </row>
    <row r="510" spans="1:11" x14ac:dyDescent="0.35">
      <c r="A510" s="155" t="s">
        <v>540</v>
      </c>
      <c r="B510" s="155" t="s">
        <v>1529</v>
      </c>
      <c r="C510" s="155" t="s">
        <v>734</v>
      </c>
      <c r="D510" s="155" t="s">
        <v>735</v>
      </c>
      <c r="E510" s="155" t="s">
        <v>1403</v>
      </c>
      <c r="F510" s="155" t="s">
        <v>1404</v>
      </c>
      <c r="G510" s="156">
        <v>164</v>
      </c>
      <c r="H510" s="155" t="s">
        <v>1403</v>
      </c>
      <c r="I510" s="95" t="s">
        <v>1414</v>
      </c>
      <c r="K510" s="95" t="s">
        <v>1413</v>
      </c>
    </row>
    <row r="511" spans="1:11" x14ac:dyDescent="0.35">
      <c r="A511" s="155" t="s">
        <v>541</v>
      </c>
      <c r="B511" s="155" t="s">
        <v>1530</v>
      </c>
      <c r="C511" s="155" t="s">
        <v>734</v>
      </c>
      <c r="D511" s="155" t="s">
        <v>735</v>
      </c>
      <c r="E511" s="155" t="s">
        <v>1403</v>
      </c>
      <c r="F511" s="155" t="s">
        <v>1404</v>
      </c>
      <c r="G511" s="156">
        <v>164</v>
      </c>
      <c r="H511" s="155" t="s">
        <v>1403</v>
      </c>
      <c r="I511" s="95" t="s">
        <v>1414</v>
      </c>
      <c r="K511" s="95" t="s">
        <v>1413</v>
      </c>
    </row>
    <row r="512" spans="1:11" x14ac:dyDescent="0.35">
      <c r="A512" s="155" t="s">
        <v>542</v>
      </c>
      <c r="B512" s="155" t="s">
        <v>543</v>
      </c>
      <c r="C512" s="155" t="s">
        <v>734</v>
      </c>
      <c r="D512" s="155" t="s">
        <v>735</v>
      </c>
      <c r="E512" s="155" t="s">
        <v>1403</v>
      </c>
      <c r="F512" s="155" t="s">
        <v>1404</v>
      </c>
      <c r="G512" s="156">
        <v>164</v>
      </c>
      <c r="H512" s="155" t="s">
        <v>1403</v>
      </c>
      <c r="I512" s="95" t="s">
        <v>1414</v>
      </c>
      <c r="K512" s="95" t="s">
        <v>1413</v>
      </c>
    </row>
    <row r="513" spans="1:11" x14ac:dyDescent="0.35">
      <c r="A513" s="155" t="s">
        <v>1230</v>
      </c>
      <c r="B513" s="155" t="s">
        <v>1231</v>
      </c>
      <c r="C513" s="155" t="s">
        <v>734</v>
      </c>
      <c r="D513" s="155" t="s">
        <v>735</v>
      </c>
      <c r="E513" s="155" t="s">
        <v>1403</v>
      </c>
      <c r="F513" s="155" t="s">
        <v>1404</v>
      </c>
      <c r="G513" s="156">
        <v>164</v>
      </c>
      <c r="H513" s="155" t="s">
        <v>1403</v>
      </c>
      <c r="I513" s="95" t="s">
        <v>1412</v>
      </c>
      <c r="J513" s="95">
        <v>42643</v>
      </c>
      <c r="K513" s="95" t="s">
        <v>1413</v>
      </c>
    </row>
    <row r="514" spans="1:11" x14ac:dyDescent="0.35">
      <c r="A514" s="155" t="s">
        <v>544</v>
      </c>
      <c r="B514" s="155" t="s">
        <v>545</v>
      </c>
      <c r="C514" s="155" t="s">
        <v>734</v>
      </c>
      <c r="D514" s="155" t="s">
        <v>735</v>
      </c>
      <c r="E514" s="155" t="s">
        <v>1403</v>
      </c>
      <c r="F514" s="155" t="s">
        <v>1404</v>
      </c>
      <c r="G514" s="156">
        <v>164</v>
      </c>
      <c r="H514" s="155" t="s">
        <v>1403</v>
      </c>
      <c r="I514" s="95" t="s">
        <v>1414</v>
      </c>
      <c r="K514" s="95" t="s">
        <v>1413</v>
      </c>
    </row>
    <row r="515" spans="1:11" x14ac:dyDescent="0.35">
      <c r="A515" s="155" t="s">
        <v>1232</v>
      </c>
      <c r="B515" s="155" t="s">
        <v>1233</v>
      </c>
      <c r="C515" s="155" t="s">
        <v>734</v>
      </c>
      <c r="D515" s="155" t="s">
        <v>735</v>
      </c>
      <c r="E515" s="155" t="s">
        <v>1403</v>
      </c>
      <c r="F515" s="155" t="s">
        <v>1404</v>
      </c>
      <c r="G515" s="156">
        <v>164</v>
      </c>
      <c r="H515" s="155" t="s">
        <v>1403</v>
      </c>
      <c r="I515" s="95" t="s">
        <v>1412</v>
      </c>
      <c r="J515" s="95">
        <v>42643</v>
      </c>
      <c r="K515" s="95" t="s">
        <v>1413</v>
      </c>
    </row>
    <row r="516" spans="1:11" x14ac:dyDescent="0.35">
      <c r="A516" s="155" t="s">
        <v>1234</v>
      </c>
      <c r="B516" s="155" t="s">
        <v>1235</v>
      </c>
      <c r="C516" s="155" t="s">
        <v>734</v>
      </c>
      <c r="D516" s="155" t="s">
        <v>735</v>
      </c>
      <c r="E516" s="155" t="s">
        <v>1403</v>
      </c>
      <c r="F516" s="155" t="s">
        <v>1404</v>
      </c>
      <c r="G516" s="156">
        <v>164</v>
      </c>
      <c r="H516" s="155" t="s">
        <v>1403</v>
      </c>
      <c r="I516" s="95" t="s">
        <v>1412</v>
      </c>
      <c r="J516" s="95">
        <v>42643</v>
      </c>
      <c r="K516" s="95" t="s">
        <v>1413</v>
      </c>
    </row>
    <row r="517" spans="1:11" x14ac:dyDescent="0.35">
      <c r="A517" s="155" t="s">
        <v>1236</v>
      </c>
      <c r="B517" s="155" t="s">
        <v>1237</v>
      </c>
      <c r="C517" s="155" t="s">
        <v>734</v>
      </c>
      <c r="D517" s="155" t="s">
        <v>735</v>
      </c>
      <c r="E517" s="155" t="s">
        <v>1403</v>
      </c>
      <c r="F517" s="155" t="s">
        <v>1404</v>
      </c>
      <c r="G517" s="156">
        <v>164</v>
      </c>
      <c r="H517" s="155" t="s">
        <v>1403</v>
      </c>
      <c r="I517" s="95" t="s">
        <v>1412</v>
      </c>
      <c r="J517" s="95">
        <v>42643</v>
      </c>
      <c r="K517" s="95" t="s">
        <v>1413</v>
      </c>
    </row>
    <row r="518" spans="1:11" x14ac:dyDescent="0.35">
      <c r="A518" s="155" t="s">
        <v>1238</v>
      </c>
      <c r="B518" s="155" t="s">
        <v>1239</v>
      </c>
      <c r="C518" s="155" t="s">
        <v>734</v>
      </c>
      <c r="D518" s="155" t="s">
        <v>735</v>
      </c>
      <c r="E518" s="155" t="s">
        <v>1403</v>
      </c>
      <c r="F518" s="155" t="s">
        <v>1404</v>
      </c>
      <c r="G518" s="156">
        <v>164</v>
      </c>
      <c r="H518" s="155" t="s">
        <v>1403</v>
      </c>
      <c r="I518" s="95" t="s">
        <v>1412</v>
      </c>
      <c r="J518" s="95">
        <v>42643</v>
      </c>
      <c r="K518" s="95" t="s">
        <v>1413</v>
      </c>
    </row>
    <row r="519" spans="1:11" x14ac:dyDescent="0.35">
      <c r="A519" s="155" t="s">
        <v>1240</v>
      </c>
      <c r="B519" s="155" t="s">
        <v>1241</v>
      </c>
      <c r="C519" s="155" t="s">
        <v>734</v>
      </c>
      <c r="D519" s="155" t="s">
        <v>735</v>
      </c>
      <c r="E519" s="155" t="s">
        <v>1403</v>
      </c>
      <c r="F519" s="155" t="s">
        <v>1404</v>
      </c>
      <c r="G519" s="156">
        <v>164</v>
      </c>
      <c r="H519" s="155" t="s">
        <v>1403</v>
      </c>
      <c r="I519" s="95" t="s">
        <v>1412</v>
      </c>
      <c r="J519" s="95">
        <v>42643</v>
      </c>
      <c r="K519" s="95" t="s">
        <v>1413</v>
      </c>
    </row>
    <row r="520" spans="1:11" x14ac:dyDescent="0.35">
      <c r="A520" s="155" t="s">
        <v>1242</v>
      </c>
      <c r="B520" s="155" t="s">
        <v>1243</v>
      </c>
      <c r="C520" s="155" t="s">
        <v>734</v>
      </c>
      <c r="D520" s="155" t="s">
        <v>735</v>
      </c>
      <c r="E520" s="155" t="s">
        <v>1403</v>
      </c>
      <c r="F520" s="155" t="s">
        <v>1404</v>
      </c>
      <c r="G520" s="156">
        <v>164</v>
      </c>
      <c r="H520" s="155" t="s">
        <v>1403</v>
      </c>
      <c r="I520" s="95" t="s">
        <v>1412</v>
      </c>
      <c r="J520" s="95">
        <v>42643</v>
      </c>
      <c r="K520" s="95" t="s">
        <v>1413</v>
      </c>
    </row>
    <row r="521" spans="1:11" x14ac:dyDescent="0.35">
      <c r="A521" s="155" t="s">
        <v>1244</v>
      </c>
      <c r="B521" s="155" t="s">
        <v>1245</v>
      </c>
      <c r="C521" s="155" t="s">
        <v>734</v>
      </c>
      <c r="D521" s="155" t="s">
        <v>735</v>
      </c>
      <c r="E521" s="155" t="s">
        <v>1403</v>
      </c>
      <c r="F521" s="155" t="s">
        <v>1404</v>
      </c>
      <c r="G521" s="156">
        <v>164</v>
      </c>
      <c r="H521" s="155" t="s">
        <v>1403</v>
      </c>
      <c r="I521" s="95" t="s">
        <v>1412</v>
      </c>
      <c r="J521" s="95">
        <v>42643</v>
      </c>
      <c r="K521" s="95" t="s">
        <v>1413</v>
      </c>
    </row>
    <row r="522" spans="1:11" x14ac:dyDescent="0.35">
      <c r="A522" s="155" t="s">
        <v>1246</v>
      </c>
      <c r="B522" s="155" t="s">
        <v>1247</v>
      </c>
      <c r="C522" s="155" t="s">
        <v>734</v>
      </c>
      <c r="D522" s="155" t="s">
        <v>735</v>
      </c>
      <c r="E522" s="155" t="s">
        <v>1403</v>
      </c>
      <c r="F522" s="155" t="s">
        <v>1404</v>
      </c>
      <c r="G522" s="156">
        <v>164</v>
      </c>
      <c r="H522" s="155" t="s">
        <v>1403</v>
      </c>
      <c r="I522" s="95" t="s">
        <v>1412</v>
      </c>
      <c r="J522" s="95">
        <v>42643</v>
      </c>
      <c r="K522" s="95" t="s">
        <v>1413</v>
      </c>
    </row>
    <row r="523" spans="1:11" x14ac:dyDescent="0.35">
      <c r="A523" s="155" t="s">
        <v>546</v>
      </c>
      <c r="B523" s="155" t="s">
        <v>1531</v>
      </c>
      <c r="C523" s="155" t="s">
        <v>734</v>
      </c>
      <c r="D523" s="155" t="s">
        <v>735</v>
      </c>
      <c r="E523" s="155" t="s">
        <v>1403</v>
      </c>
      <c r="F523" s="155" t="s">
        <v>1404</v>
      </c>
      <c r="G523" s="156">
        <v>164</v>
      </c>
      <c r="H523" s="155" t="s">
        <v>1403</v>
      </c>
      <c r="I523" s="95" t="s">
        <v>1414</v>
      </c>
      <c r="K523" s="95" t="s">
        <v>1413</v>
      </c>
    </row>
    <row r="524" spans="1:11" x14ac:dyDescent="0.35">
      <c r="A524" s="155" t="s">
        <v>547</v>
      </c>
      <c r="B524" s="155" t="s">
        <v>1532</v>
      </c>
      <c r="C524" s="155" t="s">
        <v>734</v>
      </c>
      <c r="D524" s="155" t="s">
        <v>735</v>
      </c>
      <c r="E524" s="155" t="s">
        <v>1403</v>
      </c>
      <c r="F524" s="155" t="s">
        <v>1404</v>
      </c>
      <c r="G524" s="156">
        <v>164</v>
      </c>
      <c r="H524" s="155" t="s">
        <v>1403</v>
      </c>
      <c r="I524" s="95" t="s">
        <v>1414</v>
      </c>
      <c r="K524" s="95" t="s">
        <v>1413</v>
      </c>
    </row>
    <row r="525" spans="1:11" x14ac:dyDescent="0.35">
      <c r="A525" s="155" t="s">
        <v>987</v>
      </c>
      <c r="B525" s="155" t="s">
        <v>988</v>
      </c>
      <c r="C525" s="155" t="s">
        <v>734</v>
      </c>
      <c r="D525" s="155" t="s">
        <v>735</v>
      </c>
      <c r="E525" s="155" t="s">
        <v>1403</v>
      </c>
      <c r="F525" s="155" t="s">
        <v>1404</v>
      </c>
      <c r="G525" s="156">
        <v>164</v>
      </c>
      <c r="H525" s="155" t="s">
        <v>1403</v>
      </c>
      <c r="I525" s="95" t="s">
        <v>1414</v>
      </c>
      <c r="K525" s="95" t="s">
        <v>1416</v>
      </c>
    </row>
    <row r="526" spans="1:11" x14ac:dyDescent="0.35">
      <c r="A526" s="155" t="s">
        <v>1248</v>
      </c>
      <c r="B526" s="155" t="s">
        <v>1249</v>
      </c>
      <c r="C526" s="155" t="s">
        <v>734</v>
      </c>
      <c r="D526" s="155" t="s">
        <v>735</v>
      </c>
      <c r="E526" s="155" t="s">
        <v>1403</v>
      </c>
      <c r="F526" s="155" t="s">
        <v>1404</v>
      </c>
      <c r="G526" s="156">
        <v>164</v>
      </c>
      <c r="H526" s="155" t="s">
        <v>1403</v>
      </c>
      <c r="I526" s="95" t="s">
        <v>1412</v>
      </c>
      <c r="J526" s="95">
        <v>42643</v>
      </c>
      <c r="K526" s="95" t="s">
        <v>1413</v>
      </c>
    </row>
    <row r="527" spans="1:11" x14ac:dyDescent="0.35">
      <c r="A527" s="155" t="s">
        <v>1250</v>
      </c>
      <c r="B527" s="155" t="s">
        <v>1251</v>
      </c>
      <c r="C527" s="155" t="s">
        <v>734</v>
      </c>
      <c r="D527" s="155" t="s">
        <v>735</v>
      </c>
      <c r="E527" s="155" t="s">
        <v>1403</v>
      </c>
      <c r="F527" s="155" t="s">
        <v>1404</v>
      </c>
      <c r="G527" s="156">
        <v>164</v>
      </c>
      <c r="H527" s="155" t="s">
        <v>1403</v>
      </c>
      <c r="I527" s="95" t="s">
        <v>1412</v>
      </c>
      <c r="J527" s="95">
        <v>42643</v>
      </c>
      <c r="K527" s="95" t="s">
        <v>1413</v>
      </c>
    </row>
    <row r="528" spans="1:11" x14ac:dyDescent="0.35">
      <c r="A528" s="155" t="s">
        <v>1252</v>
      </c>
      <c r="B528" s="155" t="s">
        <v>1253</v>
      </c>
      <c r="C528" s="155" t="s">
        <v>734</v>
      </c>
      <c r="D528" s="155" t="s">
        <v>735</v>
      </c>
      <c r="E528" s="155" t="s">
        <v>1403</v>
      </c>
      <c r="F528" s="155" t="s">
        <v>1404</v>
      </c>
      <c r="G528" s="156">
        <v>164</v>
      </c>
      <c r="H528" s="155" t="s">
        <v>1403</v>
      </c>
      <c r="I528" s="95" t="s">
        <v>1412</v>
      </c>
      <c r="J528" s="95">
        <v>42643</v>
      </c>
      <c r="K528" s="95" t="s">
        <v>1413</v>
      </c>
    </row>
    <row r="529" spans="1:11" x14ac:dyDescent="0.35">
      <c r="A529" s="155" t="s">
        <v>548</v>
      </c>
      <c r="B529" s="155" t="s">
        <v>1533</v>
      </c>
      <c r="C529" s="155" t="s">
        <v>734</v>
      </c>
      <c r="D529" s="155" t="s">
        <v>735</v>
      </c>
      <c r="E529" s="155" t="s">
        <v>1403</v>
      </c>
      <c r="F529" s="155" t="s">
        <v>1404</v>
      </c>
      <c r="G529" s="156">
        <v>164</v>
      </c>
      <c r="H529" s="155" t="s">
        <v>1403</v>
      </c>
      <c r="I529" s="95" t="s">
        <v>1414</v>
      </c>
      <c r="K529" s="95" t="s">
        <v>1413</v>
      </c>
    </row>
    <row r="530" spans="1:11" x14ac:dyDescent="0.35">
      <c r="A530" s="155" t="s">
        <v>549</v>
      </c>
      <c r="B530" s="155" t="s">
        <v>1534</v>
      </c>
      <c r="C530" s="155" t="s">
        <v>734</v>
      </c>
      <c r="D530" s="155" t="s">
        <v>735</v>
      </c>
      <c r="E530" s="155" t="s">
        <v>1403</v>
      </c>
      <c r="F530" s="155" t="s">
        <v>1404</v>
      </c>
      <c r="G530" s="156">
        <v>164</v>
      </c>
      <c r="H530" s="155" t="s">
        <v>1403</v>
      </c>
      <c r="I530" s="95" t="s">
        <v>1414</v>
      </c>
      <c r="K530" s="95" t="s">
        <v>1413</v>
      </c>
    </row>
    <row r="531" spans="1:11" x14ac:dyDescent="0.35">
      <c r="A531" s="155" t="s">
        <v>550</v>
      </c>
      <c r="B531" s="155" t="s">
        <v>1535</v>
      </c>
      <c r="C531" s="155" t="s">
        <v>734</v>
      </c>
      <c r="D531" s="155" t="s">
        <v>735</v>
      </c>
      <c r="E531" s="155" t="s">
        <v>1403</v>
      </c>
      <c r="F531" s="155" t="s">
        <v>1404</v>
      </c>
      <c r="G531" s="156">
        <v>164</v>
      </c>
      <c r="H531" s="155" t="s">
        <v>1403</v>
      </c>
      <c r="I531" s="95" t="s">
        <v>1414</v>
      </c>
      <c r="K531" s="95" t="s">
        <v>1413</v>
      </c>
    </row>
    <row r="532" spans="1:11" x14ac:dyDescent="0.35">
      <c r="A532" s="155" t="s">
        <v>551</v>
      </c>
      <c r="B532" s="155" t="s">
        <v>1536</v>
      </c>
      <c r="C532" s="155" t="s">
        <v>734</v>
      </c>
      <c r="D532" s="155" t="s">
        <v>735</v>
      </c>
      <c r="E532" s="155" t="s">
        <v>1403</v>
      </c>
      <c r="F532" s="155" t="s">
        <v>1404</v>
      </c>
      <c r="G532" s="156">
        <v>164</v>
      </c>
      <c r="H532" s="155" t="s">
        <v>1403</v>
      </c>
      <c r="I532" s="95" t="s">
        <v>1414</v>
      </c>
      <c r="K532" s="95" t="s">
        <v>1413</v>
      </c>
    </row>
    <row r="533" spans="1:11" x14ac:dyDescent="0.35">
      <c r="A533" s="155" t="s">
        <v>552</v>
      </c>
      <c r="B533" s="155" t="s">
        <v>1537</v>
      </c>
      <c r="C533" s="155" t="s">
        <v>734</v>
      </c>
      <c r="D533" s="155" t="s">
        <v>735</v>
      </c>
      <c r="E533" s="155" t="s">
        <v>1403</v>
      </c>
      <c r="F533" s="155" t="s">
        <v>1404</v>
      </c>
      <c r="G533" s="156">
        <v>164</v>
      </c>
      <c r="H533" s="155" t="s">
        <v>1403</v>
      </c>
      <c r="I533" s="95" t="s">
        <v>1414</v>
      </c>
      <c r="K533" s="95" t="s">
        <v>1413</v>
      </c>
    </row>
    <row r="534" spans="1:11" x14ac:dyDescent="0.35">
      <c r="A534" s="155" t="s">
        <v>553</v>
      </c>
      <c r="B534" s="155" t="s">
        <v>1538</v>
      </c>
      <c r="C534" s="155" t="s">
        <v>734</v>
      </c>
      <c r="D534" s="155" t="s">
        <v>735</v>
      </c>
      <c r="E534" s="155" t="s">
        <v>1403</v>
      </c>
      <c r="F534" s="155" t="s">
        <v>1404</v>
      </c>
      <c r="G534" s="156">
        <v>164</v>
      </c>
      <c r="H534" s="155" t="s">
        <v>1403</v>
      </c>
      <c r="I534" s="95" t="s">
        <v>1414</v>
      </c>
      <c r="K534" s="95" t="s">
        <v>1413</v>
      </c>
    </row>
    <row r="535" spans="1:11" x14ac:dyDescent="0.35">
      <c r="A535" s="155" t="s">
        <v>1254</v>
      </c>
      <c r="B535" s="155" t="s">
        <v>1255</v>
      </c>
      <c r="C535" s="155" t="s">
        <v>734</v>
      </c>
      <c r="D535" s="155" t="s">
        <v>735</v>
      </c>
      <c r="E535" s="155" t="s">
        <v>1403</v>
      </c>
      <c r="F535" s="155" t="s">
        <v>1404</v>
      </c>
      <c r="G535" s="156">
        <v>164</v>
      </c>
      <c r="H535" s="155" t="s">
        <v>1403</v>
      </c>
      <c r="I535" s="95" t="s">
        <v>1412</v>
      </c>
      <c r="J535" s="95">
        <v>42643</v>
      </c>
      <c r="K535" s="95" t="s">
        <v>1413</v>
      </c>
    </row>
    <row r="536" spans="1:11" x14ac:dyDescent="0.35">
      <c r="A536" s="155" t="s">
        <v>1256</v>
      </c>
      <c r="B536" s="155" t="s">
        <v>1257</v>
      </c>
      <c r="C536" s="155" t="s">
        <v>734</v>
      </c>
      <c r="D536" s="155" t="s">
        <v>735</v>
      </c>
      <c r="E536" s="155" t="s">
        <v>1403</v>
      </c>
      <c r="F536" s="155" t="s">
        <v>1404</v>
      </c>
      <c r="G536" s="156">
        <v>164</v>
      </c>
      <c r="H536" s="155" t="s">
        <v>1403</v>
      </c>
      <c r="I536" s="95" t="s">
        <v>1412</v>
      </c>
      <c r="J536" s="95">
        <v>42643</v>
      </c>
      <c r="K536" s="95" t="s">
        <v>1413</v>
      </c>
    </row>
    <row r="537" spans="1:11" x14ac:dyDescent="0.35">
      <c r="A537" s="155" t="s">
        <v>1258</v>
      </c>
      <c r="B537" s="155" t="s">
        <v>1259</v>
      </c>
      <c r="C537" s="155" t="s">
        <v>734</v>
      </c>
      <c r="D537" s="155" t="s">
        <v>735</v>
      </c>
      <c r="E537" s="155" t="s">
        <v>1403</v>
      </c>
      <c r="F537" s="155" t="s">
        <v>1404</v>
      </c>
      <c r="G537" s="156">
        <v>164</v>
      </c>
      <c r="H537" s="155" t="s">
        <v>1403</v>
      </c>
      <c r="I537" s="95" t="s">
        <v>1412</v>
      </c>
      <c r="J537" s="95">
        <v>42643</v>
      </c>
      <c r="K537" s="95" t="s">
        <v>1413</v>
      </c>
    </row>
    <row r="538" spans="1:11" x14ac:dyDescent="0.35">
      <c r="A538" s="155" t="s">
        <v>1260</v>
      </c>
      <c r="B538" s="155" t="s">
        <v>1261</v>
      </c>
      <c r="C538" s="155" t="s">
        <v>734</v>
      </c>
      <c r="D538" s="155" t="s">
        <v>735</v>
      </c>
      <c r="E538" s="155" t="s">
        <v>1403</v>
      </c>
      <c r="F538" s="155" t="s">
        <v>1404</v>
      </c>
      <c r="G538" s="156">
        <v>164</v>
      </c>
      <c r="H538" s="155" t="s">
        <v>1403</v>
      </c>
      <c r="I538" s="95" t="s">
        <v>1412</v>
      </c>
      <c r="J538" s="95">
        <v>42643</v>
      </c>
      <c r="K538" s="95" t="s">
        <v>1413</v>
      </c>
    </row>
    <row r="539" spans="1:11" x14ac:dyDescent="0.35">
      <c r="A539" s="155" t="s">
        <v>1262</v>
      </c>
      <c r="B539" s="155" t="s">
        <v>1263</v>
      </c>
      <c r="C539" s="155" t="s">
        <v>734</v>
      </c>
      <c r="D539" s="155" t="s">
        <v>735</v>
      </c>
      <c r="E539" s="155" t="s">
        <v>1403</v>
      </c>
      <c r="F539" s="155" t="s">
        <v>1404</v>
      </c>
      <c r="G539" s="156">
        <v>164</v>
      </c>
      <c r="H539" s="155" t="s">
        <v>1403</v>
      </c>
      <c r="I539" s="95" t="s">
        <v>1412</v>
      </c>
      <c r="J539" s="95">
        <v>42643</v>
      </c>
      <c r="K539" s="95" t="s">
        <v>1413</v>
      </c>
    </row>
    <row r="540" spans="1:11" x14ac:dyDescent="0.35">
      <c r="A540" s="155" t="s">
        <v>1264</v>
      </c>
      <c r="B540" s="155" t="s">
        <v>1265</v>
      </c>
      <c r="C540" s="155" t="s">
        <v>734</v>
      </c>
      <c r="D540" s="155" t="s">
        <v>735</v>
      </c>
      <c r="E540" s="155" t="s">
        <v>1403</v>
      </c>
      <c r="F540" s="155" t="s">
        <v>1404</v>
      </c>
      <c r="G540" s="156">
        <v>164</v>
      </c>
      <c r="H540" s="155" t="s">
        <v>1403</v>
      </c>
      <c r="I540" s="95" t="s">
        <v>1412</v>
      </c>
      <c r="J540" s="95">
        <v>42643</v>
      </c>
      <c r="K540" s="95" t="s">
        <v>1413</v>
      </c>
    </row>
    <row r="541" spans="1:11" x14ac:dyDescent="0.35">
      <c r="A541" s="155" t="s">
        <v>1266</v>
      </c>
      <c r="B541" s="155" t="s">
        <v>1267</v>
      </c>
      <c r="C541" s="155" t="s">
        <v>734</v>
      </c>
      <c r="D541" s="155" t="s">
        <v>735</v>
      </c>
      <c r="E541" s="155" t="s">
        <v>1403</v>
      </c>
      <c r="F541" s="155" t="s">
        <v>1404</v>
      </c>
      <c r="G541" s="156">
        <v>164</v>
      </c>
      <c r="H541" s="155" t="s">
        <v>1403</v>
      </c>
      <c r="I541" s="95" t="s">
        <v>1412</v>
      </c>
      <c r="J541" s="95">
        <v>42643</v>
      </c>
      <c r="K541" s="95" t="s">
        <v>1413</v>
      </c>
    </row>
    <row r="542" spans="1:11" x14ac:dyDescent="0.35">
      <c r="A542" s="155" t="s">
        <v>1268</v>
      </c>
      <c r="B542" s="155" t="s">
        <v>1269</v>
      </c>
      <c r="C542" s="155" t="s">
        <v>734</v>
      </c>
      <c r="D542" s="155" t="s">
        <v>735</v>
      </c>
      <c r="E542" s="155" t="s">
        <v>1403</v>
      </c>
      <c r="F542" s="155" t="s">
        <v>1404</v>
      </c>
      <c r="G542" s="156">
        <v>164</v>
      </c>
      <c r="H542" s="155" t="s">
        <v>1403</v>
      </c>
      <c r="I542" s="95" t="s">
        <v>1412</v>
      </c>
      <c r="J542" s="95">
        <v>42643</v>
      </c>
      <c r="K542" s="95" t="s">
        <v>1413</v>
      </c>
    </row>
    <row r="543" spans="1:11" x14ac:dyDescent="0.35">
      <c r="A543" s="155" t="s">
        <v>1270</v>
      </c>
      <c r="B543" s="155" t="s">
        <v>1271</v>
      </c>
      <c r="C543" s="155" t="s">
        <v>734</v>
      </c>
      <c r="D543" s="155" t="s">
        <v>735</v>
      </c>
      <c r="E543" s="155" t="s">
        <v>1403</v>
      </c>
      <c r="F543" s="155" t="s">
        <v>1404</v>
      </c>
      <c r="G543" s="156">
        <v>164</v>
      </c>
      <c r="H543" s="155" t="s">
        <v>1403</v>
      </c>
      <c r="I543" s="95" t="s">
        <v>1412</v>
      </c>
      <c r="J543" s="95">
        <v>42643</v>
      </c>
      <c r="K543" s="95" t="s">
        <v>1413</v>
      </c>
    </row>
    <row r="544" spans="1:11" x14ac:dyDescent="0.35">
      <c r="A544" s="155" t="s">
        <v>1272</v>
      </c>
      <c r="B544" s="155" t="s">
        <v>1273</v>
      </c>
      <c r="C544" s="155" t="s">
        <v>734</v>
      </c>
      <c r="D544" s="155" t="s">
        <v>735</v>
      </c>
      <c r="E544" s="155" t="s">
        <v>1403</v>
      </c>
      <c r="F544" s="155" t="s">
        <v>1404</v>
      </c>
      <c r="G544" s="156">
        <v>164</v>
      </c>
      <c r="H544" s="155" t="s">
        <v>1403</v>
      </c>
      <c r="I544" s="95" t="s">
        <v>1412</v>
      </c>
      <c r="J544" s="95">
        <v>42643</v>
      </c>
      <c r="K544" s="95" t="s">
        <v>1413</v>
      </c>
    </row>
    <row r="545" spans="1:11" x14ac:dyDescent="0.35">
      <c r="A545" s="155" t="s">
        <v>1274</v>
      </c>
      <c r="B545" s="155" t="s">
        <v>1275</v>
      </c>
      <c r="C545" s="155" t="s">
        <v>734</v>
      </c>
      <c r="D545" s="155" t="s">
        <v>735</v>
      </c>
      <c r="E545" s="155" t="s">
        <v>1403</v>
      </c>
      <c r="F545" s="155" t="s">
        <v>1404</v>
      </c>
      <c r="G545" s="156">
        <v>164</v>
      </c>
      <c r="H545" s="155" t="s">
        <v>1403</v>
      </c>
      <c r="I545" s="95" t="s">
        <v>1412</v>
      </c>
      <c r="J545" s="95">
        <v>42643</v>
      </c>
      <c r="K545" s="95" t="s">
        <v>1413</v>
      </c>
    </row>
    <row r="546" spans="1:11" x14ac:dyDescent="0.35">
      <c r="A546" s="155" t="s">
        <v>554</v>
      </c>
      <c r="B546" s="155" t="s">
        <v>555</v>
      </c>
      <c r="C546" s="155" t="s">
        <v>41</v>
      </c>
      <c r="D546" s="155" t="s">
        <v>42</v>
      </c>
      <c r="E546" s="155" t="s">
        <v>1401</v>
      </c>
      <c r="F546" s="155" t="s">
        <v>1402</v>
      </c>
      <c r="G546" s="156">
        <v>25</v>
      </c>
      <c r="H546" s="155" t="s">
        <v>1401</v>
      </c>
      <c r="I546" s="95" t="s">
        <v>1414</v>
      </c>
      <c r="K546" s="95" t="s">
        <v>1413</v>
      </c>
    </row>
    <row r="547" spans="1:11" x14ac:dyDescent="0.35">
      <c r="A547" s="155" t="s">
        <v>556</v>
      </c>
      <c r="B547" s="155" t="s">
        <v>557</v>
      </c>
      <c r="C547" s="155" t="s">
        <v>41</v>
      </c>
      <c r="D547" s="155" t="s">
        <v>42</v>
      </c>
      <c r="E547" s="155" t="s">
        <v>1401</v>
      </c>
      <c r="F547" s="155" t="s">
        <v>1402</v>
      </c>
      <c r="G547" s="156">
        <v>25</v>
      </c>
      <c r="H547" s="155" t="s">
        <v>1401</v>
      </c>
      <c r="I547" s="95" t="s">
        <v>1414</v>
      </c>
      <c r="K547" s="95" t="s">
        <v>1413</v>
      </c>
    </row>
    <row r="548" spans="1:11" x14ac:dyDescent="0.35">
      <c r="A548" s="155" t="s">
        <v>558</v>
      </c>
      <c r="B548" s="155" t="s">
        <v>559</v>
      </c>
      <c r="C548" s="155" t="s">
        <v>41</v>
      </c>
      <c r="D548" s="155" t="s">
        <v>42</v>
      </c>
      <c r="E548" s="155" t="s">
        <v>1401</v>
      </c>
      <c r="F548" s="155" t="s">
        <v>1402</v>
      </c>
      <c r="G548" s="156">
        <v>25</v>
      </c>
      <c r="H548" s="155" t="s">
        <v>1401</v>
      </c>
      <c r="I548" s="95" t="s">
        <v>1414</v>
      </c>
      <c r="K548" s="95" t="s">
        <v>1413</v>
      </c>
    </row>
    <row r="549" spans="1:11" x14ac:dyDescent="0.35">
      <c r="A549" s="155" t="s">
        <v>560</v>
      </c>
      <c r="B549" s="155" t="s">
        <v>561</v>
      </c>
      <c r="C549" s="155" t="s">
        <v>41</v>
      </c>
      <c r="D549" s="155" t="s">
        <v>42</v>
      </c>
      <c r="E549" s="155" t="s">
        <v>1401</v>
      </c>
      <c r="F549" s="155" t="s">
        <v>1402</v>
      </c>
      <c r="G549" s="156">
        <v>25</v>
      </c>
      <c r="H549" s="155" t="s">
        <v>1401</v>
      </c>
      <c r="I549" s="95" t="s">
        <v>1414</v>
      </c>
      <c r="K549" s="95" t="s">
        <v>1413</v>
      </c>
    </row>
    <row r="550" spans="1:11" x14ac:dyDescent="0.35">
      <c r="A550" s="155" t="s">
        <v>562</v>
      </c>
      <c r="B550" s="155" t="s">
        <v>563</v>
      </c>
      <c r="C550" s="155" t="s">
        <v>41</v>
      </c>
      <c r="D550" s="155" t="s">
        <v>42</v>
      </c>
      <c r="E550" s="155" t="s">
        <v>1401</v>
      </c>
      <c r="F550" s="155" t="s">
        <v>1402</v>
      </c>
      <c r="G550" s="156">
        <v>25</v>
      </c>
      <c r="H550" s="155" t="s">
        <v>1401</v>
      </c>
      <c r="I550" s="95" t="s">
        <v>1414</v>
      </c>
      <c r="K550" s="95" t="s">
        <v>1413</v>
      </c>
    </row>
    <row r="551" spans="1:11" x14ac:dyDescent="0.35">
      <c r="A551" s="155" t="s">
        <v>564</v>
      </c>
      <c r="B551" s="155" t="s">
        <v>565</v>
      </c>
      <c r="C551" s="155" t="s">
        <v>41</v>
      </c>
      <c r="D551" s="155" t="s">
        <v>42</v>
      </c>
      <c r="E551" s="155" t="s">
        <v>1401</v>
      </c>
      <c r="F551" s="155" t="s">
        <v>1402</v>
      </c>
      <c r="G551" s="156">
        <v>25</v>
      </c>
      <c r="H551" s="155" t="s">
        <v>1401</v>
      </c>
      <c r="I551" s="95" t="s">
        <v>1414</v>
      </c>
      <c r="K551" s="95" t="s">
        <v>1413</v>
      </c>
    </row>
    <row r="552" spans="1:11" x14ac:dyDescent="0.35">
      <c r="A552" s="155" t="s">
        <v>566</v>
      </c>
      <c r="B552" s="155" t="s">
        <v>567</v>
      </c>
      <c r="C552" s="155" t="s">
        <v>41</v>
      </c>
      <c r="D552" s="155" t="s">
        <v>42</v>
      </c>
      <c r="E552" s="155" t="s">
        <v>1401</v>
      </c>
      <c r="F552" s="155" t="s">
        <v>1402</v>
      </c>
      <c r="G552" s="156">
        <v>25</v>
      </c>
      <c r="H552" s="155" t="s">
        <v>1401</v>
      </c>
      <c r="I552" s="95" t="s">
        <v>1414</v>
      </c>
      <c r="K552" s="95" t="s">
        <v>1413</v>
      </c>
    </row>
    <row r="553" spans="1:11" x14ac:dyDescent="0.35">
      <c r="A553" s="155" t="s">
        <v>568</v>
      </c>
      <c r="B553" s="155" t="s">
        <v>569</v>
      </c>
      <c r="C553" s="155" t="s">
        <v>41</v>
      </c>
      <c r="D553" s="155" t="s">
        <v>42</v>
      </c>
      <c r="E553" s="155" t="s">
        <v>1401</v>
      </c>
      <c r="F553" s="155" t="s">
        <v>1402</v>
      </c>
      <c r="G553" s="156">
        <v>25</v>
      </c>
      <c r="H553" s="155" t="s">
        <v>1401</v>
      </c>
      <c r="I553" s="95" t="s">
        <v>1414</v>
      </c>
      <c r="K553" s="95" t="s">
        <v>1413</v>
      </c>
    </row>
    <row r="554" spans="1:11" x14ac:dyDescent="0.35">
      <c r="A554" s="155" t="s">
        <v>570</v>
      </c>
      <c r="B554" s="155" t="s">
        <v>571</v>
      </c>
      <c r="C554" s="155" t="s">
        <v>41</v>
      </c>
      <c r="D554" s="155" t="s">
        <v>42</v>
      </c>
      <c r="E554" s="155" t="s">
        <v>1401</v>
      </c>
      <c r="F554" s="155" t="s">
        <v>1402</v>
      </c>
      <c r="G554" s="156">
        <v>25</v>
      </c>
      <c r="H554" s="155" t="s">
        <v>1401</v>
      </c>
      <c r="I554" s="95" t="s">
        <v>1414</v>
      </c>
      <c r="K554" s="95" t="s">
        <v>1413</v>
      </c>
    </row>
    <row r="555" spans="1:11" x14ac:dyDescent="0.35">
      <c r="A555" s="155" t="s">
        <v>572</v>
      </c>
      <c r="B555" s="155" t="s">
        <v>573</v>
      </c>
      <c r="C555" s="155" t="s">
        <v>41</v>
      </c>
      <c r="D555" s="155" t="s">
        <v>42</v>
      </c>
      <c r="E555" s="155" t="s">
        <v>1401</v>
      </c>
      <c r="F555" s="155" t="s">
        <v>1402</v>
      </c>
      <c r="G555" s="156">
        <v>25</v>
      </c>
      <c r="H555" s="155" t="s">
        <v>1401</v>
      </c>
      <c r="I555" s="95" t="s">
        <v>1414</v>
      </c>
      <c r="K555" s="95" t="s">
        <v>1413</v>
      </c>
    </row>
    <row r="556" spans="1:11" x14ac:dyDescent="0.35">
      <c r="A556" s="155" t="s">
        <v>574</v>
      </c>
      <c r="B556" s="155" t="s">
        <v>575</v>
      </c>
      <c r="C556" s="155" t="s">
        <v>41</v>
      </c>
      <c r="D556" s="155" t="s">
        <v>42</v>
      </c>
      <c r="E556" s="155" t="s">
        <v>1401</v>
      </c>
      <c r="F556" s="155" t="s">
        <v>1402</v>
      </c>
      <c r="G556" s="156">
        <v>25</v>
      </c>
      <c r="H556" s="155" t="s">
        <v>1401</v>
      </c>
      <c r="I556" s="95" t="s">
        <v>1414</v>
      </c>
      <c r="K556" s="95" t="s">
        <v>1413</v>
      </c>
    </row>
    <row r="557" spans="1:11" x14ac:dyDescent="0.35">
      <c r="A557" s="155" t="s">
        <v>576</v>
      </c>
      <c r="B557" s="155" t="s">
        <v>577</v>
      </c>
      <c r="C557" s="155" t="s">
        <v>41</v>
      </c>
      <c r="D557" s="155" t="s">
        <v>42</v>
      </c>
      <c r="E557" s="155" t="s">
        <v>1401</v>
      </c>
      <c r="F557" s="155" t="s">
        <v>1402</v>
      </c>
      <c r="G557" s="156">
        <v>25</v>
      </c>
      <c r="H557" s="155" t="s">
        <v>1401</v>
      </c>
      <c r="I557" s="95" t="s">
        <v>1414</v>
      </c>
      <c r="K557" s="95" t="s">
        <v>1413</v>
      </c>
    </row>
    <row r="558" spans="1:11" x14ac:dyDescent="0.35">
      <c r="A558" s="155" t="s">
        <v>578</v>
      </c>
      <c r="B558" s="155" t="s">
        <v>579</v>
      </c>
      <c r="C558" s="155" t="s">
        <v>41</v>
      </c>
      <c r="D558" s="155" t="s">
        <v>42</v>
      </c>
      <c r="E558" s="155" t="s">
        <v>1401</v>
      </c>
      <c r="F558" s="155" t="s">
        <v>1402</v>
      </c>
      <c r="G558" s="156">
        <v>25</v>
      </c>
      <c r="H558" s="155" t="s">
        <v>1401</v>
      </c>
      <c r="I558" s="95" t="s">
        <v>1414</v>
      </c>
      <c r="K558" s="95" t="s">
        <v>1413</v>
      </c>
    </row>
    <row r="559" spans="1:11" x14ac:dyDescent="0.35">
      <c r="A559" s="155" t="s">
        <v>580</v>
      </c>
      <c r="B559" s="155" t="s">
        <v>581</v>
      </c>
      <c r="C559" s="155" t="s">
        <v>41</v>
      </c>
      <c r="D559" s="155" t="s">
        <v>42</v>
      </c>
      <c r="E559" s="155" t="s">
        <v>1401</v>
      </c>
      <c r="F559" s="155" t="s">
        <v>1402</v>
      </c>
      <c r="G559" s="156">
        <v>25</v>
      </c>
      <c r="H559" s="155" t="s">
        <v>1401</v>
      </c>
      <c r="I559" s="95" t="s">
        <v>1414</v>
      </c>
      <c r="K559" s="95" t="s">
        <v>1413</v>
      </c>
    </row>
    <row r="560" spans="1:11" x14ac:dyDescent="0.35">
      <c r="A560" s="155" t="s">
        <v>582</v>
      </c>
      <c r="B560" s="155" t="s">
        <v>583</v>
      </c>
      <c r="C560" s="155" t="s">
        <v>41</v>
      </c>
      <c r="D560" s="155" t="s">
        <v>42</v>
      </c>
      <c r="E560" s="155" t="s">
        <v>1401</v>
      </c>
      <c r="F560" s="155" t="s">
        <v>1402</v>
      </c>
      <c r="G560" s="156">
        <v>25</v>
      </c>
      <c r="H560" s="155" t="s">
        <v>1401</v>
      </c>
      <c r="I560" s="95" t="s">
        <v>1414</v>
      </c>
      <c r="K560" s="95" t="s">
        <v>1413</v>
      </c>
    </row>
    <row r="561" spans="1:11" x14ac:dyDescent="0.35">
      <c r="A561" s="155" t="s">
        <v>1276</v>
      </c>
      <c r="B561" s="155" t="s">
        <v>1277</v>
      </c>
      <c r="C561" s="155" t="s">
        <v>41</v>
      </c>
      <c r="D561" s="155" t="s">
        <v>42</v>
      </c>
      <c r="E561" s="155" t="s">
        <v>1401</v>
      </c>
      <c r="F561" s="155" t="s">
        <v>1402</v>
      </c>
      <c r="G561" s="156">
        <v>25</v>
      </c>
      <c r="H561" s="155" t="s">
        <v>1401</v>
      </c>
      <c r="I561" s="95" t="s">
        <v>1412</v>
      </c>
      <c r="J561" s="95">
        <v>42643</v>
      </c>
      <c r="K561" s="95" t="s">
        <v>1413</v>
      </c>
    </row>
    <row r="562" spans="1:11" x14ac:dyDescent="0.35">
      <c r="A562" s="155" t="s">
        <v>1278</v>
      </c>
      <c r="B562" s="155" t="s">
        <v>1279</v>
      </c>
      <c r="C562" s="155" t="s">
        <v>41</v>
      </c>
      <c r="D562" s="155" t="s">
        <v>42</v>
      </c>
      <c r="E562" s="155" t="s">
        <v>1401</v>
      </c>
      <c r="F562" s="155" t="s">
        <v>1402</v>
      </c>
      <c r="G562" s="156">
        <v>25</v>
      </c>
      <c r="H562" s="155" t="s">
        <v>1401</v>
      </c>
      <c r="I562" s="95" t="s">
        <v>1412</v>
      </c>
      <c r="J562" s="95">
        <v>42643</v>
      </c>
      <c r="K562" s="95" t="s">
        <v>1413</v>
      </c>
    </row>
    <row r="563" spans="1:11" x14ac:dyDescent="0.35">
      <c r="A563" s="155" t="s">
        <v>1280</v>
      </c>
      <c r="B563" s="155" t="s">
        <v>1281</v>
      </c>
      <c r="C563" s="155" t="s">
        <v>41</v>
      </c>
      <c r="D563" s="155" t="s">
        <v>42</v>
      </c>
      <c r="E563" s="155" t="s">
        <v>1401</v>
      </c>
      <c r="F563" s="155" t="s">
        <v>1402</v>
      </c>
      <c r="G563" s="156">
        <v>25</v>
      </c>
      <c r="H563" s="155" t="s">
        <v>1401</v>
      </c>
      <c r="I563" s="95" t="s">
        <v>1412</v>
      </c>
      <c r="J563" s="95">
        <v>42643</v>
      </c>
      <c r="K563" s="95" t="s">
        <v>1413</v>
      </c>
    </row>
    <row r="564" spans="1:11" x14ac:dyDescent="0.35">
      <c r="A564" s="155" t="s">
        <v>584</v>
      </c>
      <c r="B564" s="155" t="s">
        <v>585</v>
      </c>
      <c r="C564" s="155" t="s">
        <v>41</v>
      </c>
      <c r="D564" s="155" t="s">
        <v>42</v>
      </c>
      <c r="E564" s="155" t="s">
        <v>1401</v>
      </c>
      <c r="F564" s="155" t="s">
        <v>1402</v>
      </c>
      <c r="G564" s="156">
        <v>25</v>
      </c>
      <c r="H564" s="155" t="s">
        <v>1401</v>
      </c>
      <c r="I564" s="95" t="s">
        <v>1414</v>
      </c>
      <c r="K564" s="95" t="s">
        <v>1413</v>
      </c>
    </row>
    <row r="565" spans="1:11" x14ac:dyDescent="0.35">
      <c r="A565" s="155" t="s">
        <v>586</v>
      </c>
      <c r="B565" s="155" t="s">
        <v>587</v>
      </c>
      <c r="C565" s="155" t="s">
        <v>41</v>
      </c>
      <c r="D565" s="155" t="s">
        <v>42</v>
      </c>
      <c r="E565" s="155" t="s">
        <v>1401</v>
      </c>
      <c r="F565" s="155" t="s">
        <v>1402</v>
      </c>
      <c r="G565" s="156">
        <v>25</v>
      </c>
      <c r="H565" s="155" t="s">
        <v>1401</v>
      </c>
      <c r="I565" s="95" t="s">
        <v>1414</v>
      </c>
      <c r="K565" s="95" t="s">
        <v>1413</v>
      </c>
    </row>
    <row r="566" spans="1:11" x14ac:dyDescent="0.35">
      <c r="A566" s="155" t="s">
        <v>1282</v>
      </c>
      <c r="B566" s="155" t="s">
        <v>1283</v>
      </c>
      <c r="C566" s="155" t="s">
        <v>41</v>
      </c>
      <c r="D566" s="155" t="s">
        <v>42</v>
      </c>
      <c r="E566" s="155" t="s">
        <v>1401</v>
      </c>
      <c r="F566" s="155" t="s">
        <v>1402</v>
      </c>
      <c r="G566" s="156">
        <v>25</v>
      </c>
      <c r="H566" s="155" t="s">
        <v>1401</v>
      </c>
      <c r="I566" s="95" t="s">
        <v>1412</v>
      </c>
      <c r="J566" s="95">
        <v>42643</v>
      </c>
      <c r="K566" s="95" t="s">
        <v>1413</v>
      </c>
    </row>
    <row r="567" spans="1:11" x14ac:dyDescent="0.35">
      <c r="A567" s="155" t="s">
        <v>588</v>
      </c>
      <c r="B567" s="155" t="s">
        <v>589</v>
      </c>
      <c r="C567" s="155" t="s">
        <v>41</v>
      </c>
      <c r="D567" s="155" t="s">
        <v>42</v>
      </c>
      <c r="E567" s="155" t="s">
        <v>1401</v>
      </c>
      <c r="F567" s="155" t="s">
        <v>1402</v>
      </c>
      <c r="G567" s="156">
        <v>25</v>
      </c>
      <c r="H567" s="155" t="s">
        <v>1401</v>
      </c>
      <c r="I567" s="95" t="s">
        <v>1414</v>
      </c>
      <c r="K567" s="95" t="s">
        <v>1413</v>
      </c>
    </row>
    <row r="568" spans="1:11" x14ac:dyDescent="0.35">
      <c r="A568" s="155" t="s">
        <v>590</v>
      </c>
      <c r="B568" s="155" t="s">
        <v>591</v>
      </c>
      <c r="C568" s="155" t="s">
        <v>41</v>
      </c>
      <c r="D568" s="155" t="s">
        <v>42</v>
      </c>
      <c r="E568" s="155" t="s">
        <v>1401</v>
      </c>
      <c r="F568" s="155" t="s">
        <v>1402</v>
      </c>
      <c r="G568" s="156">
        <v>25</v>
      </c>
      <c r="H568" s="155" t="s">
        <v>1401</v>
      </c>
      <c r="I568" s="95" t="s">
        <v>1414</v>
      </c>
      <c r="K568" s="95" t="s">
        <v>1413</v>
      </c>
    </row>
    <row r="569" spans="1:11" x14ac:dyDescent="0.35">
      <c r="A569" s="155" t="s">
        <v>592</v>
      </c>
      <c r="B569" s="155" t="s">
        <v>593</v>
      </c>
      <c r="C569" s="155" t="s">
        <v>41</v>
      </c>
      <c r="D569" s="155" t="s">
        <v>42</v>
      </c>
      <c r="E569" s="155" t="s">
        <v>1401</v>
      </c>
      <c r="F569" s="155" t="s">
        <v>1402</v>
      </c>
      <c r="G569" s="156">
        <v>25</v>
      </c>
      <c r="H569" s="155" t="s">
        <v>1401</v>
      </c>
      <c r="I569" s="95" t="s">
        <v>1414</v>
      </c>
      <c r="K569" s="95" t="s">
        <v>1413</v>
      </c>
    </row>
    <row r="570" spans="1:11" x14ac:dyDescent="0.35">
      <c r="A570" s="155" t="s">
        <v>989</v>
      </c>
      <c r="B570" s="155" t="s">
        <v>990</v>
      </c>
      <c r="C570" s="155" t="s">
        <v>41</v>
      </c>
      <c r="D570" s="155" t="s">
        <v>42</v>
      </c>
      <c r="E570" s="155" t="s">
        <v>1401</v>
      </c>
      <c r="F570" s="155" t="s">
        <v>1402</v>
      </c>
      <c r="G570" s="156">
        <v>25</v>
      </c>
      <c r="H570" s="155" t="s">
        <v>1401</v>
      </c>
      <c r="I570" s="95" t="s">
        <v>1414</v>
      </c>
      <c r="K570" s="95" t="s">
        <v>1416</v>
      </c>
    </row>
    <row r="571" spans="1:11" x14ac:dyDescent="0.35">
      <c r="A571" s="155" t="s">
        <v>991</v>
      </c>
      <c r="B571" s="155" t="s">
        <v>992</v>
      </c>
      <c r="C571" s="155" t="s">
        <v>41</v>
      </c>
      <c r="D571" s="155" t="s">
        <v>42</v>
      </c>
      <c r="E571" s="155" t="s">
        <v>1401</v>
      </c>
      <c r="F571" s="155" t="s">
        <v>1402</v>
      </c>
      <c r="G571" s="156">
        <v>25</v>
      </c>
      <c r="H571" s="155" t="s">
        <v>1401</v>
      </c>
      <c r="I571" s="95" t="s">
        <v>1414</v>
      </c>
      <c r="K571" s="95" t="s">
        <v>1416</v>
      </c>
    </row>
    <row r="572" spans="1:11" x14ac:dyDescent="0.35">
      <c r="A572" s="155" t="s">
        <v>993</v>
      </c>
      <c r="B572" s="155" t="s">
        <v>994</v>
      </c>
      <c r="C572" s="155" t="s">
        <v>41</v>
      </c>
      <c r="D572" s="155" t="s">
        <v>42</v>
      </c>
      <c r="E572" s="155" t="s">
        <v>1401</v>
      </c>
      <c r="F572" s="155" t="s">
        <v>1402</v>
      </c>
      <c r="G572" s="156">
        <v>25</v>
      </c>
      <c r="H572" s="155" t="s">
        <v>1401</v>
      </c>
      <c r="I572" s="95" t="s">
        <v>1414</v>
      </c>
      <c r="K572" s="95" t="s">
        <v>1416</v>
      </c>
    </row>
    <row r="573" spans="1:11" x14ac:dyDescent="0.35">
      <c r="A573" s="155" t="s">
        <v>594</v>
      </c>
      <c r="B573" s="155" t="s">
        <v>1539</v>
      </c>
      <c r="C573" s="155" t="s">
        <v>41</v>
      </c>
      <c r="D573" s="155" t="s">
        <v>42</v>
      </c>
      <c r="E573" s="155" t="s">
        <v>1401</v>
      </c>
      <c r="F573" s="155" t="s">
        <v>1402</v>
      </c>
      <c r="G573" s="156">
        <v>25</v>
      </c>
      <c r="H573" s="155" t="s">
        <v>1401</v>
      </c>
      <c r="I573" s="95" t="s">
        <v>1414</v>
      </c>
      <c r="K573" s="95" t="s">
        <v>1413</v>
      </c>
    </row>
    <row r="574" spans="1:11" x14ac:dyDescent="0.35">
      <c r="A574" s="155" t="s">
        <v>995</v>
      </c>
      <c r="B574" s="155" t="s">
        <v>996</v>
      </c>
      <c r="C574" s="155" t="s">
        <v>41</v>
      </c>
      <c r="D574" s="155" t="s">
        <v>42</v>
      </c>
      <c r="E574" s="155" t="s">
        <v>1401</v>
      </c>
      <c r="F574" s="155" t="s">
        <v>1402</v>
      </c>
      <c r="G574" s="156">
        <v>25</v>
      </c>
      <c r="H574" s="155" t="s">
        <v>1401</v>
      </c>
      <c r="I574" s="95" t="s">
        <v>1414</v>
      </c>
      <c r="K574" s="95" t="s">
        <v>1416</v>
      </c>
    </row>
    <row r="575" spans="1:11" x14ac:dyDescent="0.35">
      <c r="A575" s="155" t="s">
        <v>997</v>
      </c>
      <c r="B575" s="155" t="s">
        <v>998</v>
      </c>
      <c r="C575" s="155" t="s">
        <v>41</v>
      </c>
      <c r="D575" s="155" t="s">
        <v>42</v>
      </c>
      <c r="E575" s="155" t="s">
        <v>1401</v>
      </c>
      <c r="F575" s="155" t="s">
        <v>1402</v>
      </c>
      <c r="G575" s="156">
        <v>25</v>
      </c>
      <c r="H575" s="155" t="s">
        <v>1401</v>
      </c>
      <c r="I575" s="95" t="s">
        <v>1414</v>
      </c>
      <c r="K575" s="95" t="s">
        <v>1416</v>
      </c>
    </row>
    <row r="576" spans="1:11" x14ac:dyDescent="0.35">
      <c r="A576" s="155" t="s">
        <v>595</v>
      </c>
      <c r="B576" s="155" t="s">
        <v>1540</v>
      </c>
      <c r="C576" s="155" t="s">
        <v>41</v>
      </c>
      <c r="D576" s="155" t="s">
        <v>42</v>
      </c>
      <c r="E576" s="155" t="s">
        <v>1401</v>
      </c>
      <c r="F576" s="155" t="s">
        <v>1402</v>
      </c>
      <c r="G576" s="156">
        <v>25</v>
      </c>
      <c r="H576" s="155" t="s">
        <v>1401</v>
      </c>
      <c r="I576" s="95" t="s">
        <v>1414</v>
      </c>
      <c r="K576" s="95" t="s">
        <v>1413</v>
      </c>
    </row>
    <row r="577" spans="1:11" x14ac:dyDescent="0.35">
      <c r="A577" s="155" t="s">
        <v>1284</v>
      </c>
      <c r="B577" s="155" t="s">
        <v>1285</v>
      </c>
      <c r="C577" s="155" t="s">
        <v>41</v>
      </c>
      <c r="D577" s="155" t="s">
        <v>42</v>
      </c>
      <c r="E577" s="155" t="s">
        <v>1401</v>
      </c>
      <c r="F577" s="155" t="s">
        <v>1402</v>
      </c>
      <c r="G577" s="156">
        <v>25</v>
      </c>
      <c r="H577" s="155" t="s">
        <v>1401</v>
      </c>
      <c r="I577" s="95" t="s">
        <v>1412</v>
      </c>
      <c r="J577" s="95">
        <v>42643</v>
      </c>
      <c r="K577" s="95" t="s">
        <v>1413</v>
      </c>
    </row>
    <row r="578" spans="1:11" x14ac:dyDescent="0.35">
      <c r="A578" s="155" t="s">
        <v>1286</v>
      </c>
      <c r="B578" s="155" t="s">
        <v>1287</v>
      </c>
      <c r="C578" s="155" t="s">
        <v>41</v>
      </c>
      <c r="D578" s="155" t="s">
        <v>42</v>
      </c>
      <c r="E578" s="155" t="s">
        <v>1401</v>
      </c>
      <c r="F578" s="155" t="s">
        <v>1402</v>
      </c>
      <c r="G578" s="156">
        <v>25</v>
      </c>
      <c r="H578" s="155" t="s">
        <v>1401</v>
      </c>
      <c r="I578" s="95" t="s">
        <v>1412</v>
      </c>
      <c r="J578" s="95">
        <v>42643</v>
      </c>
      <c r="K578" s="95" t="s">
        <v>1413</v>
      </c>
    </row>
    <row r="579" spans="1:11" x14ac:dyDescent="0.35">
      <c r="A579" s="155" t="s">
        <v>1288</v>
      </c>
      <c r="B579" s="155" t="s">
        <v>1289</v>
      </c>
      <c r="C579" s="155" t="s">
        <v>41</v>
      </c>
      <c r="D579" s="155" t="s">
        <v>42</v>
      </c>
      <c r="E579" s="155" t="s">
        <v>1401</v>
      </c>
      <c r="F579" s="155" t="s">
        <v>1402</v>
      </c>
      <c r="G579" s="156">
        <v>25</v>
      </c>
      <c r="H579" s="155" t="s">
        <v>1401</v>
      </c>
      <c r="I579" s="95" t="s">
        <v>1412</v>
      </c>
      <c r="J579" s="95">
        <v>42643</v>
      </c>
      <c r="K579" s="95" t="s">
        <v>1413</v>
      </c>
    </row>
    <row r="580" spans="1:11" x14ac:dyDescent="0.35">
      <c r="A580" s="155" t="s">
        <v>1290</v>
      </c>
      <c r="B580" s="155" t="s">
        <v>1291</v>
      </c>
      <c r="C580" s="155" t="s">
        <v>41</v>
      </c>
      <c r="D580" s="155" t="s">
        <v>42</v>
      </c>
      <c r="E580" s="155" t="s">
        <v>1401</v>
      </c>
      <c r="F580" s="155" t="s">
        <v>1402</v>
      </c>
      <c r="G580" s="156">
        <v>25</v>
      </c>
      <c r="H580" s="155" t="s">
        <v>1401</v>
      </c>
      <c r="I580" s="95" t="s">
        <v>1412</v>
      </c>
      <c r="J580" s="95">
        <v>42643</v>
      </c>
      <c r="K580" s="95" t="s">
        <v>1413</v>
      </c>
    </row>
    <row r="581" spans="1:11" x14ac:dyDescent="0.35">
      <c r="A581" s="155" t="s">
        <v>1292</v>
      </c>
      <c r="B581" s="155" t="s">
        <v>1293</v>
      </c>
      <c r="C581" s="155" t="s">
        <v>41</v>
      </c>
      <c r="D581" s="155" t="s">
        <v>42</v>
      </c>
      <c r="E581" s="155" t="s">
        <v>1401</v>
      </c>
      <c r="F581" s="155" t="s">
        <v>1402</v>
      </c>
      <c r="G581" s="156">
        <v>25</v>
      </c>
      <c r="H581" s="155" t="s">
        <v>1401</v>
      </c>
      <c r="I581" s="95" t="s">
        <v>1412</v>
      </c>
      <c r="J581" s="95">
        <v>42643</v>
      </c>
      <c r="K581" s="95" t="s">
        <v>1413</v>
      </c>
    </row>
    <row r="582" spans="1:11" x14ac:dyDescent="0.35">
      <c r="A582" s="155" t="s">
        <v>1294</v>
      </c>
      <c r="B582" s="155" t="s">
        <v>596</v>
      </c>
      <c r="C582" s="155" t="s">
        <v>41</v>
      </c>
      <c r="D582" s="155" t="s">
        <v>42</v>
      </c>
      <c r="E582" s="155" t="s">
        <v>1401</v>
      </c>
      <c r="F582" s="155" t="s">
        <v>1402</v>
      </c>
      <c r="G582" s="156">
        <v>25</v>
      </c>
      <c r="H582" s="155" t="s">
        <v>1401</v>
      </c>
      <c r="I582" s="95" t="s">
        <v>1412</v>
      </c>
      <c r="J582" s="95">
        <v>42643</v>
      </c>
      <c r="K582" s="95" t="s">
        <v>1413</v>
      </c>
    </row>
    <row r="583" spans="1:11" x14ac:dyDescent="0.35">
      <c r="A583" s="155" t="s">
        <v>999</v>
      </c>
      <c r="B583" s="155" t="s">
        <v>596</v>
      </c>
      <c r="C583" s="155" t="s">
        <v>41</v>
      </c>
      <c r="D583" s="155" t="s">
        <v>42</v>
      </c>
      <c r="E583" s="155" t="s">
        <v>1401</v>
      </c>
      <c r="F583" s="155" t="s">
        <v>1402</v>
      </c>
      <c r="G583" s="156">
        <v>25</v>
      </c>
      <c r="H583" s="155" t="s">
        <v>1401</v>
      </c>
      <c r="I583" s="95" t="s">
        <v>1414</v>
      </c>
      <c r="K583" s="95" t="s">
        <v>1416</v>
      </c>
    </row>
    <row r="584" spans="1:11" x14ac:dyDescent="0.35">
      <c r="A584" s="155" t="s">
        <v>597</v>
      </c>
      <c r="B584" s="155" t="s">
        <v>598</v>
      </c>
      <c r="C584" s="155" t="s">
        <v>41</v>
      </c>
      <c r="D584" s="155" t="s">
        <v>42</v>
      </c>
      <c r="E584" s="155" t="s">
        <v>1401</v>
      </c>
      <c r="F584" s="155" t="s">
        <v>1402</v>
      </c>
      <c r="G584" s="156">
        <v>25</v>
      </c>
      <c r="H584" s="155" t="s">
        <v>1401</v>
      </c>
      <c r="I584" s="95" t="s">
        <v>1414</v>
      </c>
      <c r="K584" s="95" t="s">
        <v>1413</v>
      </c>
    </row>
    <row r="585" spans="1:11" x14ac:dyDescent="0.35">
      <c r="A585" s="155" t="s">
        <v>599</v>
      </c>
      <c r="B585" s="155" t="s">
        <v>600</v>
      </c>
      <c r="C585" s="155" t="s">
        <v>41</v>
      </c>
      <c r="D585" s="155" t="s">
        <v>42</v>
      </c>
      <c r="E585" s="155" t="s">
        <v>1401</v>
      </c>
      <c r="F585" s="155" t="s">
        <v>1402</v>
      </c>
      <c r="G585" s="156">
        <v>25</v>
      </c>
      <c r="H585" s="155" t="s">
        <v>1401</v>
      </c>
      <c r="I585" s="95" t="s">
        <v>1414</v>
      </c>
      <c r="K585" s="95" t="s">
        <v>1413</v>
      </c>
    </row>
    <row r="586" spans="1:11" x14ac:dyDescent="0.35">
      <c r="A586" s="155" t="s">
        <v>1295</v>
      </c>
      <c r="B586" s="155" t="s">
        <v>1296</v>
      </c>
      <c r="C586" s="155" t="s">
        <v>41</v>
      </c>
      <c r="D586" s="155" t="s">
        <v>42</v>
      </c>
      <c r="E586" s="155" t="s">
        <v>1401</v>
      </c>
      <c r="F586" s="155" t="s">
        <v>1402</v>
      </c>
      <c r="G586" s="156">
        <v>25</v>
      </c>
      <c r="H586" s="155" t="s">
        <v>1401</v>
      </c>
      <c r="I586" s="95" t="s">
        <v>1412</v>
      </c>
      <c r="J586" s="95">
        <v>42643</v>
      </c>
      <c r="K586" s="95" t="s">
        <v>1413</v>
      </c>
    </row>
    <row r="587" spans="1:11" x14ac:dyDescent="0.35">
      <c r="A587" s="155" t="s">
        <v>601</v>
      </c>
      <c r="B587" s="155" t="s">
        <v>602</v>
      </c>
      <c r="C587" s="155" t="s">
        <v>41</v>
      </c>
      <c r="D587" s="155" t="s">
        <v>42</v>
      </c>
      <c r="E587" s="155" t="s">
        <v>1401</v>
      </c>
      <c r="F587" s="155" t="s">
        <v>1402</v>
      </c>
      <c r="G587" s="156">
        <v>25</v>
      </c>
      <c r="H587" s="155" t="s">
        <v>1401</v>
      </c>
      <c r="I587" s="95" t="s">
        <v>1414</v>
      </c>
      <c r="K587" s="95" t="s">
        <v>1413</v>
      </c>
    </row>
    <row r="588" spans="1:11" x14ac:dyDescent="0.35">
      <c r="A588" s="155" t="s">
        <v>603</v>
      </c>
      <c r="B588" s="155" t="s">
        <v>604</v>
      </c>
      <c r="C588" s="155" t="s">
        <v>41</v>
      </c>
      <c r="D588" s="155" t="s">
        <v>42</v>
      </c>
      <c r="E588" s="155" t="s">
        <v>1401</v>
      </c>
      <c r="F588" s="155" t="s">
        <v>1402</v>
      </c>
      <c r="G588" s="156">
        <v>25</v>
      </c>
      <c r="H588" s="155" t="s">
        <v>1401</v>
      </c>
      <c r="I588" s="95" t="s">
        <v>1414</v>
      </c>
      <c r="K588" s="95" t="s">
        <v>1413</v>
      </c>
    </row>
    <row r="589" spans="1:11" x14ac:dyDescent="0.35">
      <c r="A589" s="155" t="s">
        <v>605</v>
      </c>
      <c r="B589" s="155" t="s">
        <v>1541</v>
      </c>
      <c r="C589" s="155" t="s">
        <v>41</v>
      </c>
      <c r="D589" s="155" t="s">
        <v>42</v>
      </c>
      <c r="E589" s="155" t="s">
        <v>1401</v>
      </c>
      <c r="F589" s="155" t="s">
        <v>1402</v>
      </c>
      <c r="G589" s="156">
        <v>25</v>
      </c>
      <c r="H589" s="155" t="s">
        <v>1401</v>
      </c>
      <c r="I589" s="95" t="s">
        <v>1414</v>
      </c>
      <c r="K589" s="95" t="s">
        <v>1413</v>
      </c>
    </row>
    <row r="590" spans="1:11" x14ac:dyDescent="0.35">
      <c r="A590" s="155" t="s">
        <v>606</v>
      </c>
      <c r="B590" s="155" t="s">
        <v>1542</v>
      </c>
      <c r="C590" s="155" t="s">
        <v>41</v>
      </c>
      <c r="D590" s="155" t="s">
        <v>42</v>
      </c>
      <c r="E590" s="155" t="s">
        <v>1401</v>
      </c>
      <c r="F590" s="155" t="s">
        <v>1402</v>
      </c>
      <c r="G590" s="156">
        <v>25</v>
      </c>
      <c r="H590" s="155" t="s">
        <v>1401</v>
      </c>
      <c r="I590" s="95" t="s">
        <v>1414</v>
      </c>
      <c r="K590" s="95" t="s">
        <v>1413</v>
      </c>
    </row>
    <row r="591" spans="1:11" x14ac:dyDescent="0.35">
      <c r="A591" s="155" t="s">
        <v>607</v>
      </c>
      <c r="B591" s="155" t="s">
        <v>608</v>
      </c>
      <c r="C591" s="155" t="s">
        <v>41</v>
      </c>
      <c r="D591" s="155" t="s">
        <v>42</v>
      </c>
      <c r="E591" s="155" t="s">
        <v>1401</v>
      </c>
      <c r="F591" s="155" t="s">
        <v>1402</v>
      </c>
      <c r="G591" s="156">
        <v>25</v>
      </c>
      <c r="H591" s="155" t="s">
        <v>1401</v>
      </c>
      <c r="I591" s="95" t="s">
        <v>1414</v>
      </c>
      <c r="K591" s="95" t="s">
        <v>1413</v>
      </c>
    </row>
    <row r="592" spans="1:11" x14ac:dyDescent="0.35">
      <c r="A592" s="155" t="s">
        <v>609</v>
      </c>
      <c r="B592" s="155" t="s">
        <v>610</v>
      </c>
      <c r="C592" s="155" t="s">
        <v>41</v>
      </c>
      <c r="D592" s="155" t="s">
        <v>42</v>
      </c>
      <c r="E592" s="155" t="s">
        <v>1401</v>
      </c>
      <c r="F592" s="155" t="s">
        <v>1402</v>
      </c>
      <c r="G592" s="156">
        <v>25</v>
      </c>
      <c r="H592" s="155" t="s">
        <v>1401</v>
      </c>
      <c r="I592" s="95" t="s">
        <v>1414</v>
      </c>
      <c r="K592" s="95" t="s">
        <v>1413</v>
      </c>
    </row>
    <row r="593" spans="1:11" x14ac:dyDescent="0.35">
      <c r="A593" s="155" t="s">
        <v>611</v>
      </c>
      <c r="B593" s="155" t="s">
        <v>612</v>
      </c>
      <c r="C593" s="155" t="s">
        <v>41</v>
      </c>
      <c r="D593" s="155" t="s">
        <v>42</v>
      </c>
      <c r="E593" s="155" t="s">
        <v>1401</v>
      </c>
      <c r="F593" s="155" t="s">
        <v>1402</v>
      </c>
      <c r="G593" s="156">
        <v>25</v>
      </c>
      <c r="H593" s="155" t="s">
        <v>1401</v>
      </c>
      <c r="I593" s="95" t="s">
        <v>1414</v>
      </c>
      <c r="K593" s="95" t="s">
        <v>1413</v>
      </c>
    </row>
    <row r="594" spans="1:11" x14ac:dyDescent="0.35">
      <c r="A594" s="155" t="s">
        <v>613</v>
      </c>
      <c r="B594" s="155" t="s">
        <v>614</v>
      </c>
      <c r="C594" s="155" t="s">
        <v>41</v>
      </c>
      <c r="D594" s="155" t="s">
        <v>42</v>
      </c>
      <c r="E594" s="155" t="s">
        <v>1401</v>
      </c>
      <c r="F594" s="155" t="s">
        <v>1402</v>
      </c>
      <c r="G594" s="156">
        <v>25</v>
      </c>
      <c r="H594" s="155" t="s">
        <v>1401</v>
      </c>
      <c r="I594" s="95" t="s">
        <v>1414</v>
      </c>
      <c r="K594" s="95" t="s">
        <v>1413</v>
      </c>
    </row>
    <row r="595" spans="1:11" x14ac:dyDescent="0.35">
      <c r="A595" s="155" t="s">
        <v>615</v>
      </c>
      <c r="B595" s="155" t="s">
        <v>616</v>
      </c>
      <c r="C595" s="155" t="s">
        <v>41</v>
      </c>
      <c r="D595" s="155" t="s">
        <v>42</v>
      </c>
      <c r="E595" s="155" t="s">
        <v>1401</v>
      </c>
      <c r="F595" s="155" t="s">
        <v>1402</v>
      </c>
      <c r="G595" s="156">
        <v>25</v>
      </c>
      <c r="H595" s="155" t="s">
        <v>1401</v>
      </c>
      <c r="I595" s="95" t="s">
        <v>1414</v>
      </c>
      <c r="K595" s="95" t="s">
        <v>1413</v>
      </c>
    </row>
    <row r="596" spans="1:11" x14ac:dyDescent="0.35">
      <c r="A596" s="155" t="s">
        <v>617</v>
      </c>
      <c r="B596" s="155" t="s">
        <v>618</v>
      </c>
      <c r="C596" s="155" t="s">
        <v>41</v>
      </c>
      <c r="D596" s="155" t="s">
        <v>42</v>
      </c>
      <c r="E596" s="155" t="s">
        <v>1401</v>
      </c>
      <c r="F596" s="155" t="s">
        <v>1402</v>
      </c>
      <c r="G596" s="156">
        <v>25</v>
      </c>
      <c r="H596" s="155" t="s">
        <v>1401</v>
      </c>
      <c r="I596" s="95" t="s">
        <v>1414</v>
      </c>
      <c r="K596" s="95" t="s">
        <v>1413</v>
      </c>
    </row>
    <row r="597" spans="1:11" x14ac:dyDescent="0.35">
      <c r="A597" s="155" t="s">
        <v>619</v>
      </c>
      <c r="B597" s="155" t="s">
        <v>620</v>
      </c>
      <c r="C597" s="155" t="s">
        <v>41</v>
      </c>
      <c r="D597" s="155" t="s">
        <v>42</v>
      </c>
      <c r="E597" s="155" t="s">
        <v>1401</v>
      </c>
      <c r="F597" s="155" t="s">
        <v>1402</v>
      </c>
      <c r="G597" s="156">
        <v>25</v>
      </c>
      <c r="H597" s="155" t="s">
        <v>1401</v>
      </c>
      <c r="I597" s="95" t="s">
        <v>1414</v>
      </c>
      <c r="K597" s="95" t="s">
        <v>1413</v>
      </c>
    </row>
    <row r="598" spans="1:11" x14ac:dyDescent="0.35">
      <c r="A598" s="155" t="s">
        <v>621</v>
      </c>
      <c r="B598" s="155" t="s">
        <v>622</v>
      </c>
      <c r="C598" s="155" t="s">
        <v>41</v>
      </c>
      <c r="D598" s="155" t="s">
        <v>42</v>
      </c>
      <c r="E598" s="155" t="s">
        <v>1401</v>
      </c>
      <c r="F598" s="155" t="s">
        <v>1402</v>
      </c>
      <c r="G598" s="156">
        <v>25</v>
      </c>
      <c r="H598" s="155" t="s">
        <v>1401</v>
      </c>
      <c r="I598" s="95" t="s">
        <v>1414</v>
      </c>
      <c r="K598" s="95" t="s">
        <v>1413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599"/>
  <sheetViews>
    <sheetView workbookViewId="0">
      <selection activeCell="C72" sqref="C72"/>
    </sheetView>
  </sheetViews>
  <sheetFormatPr defaultRowHeight="18" x14ac:dyDescent="0.25"/>
  <cols>
    <col min="1" max="1" width="17.375" customWidth="1"/>
    <col min="2" max="2" width="84" customWidth="1"/>
    <col min="3" max="3" width="20.125" style="103" customWidth="1"/>
    <col min="4" max="4" width="10.125" customWidth="1"/>
    <col min="5" max="5" width="14.375" style="98" customWidth="1"/>
    <col min="6" max="6" width="16.25" style="98" customWidth="1"/>
    <col min="7" max="7" width="4.375" bestFit="1" customWidth="1"/>
    <col min="8" max="8" width="4.375" customWidth="1"/>
    <col min="9" max="9" width="3.375" customWidth="1"/>
  </cols>
  <sheetData>
    <row r="1" spans="1:10" ht="18" customHeight="1" x14ac:dyDescent="0.25">
      <c r="A1" s="100"/>
      <c r="B1" s="100" t="s">
        <v>1000</v>
      </c>
      <c r="C1" s="101"/>
      <c r="D1" s="100"/>
      <c r="E1" s="100"/>
      <c r="F1" s="100"/>
    </row>
    <row r="2" spans="1:10" ht="23.25" x14ac:dyDescent="0.35">
      <c r="A2" s="31" t="s">
        <v>736</v>
      </c>
      <c r="B2" s="31" t="s">
        <v>737</v>
      </c>
      <c r="C2" s="102" t="s">
        <v>707</v>
      </c>
      <c r="D2" s="25"/>
      <c r="E2" s="99" t="s">
        <v>803</v>
      </c>
      <c r="F2" s="99" t="s">
        <v>804</v>
      </c>
      <c r="G2" s="95" t="s">
        <v>1543</v>
      </c>
      <c r="H2" s="95"/>
    </row>
    <row r="3" spans="1:10" ht="23.25" hidden="1" x14ac:dyDescent="0.35">
      <c r="A3" s="158" t="s">
        <v>1004</v>
      </c>
      <c r="B3" s="158" t="s">
        <v>1005</v>
      </c>
      <c r="C3" s="154">
        <f>IFERROR(VLOOKUP(A3,'งบทดลอง รพ.'!$A$2:$C$609,3,0),0)</f>
        <v>0</v>
      </c>
      <c r="D3" s="25"/>
      <c r="E3" s="99" t="s">
        <v>1343</v>
      </c>
      <c r="F3" s="99" t="s">
        <v>16</v>
      </c>
      <c r="G3" s="95" t="s">
        <v>1412</v>
      </c>
      <c r="H3" s="95"/>
      <c r="I3" s="160"/>
      <c r="J3" t="s">
        <v>1544</v>
      </c>
    </row>
    <row r="4" spans="1:10" ht="23.25" hidden="1" x14ac:dyDescent="0.35">
      <c r="A4" s="161" t="s">
        <v>144</v>
      </c>
      <c r="B4" s="161" t="s">
        <v>145</v>
      </c>
      <c r="C4" s="154">
        <f>IFERROR(VLOOKUP(A4,'งบทดลอง รพ.'!$A$2:$C$609,3,0),0)</f>
        <v>0</v>
      </c>
      <c r="D4" s="25"/>
      <c r="E4" s="99" t="s">
        <v>1343</v>
      </c>
      <c r="F4" s="99" t="s">
        <v>16</v>
      </c>
      <c r="G4" s="95" t="s">
        <v>1414</v>
      </c>
      <c r="H4" s="95"/>
      <c r="I4" s="163"/>
      <c r="J4" t="s">
        <v>1545</v>
      </c>
    </row>
    <row r="5" spans="1:10" ht="23.25" hidden="1" x14ac:dyDescent="0.35">
      <c r="A5" s="161" t="s">
        <v>146</v>
      </c>
      <c r="B5" s="161" t="s">
        <v>147</v>
      </c>
      <c r="C5" s="154">
        <f>IFERROR(VLOOKUP(A5,'งบทดลอง รพ.'!$A$2:$C$609,3,0),0)</f>
        <v>0</v>
      </c>
      <c r="D5" s="25"/>
      <c r="E5" s="99" t="s">
        <v>1343</v>
      </c>
      <c r="F5" s="99" t="s">
        <v>16</v>
      </c>
      <c r="G5" s="95" t="s">
        <v>1414</v>
      </c>
      <c r="H5" s="95"/>
    </row>
    <row r="6" spans="1:10" ht="23.25" hidden="1" x14ac:dyDescent="0.35">
      <c r="A6" s="161" t="s">
        <v>148</v>
      </c>
      <c r="B6" s="161" t="s">
        <v>149</v>
      </c>
      <c r="C6" s="154">
        <f>IFERROR(VLOOKUP(A6,'งบทดลอง รพ.'!$A$2:$C$609,3,0),0)</f>
        <v>0</v>
      </c>
      <c r="D6" s="25"/>
      <c r="E6" s="99" t="s">
        <v>1343</v>
      </c>
      <c r="F6" s="99" t="s">
        <v>16</v>
      </c>
      <c r="G6" s="95" t="s">
        <v>1414</v>
      </c>
      <c r="H6" s="95"/>
    </row>
    <row r="7" spans="1:10" ht="23.25" hidden="1" x14ac:dyDescent="0.35">
      <c r="A7" s="161" t="s">
        <v>150</v>
      </c>
      <c r="B7" s="161" t="s">
        <v>151</v>
      </c>
      <c r="C7" s="154">
        <f>IFERROR(VLOOKUP(A7,'งบทดลอง รพ.'!$A$2:$C$609,3,0),0)</f>
        <v>0</v>
      </c>
      <c r="D7" s="25"/>
      <c r="E7" s="99" t="s">
        <v>1343</v>
      </c>
      <c r="F7" s="99" t="s">
        <v>16</v>
      </c>
      <c r="G7" s="95" t="s">
        <v>1414</v>
      </c>
      <c r="H7" s="95"/>
    </row>
    <row r="8" spans="1:10" ht="23.25" hidden="1" x14ac:dyDescent="0.35">
      <c r="A8" s="161" t="s">
        <v>152</v>
      </c>
      <c r="B8" s="161" t="s">
        <v>1415</v>
      </c>
      <c r="C8" s="154">
        <f>IFERROR(VLOOKUP(A8,'งบทดลอง รพ.'!$A$2:$C$609,3,0),0)</f>
        <v>0</v>
      </c>
      <c r="D8" s="25"/>
      <c r="E8" s="99" t="s">
        <v>1343</v>
      </c>
      <c r="F8" s="99" t="s">
        <v>16</v>
      </c>
      <c r="G8" s="95" t="s">
        <v>1414</v>
      </c>
      <c r="H8" s="95"/>
    </row>
    <row r="9" spans="1:10" ht="23.25" hidden="1" x14ac:dyDescent="0.35">
      <c r="A9" s="158" t="s">
        <v>1006</v>
      </c>
      <c r="B9" s="158" t="s">
        <v>1007</v>
      </c>
      <c r="C9" s="154">
        <f>IFERROR(VLOOKUP(A9,'งบทดลอง รพ.'!$A$2:$C$609,3,0),0)</f>
        <v>0</v>
      </c>
      <c r="D9" s="25"/>
      <c r="E9" s="99" t="s">
        <v>1343</v>
      </c>
      <c r="F9" s="99" t="s">
        <v>16</v>
      </c>
      <c r="G9" s="95" t="s">
        <v>1412</v>
      </c>
      <c r="H9" s="95"/>
    </row>
    <row r="10" spans="1:10" ht="23.25" hidden="1" x14ac:dyDescent="0.35">
      <c r="A10" s="161" t="s">
        <v>153</v>
      </c>
      <c r="B10" s="161" t="s">
        <v>154</v>
      </c>
      <c r="C10" s="154">
        <f>IFERROR(VLOOKUP(A10,'งบทดลอง รพ.'!$A$2:$C$609,3,0),0)</f>
        <v>0</v>
      </c>
      <c r="D10" s="25"/>
      <c r="E10" s="99" t="s">
        <v>1343</v>
      </c>
      <c r="F10" s="99" t="s">
        <v>16</v>
      </c>
      <c r="G10" s="95" t="s">
        <v>1414</v>
      </c>
      <c r="H10" s="95"/>
    </row>
    <row r="11" spans="1:10" ht="23.25" hidden="1" x14ac:dyDescent="0.35">
      <c r="A11" s="158" t="s">
        <v>1008</v>
      </c>
      <c r="B11" s="158" t="s">
        <v>1009</v>
      </c>
      <c r="C11" s="154">
        <f>IFERROR(VLOOKUP(A11,'งบทดลอง รพ.'!$A$2:$C$609,3,0),0)</f>
        <v>0</v>
      </c>
      <c r="D11" s="25"/>
      <c r="E11" s="99" t="s">
        <v>1343</v>
      </c>
      <c r="F11" s="99" t="s">
        <v>16</v>
      </c>
      <c r="G11" s="95" t="s">
        <v>1412</v>
      </c>
      <c r="H11" s="95"/>
    </row>
    <row r="12" spans="1:10" ht="23.25" hidden="1" x14ac:dyDescent="0.35">
      <c r="A12" s="158" t="s">
        <v>1010</v>
      </c>
      <c r="B12" s="158" t="s">
        <v>1011</v>
      </c>
      <c r="C12" s="154">
        <f>IFERROR(VLOOKUP(A12,'งบทดลอง รพ.'!$A$2:$C$609,3,0),0)</f>
        <v>0</v>
      </c>
      <c r="D12" s="25"/>
      <c r="E12" s="99" t="s">
        <v>1343</v>
      </c>
      <c r="F12" s="99" t="s">
        <v>16</v>
      </c>
      <c r="G12" s="95" t="s">
        <v>1412</v>
      </c>
      <c r="H12" s="95"/>
    </row>
    <row r="13" spans="1:10" ht="23.25" hidden="1" x14ac:dyDescent="0.35">
      <c r="A13" s="161" t="s">
        <v>155</v>
      </c>
      <c r="B13" s="161" t="s">
        <v>177</v>
      </c>
      <c r="C13" s="154">
        <f>IFERROR(VLOOKUP(A13,'งบทดลอง รพ.'!$A$2:$C$609,3,0),0)</f>
        <v>0</v>
      </c>
      <c r="D13" s="25"/>
      <c r="E13" s="99" t="s">
        <v>1343</v>
      </c>
      <c r="F13" s="99" t="s">
        <v>16</v>
      </c>
      <c r="G13" s="95" t="s">
        <v>1414</v>
      </c>
      <c r="H13" s="95"/>
    </row>
    <row r="14" spans="1:10" ht="23.25" hidden="1" x14ac:dyDescent="0.35">
      <c r="A14" s="161" t="s">
        <v>156</v>
      </c>
      <c r="B14" s="161" t="s">
        <v>179</v>
      </c>
      <c r="C14" s="154">
        <f>IFERROR(VLOOKUP(A14,'งบทดลอง รพ.'!$A$2:$C$609,3,0),0)</f>
        <v>0</v>
      </c>
      <c r="D14" s="25"/>
      <c r="E14" s="99" t="s">
        <v>1343</v>
      </c>
      <c r="F14" s="99" t="s">
        <v>16</v>
      </c>
      <c r="G14" s="95" t="s">
        <v>1414</v>
      </c>
      <c r="H14" s="95"/>
    </row>
    <row r="15" spans="1:10" ht="23.25" hidden="1" x14ac:dyDescent="0.35">
      <c r="A15" s="161" t="s">
        <v>157</v>
      </c>
      <c r="B15" s="161" t="s">
        <v>158</v>
      </c>
      <c r="C15" s="154">
        <f>IFERROR(VLOOKUP(A15,'งบทดลอง รพ.'!$A$2:$C$609,3,0),0)</f>
        <v>0</v>
      </c>
      <c r="D15" s="25"/>
      <c r="E15" s="99" t="s">
        <v>1343</v>
      </c>
      <c r="F15" s="99" t="s">
        <v>16</v>
      </c>
      <c r="G15" s="95" t="s">
        <v>1414</v>
      </c>
      <c r="H15" s="95"/>
    </row>
    <row r="16" spans="1:10" ht="23.25" hidden="1" x14ac:dyDescent="0.35">
      <c r="A16" s="158" t="s">
        <v>1012</v>
      </c>
      <c r="B16" s="158" t="s">
        <v>1013</v>
      </c>
      <c r="C16" s="154">
        <f>IFERROR(VLOOKUP(A16,'งบทดลอง รพ.'!$A$2:$C$609,3,0),0)</f>
        <v>0</v>
      </c>
      <c r="D16" s="25"/>
      <c r="E16" s="99" t="s">
        <v>1343</v>
      </c>
      <c r="F16" s="99" t="s">
        <v>16</v>
      </c>
      <c r="G16" s="95" t="s">
        <v>1412</v>
      </c>
      <c r="H16" s="95"/>
    </row>
    <row r="17" spans="1:8" ht="23.25" hidden="1" x14ac:dyDescent="0.35">
      <c r="A17" s="158" t="s">
        <v>1014</v>
      </c>
      <c r="B17" s="158" t="s">
        <v>1015</v>
      </c>
      <c r="C17" s="154">
        <f>IFERROR(VLOOKUP(A17,'งบทดลอง รพ.'!$A$2:$C$609,3,0),0)</f>
        <v>0</v>
      </c>
      <c r="D17" s="25"/>
      <c r="E17" s="99" t="s">
        <v>1343</v>
      </c>
      <c r="F17" s="99" t="s">
        <v>16</v>
      </c>
      <c r="G17" s="95" t="s">
        <v>1412</v>
      </c>
      <c r="H17" s="95"/>
    </row>
    <row r="18" spans="1:8" ht="23.25" hidden="1" x14ac:dyDescent="0.35">
      <c r="A18" s="161" t="s">
        <v>159</v>
      </c>
      <c r="B18" s="161" t="s">
        <v>160</v>
      </c>
      <c r="C18" s="154">
        <f>IFERROR(VLOOKUP(A18,'งบทดลอง รพ.'!$A$2:$C$609,3,0),0)</f>
        <v>0</v>
      </c>
      <c r="D18" s="25"/>
      <c r="E18" s="99" t="s">
        <v>1343</v>
      </c>
      <c r="F18" s="99" t="s">
        <v>16</v>
      </c>
      <c r="G18" s="95" t="s">
        <v>1414</v>
      </c>
      <c r="H18" s="95"/>
    </row>
    <row r="19" spans="1:8" ht="23.25" hidden="1" x14ac:dyDescent="0.35">
      <c r="A19" s="161" t="s">
        <v>117</v>
      </c>
      <c r="B19" s="161" t="s">
        <v>118</v>
      </c>
      <c r="C19" s="154">
        <f>IFERROR(VLOOKUP(A19,'งบทดลอง รพ.'!$A$2:$C$609,3,0),0)</f>
        <v>0</v>
      </c>
      <c r="D19" s="25"/>
      <c r="E19" s="99" t="s">
        <v>1336</v>
      </c>
      <c r="F19" s="99" t="s">
        <v>12</v>
      </c>
      <c r="G19" s="95" t="s">
        <v>1414</v>
      </c>
      <c r="H19" s="95"/>
    </row>
    <row r="20" spans="1:8" ht="23.25" hidden="1" x14ac:dyDescent="0.35">
      <c r="A20" s="161" t="s">
        <v>119</v>
      </c>
      <c r="B20" s="161" t="s">
        <v>120</v>
      </c>
      <c r="C20" s="154">
        <f>IFERROR(VLOOKUP(A20,'งบทดลอง รพ.'!$A$2:$C$609,3,0),0)</f>
        <v>0</v>
      </c>
      <c r="D20" s="25"/>
      <c r="E20" s="99" t="s">
        <v>1336</v>
      </c>
      <c r="F20" s="99" t="s">
        <v>12</v>
      </c>
      <c r="G20" s="95" t="s">
        <v>1414</v>
      </c>
      <c r="H20" s="95"/>
    </row>
    <row r="21" spans="1:8" ht="23.25" hidden="1" x14ac:dyDescent="0.35">
      <c r="A21" s="161" t="s">
        <v>840</v>
      </c>
      <c r="B21" s="161" t="s">
        <v>122</v>
      </c>
      <c r="C21" s="154">
        <f>IFERROR(VLOOKUP(A21,'งบทดลอง รพ.'!$A$2:$C$609,3,0),0)</f>
        <v>0</v>
      </c>
      <c r="D21" s="25"/>
      <c r="E21" s="99" t="s">
        <v>1336</v>
      </c>
      <c r="F21" s="99" t="s">
        <v>12</v>
      </c>
      <c r="G21" s="95" t="s">
        <v>1414</v>
      </c>
      <c r="H21" s="95"/>
    </row>
    <row r="22" spans="1:8" ht="23.25" hidden="1" x14ac:dyDescent="0.35">
      <c r="A22" s="161" t="s">
        <v>841</v>
      </c>
      <c r="B22" s="161" t="s">
        <v>123</v>
      </c>
      <c r="C22" s="154">
        <f>IFERROR(VLOOKUP(A22,'งบทดลอง รพ.'!$A$2:$C$609,3,0),0)</f>
        <v>0</v>
      </c>
      <c r="D22" s="25"/>
      <c r="E22" s="99" t="s">
        <v>1336</v>
      </c>
      <c r="F22" s="99" t="s">
        <v>12</v>
      </c>
      <c r="G22" s="95" t="s">
        <v>1414</v>
      </c>
      <c r="H22" s="95"/>
    </row>
    <row r="23" spans="1:8" ht="23.25" hidden="1" x14ac:dyDescent="0.35">
      <c r="A23" s="161" t="s">
        <v>842</v>
      </c>
      <c r="B23" s="161" t="s">
        <v>843</v>
      </c>
      <c r="C23" s="154">
        <f>IFERROR(VLOOKUP(A23,'งบทดลอง รพ.'!$A$2:$C$609,3,0),0)</f>
        <v>0</v>
      </c>
      <c r="D23" s="25"/>
      <c r="E23" s="99" t="s">
        <v>1336</v>
      </c>
      <c r="F23" s="99" t="s">
        <v>12</v>
      </c>
      <c r="G23" s="95" t="s">
        <v>1414</v>
      </c>
      <c r="H23" s="95"/>
    </row>
    <row r="24" spans="1:8" ht="23.25" hidden="1" x14ac:dyDescent="0.35">
      <c r="A24" s="158" t="s">
        <v>1016</v>
      </c>
      <c r="B24" s="158" t="s">
        <v>121</v>
      </c>
      <c r="C24" s="154">
        <f>IFERROR(VLOOKUP(A24,'งบทดลอง รพ.'!$A$2:$C$609,3,0),0)</f>
        <v>0</v>
      </c>
      <c r="D24" s="25"/>
      <c r="E24" s="99" t="s">
        <v>1336</v>
      </c>
      <c r="F24" s="99" t="s">
        <v>12</v>
      </c>
      <c r="G24" s="95" t="s">
        <v>1412</v>
      </c>
      <c r="H24" s="95"/>
    </row>
    <row r="25" spans="1:8" ht="23.25" hidden="1" x14ac:dyDescent="0.35">
      <c r="A25" s="158" t="s">
        <v>1017</v>
      </c>
      <c r="B25" s="158" t="s">
        <v>84</v>
      </c>
      <c r="C25" s="154">
        <f>IFERROR(VLOOKUP(A25,'งบทดลอง รพ.'!$A$2:$C$609,3,0),0)</f>
        <v>0</v>
      </c>
      <c r="D25" s="25"/>
      <c r="E25" s="99" t="s">
        <v>1315</v>
      </c>
      <c r="F25" s="99" t="s">
        <v>6</v>
      </c>
      <c r="G25" s="95" t="s">
        <v>1412</v>
      </c>
      <c r="H25" s="95"/>
    </row>
    <row r="26" spans="1:8" ht="23.25" hidden="1" x14ac:dyDescent="0.35">
      <c r="A26" s="158" t="s">
        <v>1018</v>
      </c>
      <c r="B26" s="158" t="s">
        <v>122</v>
      </c>
      <c r="C26" s="154">
        <f>IFERROR(VLOOKUP(A26,'งบทดลอง รพ.'!$A$2:$C$609,3,0),0)</f>
        <v>0</v>
      </c>
      <c r="D26" s="25"/>
      <c r="E26" s="99" t="s">
        <v>1336</v>
      </c>
      <c r="F26" s="99" t="s">
        <v>12</v>
      </c>
      <c r="G26" s="95" t="s">
        <v>1412</v>
      </c>
      <c r="H26" s="95"/>
    </row>
    <row r="27" spans="1:8" ht="23.25" hidden="1" x14ac:dyDescent="0.35">
      <c r="A27" s="158" t="s">
        <v>1019</v>
      </c>
      <c r="B27" s="158" t="s">
        <v>123</v>
      </c>
      <c r="C27" s="154">
        <f>IFERROR(VLOOKUP(A27,'งบทดลอง รพ.'!$A$2:$C$609,3,0),0)</f>
        <v>0</v>
      </c>
      <c r="D27" s="25"/>
      <c r="E27" s="99" t="s">
        <v>1336</v>
      </c>
      <c r="F27" s="99" t="s">
        <v>12</v>
      </c>
      <c r="G27" s="95" t="s">
        <v>1412</v>
      </c>
      <c r="H27" s="95"/>
    </row>
    <row r="28" spans="1:8" ht="23.25" hidden="1" x14ac:dyDescent="0.35">
      <c r="A28" s="161" t="s">
        <v>124</v>
      </c>
      <c r="B28" s="161" t="s">
        <v>125</v>
      </c>
      <c r="C28" s="154">
        <f>IFERROR(VLOOKUP(A28,'งบทดลอง รพ.'!$A$2:$C$609,3,0),0)</f>
        <v>0</v>
      </c>
      <c r="D28" s="25"/>
      <c r="E28" s="99" t="s">
        <v>1336</v>
      </c>
      <c r="F28" s="99" t="s">
        <v>12</v>
      </c>
      <c r="G28" s="95" t="s">
        <v>1414</v>
      </c>
      <c r="H28" s="95"/>
    </row>
    <row r="29" spans="1:8" ht="23.25" hidden="1" x14ac:dyDescent="0.35">
      <c r="A29" s="161" t="s">
        <v>126</v>
      </c>
      <c r="B29" s="161" t="s">
        <v>127</v>
      </c>
      <c r="C29" s="154">
        <f>IFERROR(VLOOKUP(A29,'งบทดลอง รพ.'!$A$2:$C$609,3,0),0)</f>
        <v>0</v>
      </c>
      <c r="D29" s="25"/>
      <c r="E29" s="99" t="s">
        <v>1336</v>
      </c>
      <c r="F29" s="99" t="s">
        <v>12</v>
      </c>
      <c r="G29" s="95" t="s">
        <v>1414</v>
      </c>
      <c r="H29" s="95"/>
    </row>
    <row r="30" spans="1:8" ht="23.25" hidden="1" x14ac:dyDescent="0.35">
      <c r="A30" s="161" t="s">
        <v>844</v>
      </c>
      <c r="B30" s="161" t="s">
        <v>121</v>
      </c>
      <c r="C30" s="154">
        <f>IFERROR(VLOOKUP(A30,'งบทดลอง รพ.'!$A$2:$C$609,3,0),0)</f>
        <v>0</v>
      </c>
      <c r="D30" s="25"/>
      <c r="E30" s="99" t="s">
        <v>1336</v>
      </c>
      <c r="F30" s="99" t="s">
        <v>12</v>
      </c>
      <c r="G30" s="95" t="s">
        <v>1414</v>
      </c>
      <c r="H30" s="95"/>
    </row>
    <row r="31" spans="1:8" ht="23.25" hidden="1" x14ac:dyDescent="0.35">
      <c r="A31" s="161" t="s">
        <v>845</v>
      </c>
      <c r="B31" s="161" t="s">
        <v>84</v>
      </c>
      <c r="C31" s="154">
        <f>IFERROR(VLOOKUP(A31,'งบทดลอง รพ.'!$A$2:$C$609,3,0),0)</f>
        <v>0</v>
      </c>
      <c r="D31" s="25"/>
      <c r="E31" s="99" t="s">
        <v>1315</v>
      </c>
      <c r="F31" s="99" t="s">
        <v>6</v>
      </c>
      <c r="G31" s="95" t="s">
        <v>1414</v>
      </c>
      <c r="H31" s="95"/>
    </row>
    <row r="32" spans="1:8" ht="23.25" hidden="1" x14ac:dyDescent="0.35">
      <c r="A32" s="161" t="s">
        <v>846</v>
      </c>
      <c r="B32" s="161" t="s">
        <v>847</v>
      </c>
      <c r="C32" s="154">
        <f>IFERROR(VLOOKUP(A32,'งบทดลอง รพ.'!$A$2:$C$609,3,0),0)</f>
        <v>29250</v>
      </c>
      <c r="D32" s="25"/>
      <c r="E32" s="99" t="s">
        <v>1304</v>
      </c>
      <c r="F32" s="99" t="s">
        <v>2</v>
      </c>
      <c r="G32" s="95" t="s">
        <v>1414</v>
      </c>
      <c r="H32" s="95"/>
    </row>
    <row r="33" spans="1:8" ht="23.25" hidden="1" x14ac:dyDescent="0.35">
      <c r="A33" s="161" t="s">
        <v>848</v>
      </c>
      <c r="B33" s="161" t="s">
        <v>849</v>
      </c>
      <c r="C33" s="154">
        <f>IFERROR(VLOOKUP(A33,'งบทดลอง รพ.'!$A$2:$C$609,3,0),0)</f>
        <v>0</v>
      </c>
      <c r="D33" s="25"/>
      <c r="E33" s="99" t="s">
        <v>1336</v>
      </c>
      <c r="F33" s="99" t="s">
        <v>12</v>
      </c>
      <c r="G33" s="95" t="s">
        <v>1414</v>
      </c>
      <c r="H33" s="95"/>
    </row>
    <row r="34" spans="1:8" ht="23.25" hidden="1" x14ac:dyDescent="0.35">
      <c r="A34" s="158" t="s">
        <v>1020</v>
      </c>
      <c r="B34" s="158" t="s">
        <v>1021</v>
      </c>
      <c r="C34" s="154">
        <f>IFERROR(VLOOKUP(A34,'งบทดลอง รพ.'!$A$2:$C$609,3,0),0)</f>
        <v>0</v>
      </c>
      <c r="D34" s="25"/>
      <c r="E34" s="99" t="s">
        <v>1336</v>
      </c>
      <c r="F34" s="99" t="s">
        <v>12</v>
      </c>
      <c r="G34" s="95" t="s">
        <v>1412</v>
      </c>
      <c r="H34" s="95"/>
    </row>
    <row r="35" spans="1:8" ht="23.25" hidden="1" x14ac:dyDescent="0.35">
      <c r="A35" s="161" t="s">
        <v>76</v>
      </c>
      <c r="B35" s="161" t="s">
        <v>1417</v>
      </c>
      <c r="C35" s="154">
        <f>IFERROR(VLOOKUP(A35,'งบทดลอง รพ.'!$A$2:$C$609,3,0),0)</f>
        <v>0</v>
      </c>
      <c r="D35" s="25"/>
      <c r="E35" s="99" t="s">
        <v>1305</v>
      </c>
      <c r="F35" s="99" t="s">
        <v>4</v>
      </c>
      <c r="G35" s="95" t="s">
        <v>1414</v>
      </c>
      <c r="H35" s="95"/>
    </row>
    <row r="36" spans="1:8" ht="23.25" hidden="1" x14ac:dyDescent="0.35">
      <c r="A36" s="161" t="s">
        <v>77</v>
      </c>
      <c r="B36" s="161" t="s">
        <v>1418</v>
      </c>
      <c r="C36" s="154">
        <f>IFERROR(VLOOKUP(A36,'งบทดลอง รพ.'!$A$2:$C$609,3,0),0)</f>
        <v>0</v>
      </c>
      <c r="D36" s="25"/>
      <c r="E36" s="99" t="s">
        <v>1307</v>
      </c>
      <c r="F36" s="99" t="s">
        <v>4</v>
      </c>
      <c r="G36" s="95" t="s">
        <v>1414</v>
      </c>
      <c r="H36" s="95"/>
    </row>
    <row r="37" spans="1:8" ht="23.25" hidden="1" x14ac:dyDescent="0.35">
      <c r="A37" s="161" t="s">
        <v>128</v>
      </c>
      <c r="B37" s="161" t="s">
        <v>1419</v>
      </c>
      <c r="C37" s="154">
        <f>IFERROR(VLOOKUP(A37,'งบทดลอง รพ.'!$A$2:$C$609,3,0),0)</f>
        <v>691297.98</v>
      </c>
      <c r="D37" s="25"/>
      <c r="E37" s="99" t="s">
        <v>1338</v>
      </c>
      <c r="F37" s="99" t="s">
        <v>12</v>
      </c>
      <c r="G37" s="95" t="s">
        <v>1414</v>
      </c>
      <c r="H37" s="95"/>
    </row>
    <row r="38" spans="1:8" ht="23.25" hidden="1" x14ac:dyDescent="0.35">
      <c r="A38" s="161" t="s">
        <v>129</v>
      </c>
      <c r="B38" s="161" t="s">
        <v>1420</v>
      </c>
      <c r="C38" s="154">
        <f>IFERROR(VLOOKUP(A38,'งบทดลอง รพ.'!$A$2:$C$609,3,0),0)</f>
        <v>0</v>
      </c>
      <c r="D38" s="25"/>
      <c r="E38" s="99" t="s">
        <v>1340</v>
      </c>
      <c r="F38" s="99" t="s">
        <v>12</v>
      </c>
      <c r="G38" s="95" t="s">
        <v>1414</v>
      </c>
      <c r="H38" s="95"/>
    </row>
    <row r="39" spans="1:8" ht="23.25" hidden="1" x14ac:dyDescent="0.35">
      <c r="A39" s="161" t="s">
        <v>85</v>
      </c>
      <c r="B39" s="161" t="s">
        <v>1421</v>
      </c>
      <c r="C39" s="154">
        <f>IFERROR(VLOOKUP(A39,'งบทดลอง รพ.'!$A$2:$C$609,3,0),0)</f>
        <v>895903.47</v>
      </c>
      <c r="D39" s="25"/>
      <c r="E39" s="99" t="s">
        <v>1317</v>
      </c>
      <c r="F39" s="99" t="s">
        <v>6</v>
      </c>
      <c r="G39" s="95" t="s">
        <v>1414</v>
      </c>
      <c r="H39" s="95"/>
    </row>
    <row r="40" spans="1:8" ht="23.25" hidden="1" x14ac:dyDescent="0.35">
      <c r="A40" s="161" t="s">
        <v>86</v>
      </c>
      <c r="B40" s="161" t="s">
        <v>1422</v>
      </c>
      <c r="C40" s="154">
        <f>IFERROR(VLOOKUP(A40,'งบทดลอง รพ.'!$A$2:$C$609,3,0),0)</f>
        <v>12000</v>
      </c>
      <c r="D40" s="25"/>
      <c r="E40" s="99" t="s">
        <v>1319</v>
      </c>
      <c r="F40" s="99" t="s">
        <v>6</v>
      </c>
      <c r="G40" s="95" t="s">
        <v>1414</v>
      </c>
      <c r="H40" s="95"/>
    </row>
    <row r="41" spans="1:8" ht="23.25" hidden="1" x14ac:dyDescent="0.35">
      <c r="A41" s="161" t="s">
        <v>87</v>
      </c>
      <c r="B41" s="161" t="s">
        <v>88</v>
      </c>
      <c r="C41" s="154">
        <f>IFERROR(VLOOKUP(A41,'งบทดลอง รพ.'!$A$2:$C$609,3,0),0)</f>
        <v>0</v>
      </c>
      <c r="D41" s="25"/>
      <c r="E41" s="99" t="s">
        <v>1321</v>
      </c>
      <c r="F41" s="99" t="s">
        <v>6</v>
      </c>
      <c r="G41" s="95" t="s">
        <v>1414</v>
      </c>
      <c r="H41" s="95"/>
    </row>
    <row r="42" spans="1:8" ht="23.25" hidden="1" x14ac:dyDescent="0.35">
      <c r="A42" s="161" t="s">
        <v>89</v>
      </c>
      <c r="B42" s="161" t="s">
        <v>90</v>
      </c>
      <c r="C42" s="154">
        <f>IFERROR(VLOOKUP(A42,'งบทดลอง รพ.'!$A$2:$C$609,3,0),0)</f>
        <v>0</v>
      </c>
      <c r="D42" s="25"/>
      <c r="E42" s="99" t="s">
        <v>1321</v>
      </c>
      <c r="F42" s="99" t="s">
        <v>6</v>
      </c>
      <c r="G42" s="95" t="s">
        <v>1414</v>
      </c>
      <c r="H42" s="95"/>
    </row>
    <row r="43" spans="1:8" ht="23.25" hidden="1" x14ac:dyDescent="0.35">
      <c r="A43" s="161" t="s">
        <v>130</v>
      </c>
      <c r="B43" s="161" t="s">
        <v>1423</v>
      </c>
      <c r="C43" s="154">
        <f>IFERROR(VLOOKUP(A43,'งบทดลอง รพ.'!$A$2:$C$609,3,0),0)</f>
        <v>20010.689999999999</v>
      </c>
      <c r="D43" s="25"/>
      <c r="E43" s="99" t="s">
        <v>1338</v>
      </c>
      <c r="F43" s="99" t="s">
        <v>12</v>
      </c>
      <c r="G43" s="95" t="s">
        <v>1414</v>
      </c>
      <c r="H43" s="95"/>
    </row>
    <row r="44" spans="1:8" ht="23.25" hidden="1" x14ac:dyDescent="0.35">
      <c r="A44" s="161" t="s">
        <v>131</v>
      </c>
      <c r="B44" s="161" t="s">
        <v>1424</v>
      </c>
      <c r="C44" s="154">
        <f>IFERROR(VLOOKUP(A44,'งบทดลอง รพ.'!$A$2:$C$609,3,0),0)</f>
        <v>0</v>
      </c>
      <c r="D44" s="25"/>
      <c r="E44" s="99" t="s">
        <v>1340</v>
      </c>
      <c r="F44" s="99" t="s">
        <v>12</v>
      </c>
      <c r="G44" s="95" t="s">
        <v>1414</v>
      </c>
      <c r="H44" s="95"/>
    </row>
    <row r="45" spans="1:8" ht="23.25" hidden="1" x14ac:dyDescent="0.35">
      <c r="A45" s="162" t="s">
        <v>78</v>
      </c>
      <c r="B45" s="162" t="s">
        <v>1425</v>
      </c>
      <c r="C45" s="154">
        <f>IFERROR(VLOOKUP(A45,'งบทดลอง รพ.'!$A$2:$C$609,3,0),0)</f>
        <v>159832.66</v>
      </c>
      <c r="D45" s="25"/>
      <c r="E45" s="99" t="s">
        <v>1310</v>
      </c>
      <c r="F45" s="99" t="s">
        <v>1309</v>
      </c>
      <c r="G45" s="95" t="s">
        <v>1414</v>
      </c>
      <c r="H45" s="95"/>
    </row>
    <row r="46" spans="1:8" ht="23.25" hidden="1" x14ac:dyDescent="0.35">
      <c r="A46" s="162" t="s">
        <v>79</v>
      </c>
      <c r="B46" s="162" t="s">
        <v>1426</v>
      </c>
      <c r="C46" s="154">
        <f>IFERROR(VLOOKUP(A46,'งบทดลอง รพ.'!$A$2:$C$609,3,0),0)</f>
        <v>0</v>
      </c>
      <c r="D46" s="25"/>
      <c r="E46" s="99" t="s">
        <v>1312</v>
      </c>
      <c r="F46" s="99" t="s">
        <v>1309</v>
      </c>
      <c r="G46" s="95" t="s">
        <v>1414</v>
      </c>
      <c r="H46" s="95"/>
    </row>
    <row r="47" spans="1:8" ht="23.25" hidden="1" x14ac:dyDescent="0.35">
      <c r="A47" s="162" t="s">
        <v>80</v>
      </c>
      <c r="B47" s="162" t="s">
        <v>81</v>
      </c>
      <c r="C47" s="154">
        <f>IFERROR(VLOOKUP(A47,'งบทดลอง รพ.'!$A$2:$C$609,3,0),0)</f>
        <v>0</v>
      </c>
      <c r="D47" s="25"/>
      <c r="E47" s="99" t="s">
        <v>1314</v>
      </c>
      <c r="F47" s="99" t="s">
        <v>1309</v>
      </c>
      <c r="G47" s="95" t="s">
        <v>1414</v>
      </c>
      <c r="H47" s="95"/>
    </row>
    <row r="48" spans="1:8" ht="23.25" hidden="1" x14ac:dyDescent="0.35">
      <c r="A48" s="162" t="s">
        <v>82</v>
      </c>
      <c r="B48" s="162" t="s">
        <v>83</v>
      </c>
      <c r="C48" s="154">
        <f>IFERROR(VLOOKUP(A48,'งบทดลอง รพ.'!$A$2:$C$609,3,0),0)</f>
        <v>0</v>
      </c>
      <c r="D48" s="25"/>
      <c r="E48" s="99" t="s">
        <v>1314</v>
      </c>
      <c r="F48" s="99" t="s">
        <v>1309</v>
      </c>
      <c r="G48" s="95" t="s">
        <v>1414</v>
      </c>
      <c r="H48" s="95"/>
    </row>
    <row r="49" spans="1:8" ht="23.25" hidden="1" x14ac:dyDescent="0.35">
      <c r="A49" s="162" t="s">
        <v>850</v>
      </c>
      <c r="B49" s="162" t="s">
        <v>851</v>
      </c>
      <c r="C49" s="154">
        <f>IFERROR(VLOOKUP(A49,'งบทดลอง รพ.'!$A$2:$C$609,3,0),0)</f>
        <v>0</v>
      </c>
      <c r="D49" s="25"/>
      <c r="E49" s="99" t="s">
        <v>1314</v>
      </c>
      <c r="F49" s="99" t="s">
        <v>1309</v>
      </c>
      <c r="G49" s="95" t="s">
        <v>1414</v>
      </c>
      <c r="H49" s="95"/>
    </row>
    <row r="50" spans="1:8" ht="23.25" hidden="1" x14ac:dyDescent="0.35">
      <c r="A50" s="162" t="s">
        <v>852</v>
      </c>
      <c r="B50" s="162" t="s">
        <v>853</v>
      </c>
      <c r="C50" s="154">
        <f>IFERROR(VLOOKUP(A50,'งบทดลอง รพ.'!$A$2:$C$609,3,0),0)</f>
        <v>0</v>
      </c>
      <c r="D50" s="25"/>
      <c r="E50" s="99" t="s">
        <v>1312</v>
      </c>
      <c r="F50" s="99" t="s">
        <v>1309</v>
      </c>
      <c r="G50" s="95" t="s">
        <v>1414</v>
      </c>
      <c r="H50" s="95"/>
    </row>
    <row r="51" spans="1:8" ht="23.25" hidden="1" x14ac:dyDescent="0.35">
      <c r="A51" s="162" t="s">
        <v>854</v>
      </c>
      <c r="B51" s="162" t="s">
        <v>855</v>
      </c>
      <c r="C51" s="154">
        <f>IFERROR(VLOOKUP(A51,'งบทดลอง รพ.'!$A$2:$C$609,3,0),0)</f>
        <v>0</v>
      </c>
      <c r="D51" s="25"/>
      <c r="E51" s="99" t="s">
        <v>1314</v>
      </c>
      <c r="F51" s="99" t="s">
        <v>1309</v>
      </c>
      <c r="G51" s="95" t="s">
        <v>1414</v>
      </c>
      <c r="H51" s="95"/>
    </row>
    <row r="52" spans="1:8" ht="23.25" hidden="1" x14ac:dyDescent="0.35">
      <c r="A52" s="162" t="s">
        <v>856</v>
      </c>
      <c r="B52" s="162" t="s">
        <v>857</v>
      </c>
      <c r="C52" s="154">
        <f>IFERROR(VLOOKUP(A52,'งบทดลอง รพ.'!$A$2:$C$609,3,0),0)</f>
        <v>0</v>
      </c>
      <c r="D52" s="25"/>
      <c r="E52" s="99" t="s">
        <v>1314</v>
      </c>
      <c r="F52" s="99" t="s">
        <v>1309</v>
      </c>
      <c r="G52" s="95" t="s">
        <v>1414</v>
      </c>
      <c r="H52" s="95"/>
    </row>
    <row r="53" spans="1:8" ht="23.25" hidden="1" x14ac:dyDescent="0.35">
      <c r="A53" s="162" t="s">
        <v>858</v>
      </c>
      <c r="B53" s="162" t="s">
        <v>859</v>
      </c>
      <c r="C53" s="154">
        <f>IFERROR(VLOOKUP(A53,'งบทดลอง รพ.'!$A$2:$C$609,3,0),0)</f>
        <v>0</v>
      </c>
      <c r="D53" s="25"/>
      <c r="E53" s="99" t="s">
        <v>1314</v>
      </c>
      <c r="F53" s="99" t="s">
        <v>1309</v>
      </c>
      <c r="G53" s="95" t="s">
        <v>1414</v>
      </c>
      <c r="H53" s="95"/>
    </row>
    <row r="54" spans="1:8" ht="23.25" hidden="1" x14ac:dyDescent="0.35">
      <c r="A54" s="162" t="s">
        <v>860</v>
      </c>
      <c r="B54" s="162" t="s">
        <v>861</v>
      </c>
      <c r="C54" s="154">
        <f>IFERROR(VLOOKUP(A54,'งบทดลอง รพ.'!$A$2:$C$609,3,0),0)</f>
        <v>0</v>
      </c>
      <c r="D54" s="25"/>
      <c r="E54" s="99" t="s">
        <v>1312</v>
      </c>
      <c r="F54" s="99" t="s">
        <v>1309</v>
      </c>
      <c r="G54" s="95" t="s">
        <v>1414</v>
      </c>
      <c r="H54" s="95"/>
    </row>
    <row r="55" spans="1:8" ht="23.25" hidden="1" x14ac:dyDescent="0.35">
      <c r="A55" s="162" t="s">
        <v>862</v>
      </c>
      <c r="B55" s="162" t="s">
        <v>863</v>
      </c>
      <c r="C55" s="154">
        <f>IFERROR(VLOOKUP(A55,'งบทดลอง รพ.'!$A$2:$C$609,3,0),0)</f>
        <v>0</v>
      </c>
      <c r="D55" s="25"/>
      <c r="E55" s="99" t="s">
        <v>1314</v>
      </c>
      <c r="F55" s="99" t="s">
        <v>1309</v>
      </c>
      <c r="G55" s="95" t="s">
        <v>1414</v>
      </c>
      <c r="H55" s="95"/>
    </row>
    <row r="56" spans="1:8" ht="23.25" hidden="1" x14ac:dyDescent="0.35">
      <c r="A56" s="162" t="s">
        <v>864</v>
      </c>
      <c r="B56" s="162" t="s">
        <v>865</v>
      </c>
      <c r="C56" s="154">
        <f>IFERROR(VLOOKUP(A56,'งบทดลอง รพ.'!$A$2:$C$609,3,0),0)</f>
        <v>0</v>
      </c>
      <c r="D56" s="25"/>
      <c r="E56" s="99" t="s">
        <v>1314</v>
      </c>
      <c r="F56" s="99" t="s">
        <v>1309</v>
      </c>
      <c r="G56" s="95" t="s">
        <v>1414</v>
      </c>
      <c r="H56" s="95"/>
    </row>
    <row r="57" spans="1:8" ht="23.25" hidden="1" x14ac:dyDescent="0.35">
      <c r="A57" s="161" t="s">
        <v>45</v>
      </c>
      <c r="B57" s="161" t="s">
        <v>1427</v>
      </c>
      <c r="C57" s="154">
        <f>IFERROR(VLOOKUP(A57,'งบทดลอง รพ.'!$A$2:$C$609,3,0),0)</f>
        <v>12462273.609999999</v>
      </c>
      <c r="D57" s="25"/>
      <c r="E57" s="99" t="s">
        <v>1297</v>
      </c>
      <c r="F57" s="99" t="s">
        <v>0</v>
      </c>
      <c r="G57" s="95" t="s">
        <v>1414</v>
      </c>
      <c r="H57" s="95"/>
    </row>
    <row r="58" spans="1:8" ht="23.25" hidden="1" x14ac:dyDescent="0.35">
      <c r="A58" s="161" t="s">
        <v>46</v>
      </c>
      <c r="B58" s="161" t="s">
        <v>1428</v>
      </c>
      <c r="C58" s="154">
        <f>IFERROR(VLOOKUP(A58,'งบทดลอง รพ.'!$A$2:$C$609,3,0),0)</f>
        <v>1584000</v>
      </c>
      <c r="D58" s="25"/>
      <c r="E58" s="99" t="s">
        <v>1299</v>
      </c>
      <c r="F58" s="99" t="s">
        <v>0</v>
      </c>
      <c r="G58" s="95" t="s">
        <v>1414</v>
      </c>
      <c r="H58" s="95"/>
    </row>
    <row r="59" spans="1:8" ht="23.25" hidden="1" x14ac:dyDescent="0.35">
      <c r="A59" s="161" t="s">
        <v>47</v>
      </c>
      <c r="B59" s="161" t="s">
        <v>1429</v>
      </c>
      <c r="C59" s="154">
        <f>IFERROR(VLOOKUP(A59,'งบทดลอง รพ.'!$A$2:$C$609,3,0),0)</f>
        <v>36574</v>
      </c>
      <c r="D59" s="25"/>
      <c r="E59" s="99" t="s">
        <v>1297</v>
      </c>
      <c r="F59" s="99" t="s">
        <v>0</v>
      </c>
      <c r="G59" s="95" t="s">
        <v>1414</v>
      </c>
      <c r="H59" s="95"/>
    </row>
    <row r="60" spans="1:8" ht="23.25" hidden="1" x14ac:dyDescent="0.35">
      <c r="A60" s="158" t="s">
        <v>1022</v>
      </c>
      <c r="B60" s="158" t="s">
        <v>1023</v>
      </c>
      <c r="C60" s="154">
        <f>IFERROR(VLOOKUP(A60,'งบทดลอง รพ.'!$A$2:$C$609,3,0),0)</f>
        <v>0</v>
      </c>
      <c r="D60" s="25"/>
      <c r="E60" s="99" t="s">
        <v>1299</v>
      </c>
      <c r="F60" s="99" t="s">
        <v>0</v>
      </c>
      <c r="G60" s="95" t="s">
        <v>1412</v>
      </c>
      <c r="H60" s="95"/>
    </row>
    <row r="61" spans="1:8" ht="23.25" hidden="1" x14ac:dyDescent="0.35">
      <c r="A61" s="161" t="s">
        <v>48</v>
      </c>
      <c r="B61" s="161" t="s">
        <v>1430</v>
      </c>
      <c r="C61" s="154">
        <f>IFERROR(VLOOKUP(A61,'งบทดลอง รพ.'!$A$2:$C$609,3,0),0)</f>
        <v>0</v>
      </c>
      <c r="D61" s="25"/>
      <c r="E61" s="99" t="s">
        <v>1297</v>
      </c>
      <c r="F61" s="99" t="s">
        <v>0</v>
      </c>
      <c r="G61" s="95" t="s">
        <v>1414</v>
      </c>
      <c r="H61" s="95"/>
    </row>
    <row r="62" spans="1:8" ht="23.25" hidden="1" x14ac:dyDescent="0.35">
      <c r="A62" s="158" t="s">
        <v>1024</v>
      </c>
      <c r="B62" s="158" t="s">
        <v>1025</v>
      </c>
      <c r="C62" s="154">
        <f>IFERROR(VLOOKUP(A62,'งบทดลอง รพ.'!$A$2:$C$609,3,0),0)</f>
        <v>0</v>
      </c>
      <c r="D62" s="25"/>
      <c r="E62" s="99" t="s">
        <v>1299</v>
      </c>
      <c r="F62" s="99" t="s">
        <v>0</v>
      </c>
      <c r="G62" s="95" t="s">
        <v>1412</v>
      </c>
      <c r="H62" s="95"/>
    </row>
    <row r="63" spans="1:8" ht="23.25" hidden="1" x14ac:dyDescent="0.35">
      <c r="A63" s="161" t="s">
        <v>49</v>
      </c>
      <c r="B63" s="161" t="s">
        <v>1431</v>
      </c>
      <c r="C63" s="154">
        <f>IFERROR(VLOOKUP(A63,'งบทดลอง รพ.'!$A$2:$C$609,3,0),0)</f>
        <v>2523</v>
      </c>
      <c r="D63" s="25"/>
      <c r="E63" s="99" t="s">
        <v>1297</v>
      </c>
      <c r="F63" s="99" t="s">
        <v>0</v>
      </c>
      <c r="G63" s="95" t="s">
        <v>1414</v>
      </c>
      <c r="H63" s="95"/>
    </row>
    <row r="64" spans="1:8" ht="23.25" hidden="1" x14ac:dyDescent="0.35">
      <c r="A64" s="158" t="s">
        <v>1026</v>
      </c>
      <c r="B64" s="158" t="s">
        <v>1027</v>
      </c>
      <c r="C64" s="154">
        <f>IFERROR(VLOOKUP(A64,'งบทดลอง รพ.'!$A$2:$C$609,3,0),0)</f>
        <v>0</v>
      </c>
      <c r="D64" s="25"/>
      <c r="E64" s="99" t="s">
        <v>1299</v>
      </c>
      <c r="F64" s="99" t="s">
        <v>0</v>
      </c>
      <c r="G64" s="95" t="s">
        <v>1412</v>
      </c>
      <c r="H64" s="95"/>
    </row>
    <row r="65" spans="1:8" ht="23.25" hidden="1" x14ac:dyDescent="0.35">
      <c r="A65" s="162" t="s">
        <v>215</v>
      </c>
      <c r="B65" s="162" t="s">
        <v>216</v>
      </c>
      <c r="C65" s="154">
        <f>IFERROR(VLOOKUP(A65,'งบทดลอง รพ.'!$A$2:$C$609,3,0),0)</f>
        <v>3081926.94</v>
      </c>
      <c r="D65" s="25"/>
      <c r="E65" s="99" t="s">
        <v>1346</v>
      </c>
      <c r="F65" s="99" t="s">
        <v>18</v>
      </c>
      <c r="G65" s="95" t="s">
        <v>1414</v>
      </c>
      <c r="H65" s="95"/>
    </row>
    <row r="66" spans="1:8" s="327" customFormat="1" ht="23.25" hidden="1" x14ac:dyDescent="0.35">
      <c r="A66" s="350" t="s">
        <v>50</v>
      </c>
      <c r="B66" s="350" t="s">
        <v>1432</v>
      </c>
      <c r="C66" s="351">
        <f>IFERROR(VLOOKUP(A66,'งบทดลอง รพ.'!$A$2:$C$609,3,0),0)</f>
        <v>5432591.4000000004</v>
      </c>
      <c r="D66" s="321"/>
      <c r="E66" s="352" t="s">
        <v>1301</v>
      </c>
      <c r="F66" s="352" t="s">
        <v>0</v>
      </c>
      <c r="G66" s="168" t="s">
        <v>1414</v>
      </c>
      <c r="H66" s="168"/>
    </row>
    <row r="67" spans="1:8" ht="23.25" x14ac:dyDescent="0.35">
      <c r="A67" s="161" t="s">
        <v>51</v>
      </c>
      <c r="B67" s="161" t="s">
        <v>1433</v>
      </c>
      <c r="C67" s="154">
        <f>IFERROR(VLOOKUP(A67,'งบทดลอง รพ.'!$A$2:$C$609,3,0),0)</f>
        <v>0</v>
      </c>
      <c r="D67" s="25"/>
      <c r="E67" s="99" t="s">
        <v>1302</v>
      </c>
      <c r="F67" s="99" t="s">
        <v>0</v>
      </c>
      <c r="G67" s="95" t="s">
        <v>1414</v>
      </c>
      <c r="H67" s="95"/>
    </row>
    <row r="68" spans="1:8" s="327" customFormat="1" ht="23.25" hidden="1" x14ac:dyDescent="0.35">
      <c r="A68" s="350" t="s">
        <v>1028</v>
      </c>
      <c r="B68" s="350" t="s">
        <v>1029</v>
      </c>
      <c r="C68" s="351">
        <f>IFERROR(VLOOKUP(A68,'[1]งบทดลอง รพ.'!$A$2:$C$600,3,0),0)</f>
        <v>0</v>
      </c>
      <c r="D68" s="321"/>
      <c r="E68" s="352">
        <v>42010</v>
      </c>
      <c r="F68" s="352" t="s">
        <v>0</v>
      </c>
      <c r="G68" s="168" t="s">
        <v>1412</v>
      </c>
      <c r="H68" s="168"/>
    </row>
    <row r="69" spans="1:8" ht="23.25" hidden="1" x14ac:dyDescent="0.35">
      <c r="A69" s="161" t="s">
        <v>52</v>
      </c>
      <c r="B69" s="161" t="s">
        <v>1434</v>
      </c>
      <c r="C69" s="154">
        <f>IFERROR(VLOOKUP(A69,'งบทดลอง รพ.'!$A$2:$C$609,3,0),0)</f>
        <v>3048542.26</v>
      </c>
      <c r="D69" s="25"/>
      <c r="E69" s="99" t="s">
        <v>1297</v>
      </c>
      <c r="F69" s="99" t="s">
        <v>0</v>
      </c>
      <c r="G69" s="95" t="s">
        <v>1414</v>
      </c>
      <c r="H69" s="95"/>
    </row>
    <row r="70" spans="1:8" ht="23.25" x14ac:dyDescent="0.35">
      <c r="A70" s="158" t="s">
        <v>1030</v>
      </c>
      <c r="B70" s="158" t="s">
        <v>1031</v>
      </c>
      <c r="C70" s="154">
        <f>IFERROR(VLOOKUP(A70,'งบทดลอง รพ.'!$A$2:$C$609,3,0),0)</f>
        <v>0</v>
      </c>
      <c r="D70" s="25"/>
      <c r="E70" s="99" t="s">
        <v>1302</v>
      </c>
      <c r="F70" s="99" t="s">
        <v>0</v>
      </c>
      <c r="G70" s="95" t="s">
        <v>1412</v>
      </c>
      <c r="H70" s="95"/>
    </row>
    <row r="71" spans="1:8" ht="23.25" hidden="1" x14ac:dyDescent="0.35">
      <c r="A71" s="158" t="s">
        <v>1032</v>
      </c>
      <c r="B71" s="158" t="s">
        <v>1033</v>
      </c>
      <c r="C71" s="154">
        <f>IFERROR(VLOOKUP(A71,'งบทดลอง รพ.'!$A$2:$C$609,3,0),0)</f>
        <v>0</v>
      </c>
      <c r="D71" s="25"/>
      <c r="E71" s="99" t="s">
        <v>1304</v>
      </c>
      <c r="F71" s="99" t="s">
        <v>2</v>
      </c>
      <c r="G71" s="95" t="s">
        <v>1412</v>
      </c>
      <c r="H71" s="95"/>
    </row>
    <row r="72" spans="1:8" ht="23.25" x14ac:dyDescent="0.35">
      <c r="A72" s="161" t="s">
        <v>53</v>
      </c>
      <c r="B72" s="161" t="s">
        <v>54</v>
      </c>
      <c r="C72" s="154">
        <f>IFERROR(VLOOKUP(A72,'งบทดลอง รพ.'!$A$2:$C$609,3,0),0)</f>
        <v>621900.48</v>
      </c>
      <c r="D72" s="25"/>
      <c r="E72" s="99" t="s">
        <v>1302</v>
      </c>
      <c r="F72" s="99" t="s">
        <v>0</v>
      </c>
      <c r="G72" s="95" t="s">
        <v>1414</v>
      </c>
      <c r="H72" s="95"/>
    </row>
    <row r="73" spans="1:8" ht="23.25" x14ac:dyDescent="0.35">
      <c r="A73" s="161" t="s">
        <v>55</v>
      </c>
      <c r="B73" s="161" t="s">
        <v>1435</v>
      </c>
      <c r="C73" s="154">
        <f>IFERROR(VLOOKUP(A73,'งบทดลอง รพ.'!$A$2:$C$609,3,0),0)</f>
        <v>205200</v>
      </c>
      <c r="D73" s="25"/>
      <c r="E73" s="99" t="s">
        <v>1302</v>
      </c>
      <c r="F73" s="99" t="s">
        <v>0</v>
      </c>
      <c r="G73" s="95" t="s">
        <v>1414</v>
      </c>
      <c r="H73" s="95"/>
    </row>
    <row r="74" spans="1:8" ht="23.25" x14ac:dyDescent="0.35">
      <c r="A74" s="161" t="s">
        <v>56</v>
      </c>
      <c r="B74" s="161" t="s">
        <v>57</v>
      </c>
      <c r="C74" s="154">
        <f>IFERROR(VLOOKUP(A74,'งบทดลอง รพ.'!$A$2:$C$609,3,0),0)</f>
        <v>271813.2</v>
      </c>
      <c r="D74" s="25"/>
      <c r="E74" s="99" t="s">
        <v>1302</v>
      </c>
      <c r="F74" s="99" t="s">
        <v>0</v>
      </c>
      <c r="G74" s="95" t="s">
        <v>1414</v>
      </c>
      <c r="H74" s="95"/>
    </row>
    <row r="75" spans="1:8" ht="23.25" hidden="1" x14ac:dyDescent="0.35">
      <c r="A75" s="161" t="s">
        <v>58</v>
      </c>
      <c r="B75" s="161" t="s">
        <v>1436</v>
      </c>
      <c r="C75" s="154">
        <f>IFERROR(VLOOKUP(A75,'งบทดลอง รพ.'!$A$2:$C$609,3,0),0)</f>
        <v>0</v>
      </c>
      <c r="D75" s="25"/>
      <c r="E75" s="99" t="s">
        <v>1301</v>
      </c>
      <c r="F75" s="99" t="s">
        <v>0</v>
      </c>
      <c r="G75" s="95" t="s">
        <v>1414</v>
      </c>
      <c r="H75" s="95"/>
    </row>
    <row r="76" spans="1:8" ht="23.25" hidden="1" x14ac:dyDescent="0.35">
      <c r="A76" s="161" t="s">
        <v>59</v>
      </c>
      <c r="B76" s="161" t="s">
        <v>1437</v>
      </c>
      <c r="C76" s="154">
        <f>IFERROR(VLOOKUP(A76,'งบทดลอง รพ.'!$A$2:$C$609,3,0),0)</f>
        <v>0</v>
      </c>
      <c r="D76" s="25"/>
      <c r="E76" s="99" t="s">
        <v>1301</v>
      </c>
      <c r="F76" s="99" t="s">
        <v>0</v>
      </c>
      <c r="G76" s="95" t="s">
        <v>1414</v>
      </c>
      <c r="H76" s="95"/>
    </row>
    <row r="77" spans="1:8" ht="23.25" hidden="1" x14ac:dyDescent="0.35">
      <c r="A77" s="161" t="s">
        <v>60</v>
      </c>
      <c r="B77" s="161" t="s">
        <v>1438</v>
      </c>
      <c r="C77" s="154">
        <f>IFERROR(VLOOKUP(A77,'งบทดลอง รพ.'!$A$2:$C$609,3,0),0)</f>
        <v>0</v>
      </c>
      <c r="D77" s="25"/>
      <c r="E77" s="99" t="s">
        <v>1301</v>
      </c>
      <c r="F77" s="99" t="s">
        <v>0</v>
      </c>
      <c r="G77" s="95" t="s">
        <v>1414</v>
      </c>
      <c r="H77" s="95"/>
    </row>
    <row r="78" spans="1:8" ht="23.25" hidden="1" x14ac:dyDescent="0.35">
      <c r="A78" s="158" t="s">
        <v>1034</v>
      </c>
      <c r="B78" s="158" t="s">
        <v>1035</v>
      </c>
      <c r="C78" s="154">
        <f>IFERROR(VLOOKUP(A78,'งบทดลอง รพ.'!$A$2:$C$609,3,0),0)</f>
        <v>0</v>
      </c>
      <c r="D78" s="25"/>
      <c r="E78" s="99" t="s">
        <v>1301</v>
      </c>
      <c r="F78" s="99" t="s">
        <v>0</v>
      </c>
      <c r="G78" s="95" t="s">
        <v>1412</v>
      </c>
      <c r="H78" s="95"/>
    </row>
    <row r="79" spans="1:8" ht="23.25" hidden="1" x14ac:dyDescent="0.35">
      <c r="A79" s="158" t="s">
        <v>1036</v>
      </c>
      <c r="B79" s="158" t="s">
        <v>1037</v>
      </c>
      <c r="C79" s="154">
        <f>IFERROR(VLOOKUP(A79,'งบทดลอง รพ.'!$A$2:$C$609,3,0),0)</f>
        <v>0</v>
      </c>
      <c r="D79" s="25"/>
      <c r="E79" s="99" t="s">
        <v>1301</v>
      </c>
      <c r="F79" s="99" t="s">
        <v>0</v>
      </c>
      <c r="G79" s="95" t="s">
        <v>1412</v>
      </c>
      <c r="H79" s="95"/>
    </row>
    <row r="80" spans="1:8" ht="23.25" hidden="1" x14ac:dyDescent="0.35">
      <c r="A80" s="158" t="s">
        <v>1038</v>
      </c>
      <c r="B80" s="158" t="s">
        <v>1039</v>
      </c>
      <c r="C80" s="154">
        <f>IFERROR(VLOOKUP(A80,'งบทดลอง รพ.'!$A$2:$C$609,3,0),0)</f>
        <v>0</v>
      </c>
      <c r="D80" s="25"/>
      <c r="E80" s="99" t="s">
        <v>1301</v>
      </c>
      <c r="F80" s="99" t="s">
        <v>0</v>
      </c>
      <c r="G80" s="95" t="s">
        <v>1412</v>
      </c>
      <c r="H80" s="95"/>
    </row>
    <row r="81" spans="1:8" ht="23.25" hidden="1" x14ac:dyDescent="0.35">
      <c r="A81" s="158" t="s">
        <v>1040</v>
      </c>
      <c r="B81" s="158" t="s">
        <v>1041</v>
      </c>
      <c r="C81" s="154">
        <f>IFERROR(VLOOKUP(A81,'งบทดลอง รพ.'!$A$2:$C$609,3,0),0)</f>
        <v>0</v>
      </c>
      <c r="D81" s="25"/>
      <c r="E81" s="99" t="s">
        <v>1301</v>
      </c>
      <c r="F81" s="99" t="s">
        <v>0</v>
      </c>
      <c r="G81" s="95" t="s">
        <v>1412</v>
      </c>
      <c r="H81" s="95"/>
    </row>
    <row r="82" spans="1:8" ht="23.25" hidden="1" x14ac:dyDescent="0.35">
      <c r="A82" s="158" t="s">
        <v>1042</v>
      </c>
      <c r="B82" s="158" t="s">
        <v>1043</v>
      </c>
      <c r="C82" s="154">
        <f>IFERROR(VLOOKUP(A82,'งบทดลอง รพ.'!$A$2:$C$609,3,0),0)</f>
        <v>0</v>
      </c>
      <c r="D82" s="25"/>
      <c r="E82" s="99" t="s">
        <v>1301</v>
      </c>
      <c r="F82" s="99" t="s">
        <v>0</v>
      </c>
      <c r="G82" s="95" t="s">
        <v>1412</v>
      </c>
      <c r="H82" s="95"/>
    </row>
    <row r="83" spans="1:8" ht="23.25" hidden="1" x14ac:dyDescent="0.35">
      <c r="A83" s="158" t="s">
        <v>1044</v>
      </c>
      <c r="B83" s="158" t="s">
        <v>1045</v>
      </c>
      <c r="C83" s="154">
        <f>IFERROR(VLOOKUP(A83,'งบทดลอง รพ.'!$A$2:$C$609,3,0),0)</f>
        <v>0</v>
      </c>
      <c r="D83" s="25"/>
      <c r="E83" s="99" t="s">
        <v>1301</v>
      </c>
      <c r="F83" s="99" t="s">
        <v>0</v>
      </c>
      <c r="G83" s="95" t="s">
        <v>1412</v>
      </c>
      <c r="H83" s="95"/>
    </row>
    <row r="84" spans="1:8" ht="23.25" hidden="1" x14ac:dyDescent="0.35">
      <c r="A84" s="161" t="s">
        <v>61</v>
      </c>
      <c r="B84" s="161" t="s">
        <v>1439</v>
      </c>
      <c r="C84" s="154">
        <f>IFERROR(VLOOKUP(A84,'งบทดลอง รพ.'!$A$2:$C$609,3,0),0)</f>
        <v>2656</v>
      </c>
      <c r="D84" s="25"/>
      <c r="E84" s="99" t="s">
        <v>1301</v>
      </c>
      <c r="F84" s="99" t="s">
        <v>0</v>
      </c>
      <c r="G84" s="95" t="s">
        <v>1414</v>
      </c>
      <c r="H84" s="95"/>
    </row>
    <row r="85" spans="1:8" ht="23.25" hidden="1" x14ac:dyDescent="0.35">
      <c r="A85" s="161" t="s">
        <v>62</v>
      </c>
      <c r="B85" s="161" t="s">
        <v>1440</v>
      </c>
      <c r="C85" s="154">
        <f>IFERROR(VLOOKUP(A85,'งบทดลอง รพ.'!$A$2:$C$609,3,0),0)</f>
        <v>0</v>
      </c>
      <c r="D85" s="25"/>
      <c r="E85" s="99" t="s">
        <v>1301</v>
      </c>
      <c r="F85" s="99" t="s">
        <v>0</v>
      </c>
      <c r="G85" s="95" t="s">
        <v>1414</v>
      </c>
      <c r="H85" s="95"/>
    </row>
    <row r="86" spans="1:8" ht="23.25" hidden="1" x14ac:dyDescent="0.35">
      <c r="A86" s="161" t="s">
        <v>63</v>
      </c>
      <c r="B86" s="161" t="s">
        <v>1441</v>
      </c>
      <c r="C86" s="154">
        <f>IFERROR(VLOOKUP(A86,'งบทดลอง รพ.'!$A$2:$C$609,3,0),0)</f>
        <v>0</v>
      </c>
      <c r="D86" s="25"/>
      <c r="E86" s="99" t="s">
        <v>1297</v>
      </c>
      <c r="F86" s="99" t="s">
        <v>0</v>
      </c>
      <c r="G86" s="95" t="s">
        <v>1414</v>
      </c>
      <c r="H86" s="95"/>
    </row>
    <row r="87" spans="1:8" ht="23.25" x14ac:dyDescent="0.35">
      <c r="A87" s="161" t="s">
        <v>64</v>
      </c>
      <c r="B87" s="161" t="s">
        <v>65</v>
      </c>
      <c r="C87" s="154">
        <f>IFERROR(VLOOKUP(A87,'งบทดลอง รพ.'!$A$2:$C$609,3,0),0)</f>
        <v>0</v>
      </c>
      <c r="D87" s="25"/>
      <c r="E87" s="99" t="s">
        <v>1302</v>
      </c>
      <c r="F87" s="99" t="s">
        <v>0</v>
      </c>
      <c r="G87" s="95" t="s">
        <v>1414</v>
      </c>
      <c r="H87" s="95"/>
    </row>
    <row r="88" spans="1:8" ht="23.25" x14ac:dyDescent="0.35">
      <c r="A88" s="161" t="s">
        <v>66</v>
      </c>
      <c r="B88" s="161" t="s">
        <v>67</v>
      </c>
      <c r="C88" s="154">
        <f>IFERROR(VLOOKUP(A88,'งบทดลอง รพ.'!$A$2:$C$609,3,0),0)</f>
        <v>11587267.4</v>
      </c>
      <c r="D88" s="25"/>
      <c r="E88" s="99" t="s">
        <v>1302</v>
      </c>
      <c r="F88" s="99" t="s">
        <v>0</v>
      </c>
      <c r="G88" s="95" t="s">
        <v>1414</v>
      </c>
      <c r="H88" s="95"/>
    </row>
    <row r="89" spans="1:8" ht="23.25" hidden="1" x14ac:dyDescent="0.35">
      <c r="A89" s="161" t="s">
        <v>68</v>
      </c>
      <c r="B89" s="161" t="s">
        <v>1442</v>
      </c>
      <c r="C89" s="154">
        <f>IFERROR(VLOOKUP(A89,'งบทดลอง รพ.'!$A$2:$C$609,3,0),0)</f>
        <v>0</v>
      </c>
      <c r="D89" s="25"/>
      <c r="E89" s="99" t="s">
        <v>1297</v>
      </c>
      <c r="F89" s="99" t="s">
        <v>0</v>
      </c>
      <c r="G89" s="95" t="s">
        <v>1414</v>
      </c>
      <c r="H89" s="95"/>
    </row>
    <row r="90" spans="1:8" ht="23.25" hidden="1" x14ac:dyDescent="0.35">
      <c r="A90" s="161" t="s">
        <v>69</v>
      </c>
      <c r="B90" s="161" t="s">
        <v>1443</v>
      </c>
      <c r="C90" s="154">
        <f>IFERROR(VLOOKUP(A90,'งบทดลอง รพ.'!$A$2:$C$609,3,0),0)</f>
        <v>0</v>
      </c>
      <c r="D90" s="25"/>
      <c r="E90" s="99" t="s">
        <v>1299</v>
      </c>
      <c r="F90" s="99" t="s">
        <v>0</v>
      </c>
      <c r="G90" s="95" t="s">
        <v>1414</v>
      </c>
      <c r="H90" s="95"/>
    </row>
    <row r="91" spans="1:8" ht="23.25" hidden="1" x14ac:dyDescent="0.35">
      <c r="A91" s="161" t="s">
        <v>70</v>
      </c>
      <c r="B91" s="161" t="s">
        <v>1444</v>
      </c>
      <c r="C91" s="154">
        <f>IFERROR(VLOOKUP(A91,'งบทดลอง รพ.'!$A$2:$C$609,3,0),0)</f>
        <v>0</v>
      </c>
      <c r="D91" s="25"/>
      <c r="E91" s="99" t="s">
        <v>1297</v>
      </c>
      <c r="F91" s="99" t="s">
        <v>0</v>
      </c>
      <c r="G91" s="95" t="s">
        <v>1414</v>
      </c>
      <c r="H91" s="95"/>
    </row>
    <row r="92" spans="1:8" ht="23.25" hidden="1" x14ac:dyDescent="0.35">
      <c r="A92" s="161" t="s">
        <v>71</v>
      </c>
      <c r="B92" s="161" t="s">
        <v>1445</v>
      </c>
      <c r="C92" s="154">
        <f>IFERROR(VLOOKUP(A92,'งบทดลอง รพ.'!$A$2:$C$609,3,0),0)</f>
        <v>0</v>
      </c>
      <c r="D92" s="25"/>
      <c r="E92" s="99" t="s">
        <v>1299</v>
      </c>
      <c r="F92" s="99" t="s">
        <v>0</v>
      </c>
      <c r="G92" s="95" t="s">
        <v>1414</v>
      </c>
      <c r="H92" s="95"/>
    </row>
    <row r="93" spans="1:8" ht="23.25" hidden="1" x14ac:dyDescent="0.35">
      <c r="A93" s="161" t="s">
        <v>72</v>
      </c>
      <c r="B93" s="161" t="s">
        <v>1446</v>
      </c>
      <c r="C93" s="154">
        <f>IFERROR(VLOOKUP(A93,'งบทดลอง รพ.'!$A$2:$C$609,3,0),0)</f>
        <v>0</v>
      </c>
      <c r="D93" s="25"/>
      <c r="E93" s="99" t="s">
        <v>1297</v>
      </c>
      <c r="F93" s="99" t="s">
        <v>0</v>
      </c>
      <c r="G93" s="95" t="s">
        <v>1414</v>
      </c>
      <c r="H93" s="95"/>
    </row>
    <row r="94" spans="1:8" ht="23.25" hidden="1" x14ac:dyDescent="0.35">
      <c r="A94" s="161" t="s">
        <v>73</v>
      </c>
      <c r="B94" s="161" t="s">
        <v>1447</v>
      </c>
      <c r="C94" s="154">
        <f>IFERROR(VLOOKUP(A94,'งบทดลอง รพ.'!$A$2:$C$609,3,0),0)</f>
        <v>0</v>
      </c>
      <c r="D94" s="25"/>
      <c r="E94" s="99" t="s">
        <v>1299</v>
      </c>
      <c r="F94" s="99" t="s">
        <v>0</v>
      </c>
      <c r="G94" s="95" t="s">
        <v>1414</v>
      </c>
      <c r="H94" s="95"/>
    </row>
    <row r="95" spans="1:8" ht="23.25" x14ac:dyDescent="0.35">
      <c r="A95" s="158" t="s">
        <v>1046</v>
      </c>
      <c r="B95" s="158" t="s">
        <v>1047</v>
      </c>
      <c r="C95" s="154">
        <f>IFERROR(VLOOKUP(A95,'งบทดลอง รพ.'!$A$2:$C$609,3,0),0)</f>
        <v>0</v>
      </c>
      <c r="D95" s="25"/>
      <c r="E95" s="99" t="s">
        <v>1302</v>
      </c>
      <c r="F95" s="99" t="s">
        <v>0</v>
      </c>
      <c r="G95" s="95" t="s">
        <v>1412</v>
      </c>
      <c r="H95" s="95"/>
    </row>
    <row r="96" spans="1:8" ht="23.25" x14ac:dyDescent="0.35">
      <c r="A96" s="161" t="s">
        <v>74</v>
      </c>
      <c r="B96" s="161" t="s">
        <v>1448</v>
      </c>
      <c r="C96" s="154">
        <f>IFERROR(VLOOKUP(A96,'งบทดลอง รพ.'!$A$2:$C$609,3,0),0)</f>
        <v>0</v>
      </c>
      <c r="D96" s="25"/>
      <c r="E96" s="99" t="s">
        <v>1302</v>
      </c>
      <c r="F96" s="99" t="s">
        <v>0</v>
      </c>
      <c r="G96" s="95" t="s">
        <v>1414</v>
      </c>
      <c r="H96" s="95"/>
    </row>
    <row r="97" spans="1:8" ht="23.25" x14ac:dyDescent="0.35">
      <c r="A97" s="161" t="s">
        <v>75</v>
      </c>
      <c r="B97" s="161" t="s">
        <v>1449</v>
      </c>
      <c r="C97" s="154">
        <f>IFERROR(VLOOKUP(A97,'งบทดลอง รพ.'!$A$2:$C$609,3,0),0)</f>
        <v>0</v>
      </c>
      <c r="D97" s="25"/>
      <c r="E97" s="99" t="s">
        <v>1302</v>
      </c>
      <c r="F97" s="99" t="s">
        <v>0</v>
      </c>
      <c r="G97" s="95" t="s">
        <v>1414</v>
      </c>
      <c r="H97" s="95"/>
    </row>
    <row r="98" spans="1:8" ht="23.25" hidden="1" x14ac:dyDescent="0.35">
      <c r="A98" s="161" t="s">
        <v>866</v>
      </c>
      <c r="B98" s="161" t="s">
        <v>867</v>
      </c>
      <c r="C98" s="154">
        <f>IFERROR(VLOOKUP(A98,'งบทดลอง รพ.'!$A$2:$C$609,3,0),0)</f>
        <v>0</v>
      </c>
      <c r="D98" s="25"/>
      <c r="E98" s="99" t="s">
        <v>1301</v>
      </c>
      <c r="F98" s="99" t="s">
        <v>0</v>
      </c>
      <c r="G98" s="95" t="s">
        <v>1414</v>
      </c>
      <c r="H98" s="95"/>
    </row>
    <row r="99" spans="1:8" ht="23.25" hidden="1" x14ac:dyDescent="0.35">
      <c r="A99" s="161" t="s">
        <v>868</v>
      </c>
      <c r="B99" s="161" t="s">
        <v>869</v>
      </c>
      <c r="C99" s="154">
        <f>IFERROR(VLOOKUP(A99,'งบทดลอง รพ.'!$A$2:$C$609,3,0),0)</f>
        <v>0</v>
      </c>
      <c r="D99" s="25"/>
      <c r="E99" s="99" t="s">
        <v>1301</v>
      </c>
      <c r="F99" s="99" t="s">
        <v>0</v>
      </c>
      <c r="G99" s="95" t="s">
        <v>1414</v>
      </c>
      <c r="H99" s="95"/>
    </row>
    <row r="100" spans="1:8" ht="23.25" x14ac:dyDescent="0.35">
      <c r="A100" s="161" t="s">
        <v>870</v>
      </c>
      <c r="B100" s="161" t="s">
        <v>871</v>
      </c>
      <c r="C100" s="154">
        <f>IFERROR(VLOOKUP(A100,'งบทดลอง รพ.'!$A$2:$C$609,3,0),0)</f>
        <v>0</v>
      </c>
      <c r="D100" s="25"/>
      <c r="E100" s="99" t="s">
        <v>1302</v>
      </c>
      <c r="F100" s="99" t="s">
        <v>0</v>
      </c>
      <c r="G100" s="95" t="s">
        <v>1414</v>
      </c>
      <c r="H100" s="95"/>
    </row>
    <row r="101" spans="1:8" ht="23.25" x14ac:dyDescent="0.35">
      <c r="A101" s="161" t="s">
        <v>872</v>
      </c>
      <c r="B101" s="161" t="s">
        <v>873</v>
      </c>
      <c r="C101" s="154">
        <f>IFERROR(VLOOKUP(A101,'งบทดลอง รพ.'!$A$2:$C$609,3,0),0)</f>
        <v>0</v>
      </c>
      <c r="D101" s="25"/>
      <c r="E101" s="99" t="s">
        <v>1302</v>
      </c>
      <c r="F101" s="99" t="s">
        <v>0</v>
      </c>
      <c r="G101" s="95" t="s">
        <v>1414</v>
      </c>
      <c r="H101" s="95"/>
    </row>
    <row r="102" spans="1:8" ht="23.25" hidden="1" x14ac:dyDescent="0.35">
      <c r="A102" s="161" t="s">
        <v>874</v>
      </c>
      <c r="B102" s="161" t="s">
        <v>875</v>
      </c>
      <c r="C102" s="154">
        <f>IFERROR(VLOOKUP(A102,'งบทดลอง รพ.'!$A$2:$C$609,3,0),0)</f>
        <v>0</v>
      </c>
      <c r="D102" s="25"/>
      <c r="E102" s="99" t="s">
        <v>1301</v>
      </c>
      <c r="F102" s="99" t="s">
        <v>0</v>
      </c>
      <c r="G102" s="95" t="s">
        <v>1414</v>
      </c>
      <c r="H102" s="95"/>
    </row>
    <row r="103" spans="1:8" ht="23.25" hidden="1" x14ac:dyDescent="0.35">
      <c r="A103" s="161" t="s">
        <v>876</v>
      </c>
      <c r="B103" s="161" t="s">
        <v>877</v>
      </c>
      <c r="C103" s="154">
        <f>IFERROR(VLOOKUP(A103,'งบทดลอง รพ.'!$A$2:$C$609,3,0),0)</f>
        <v>0</v>
      </c>
      <c r="D103" s="25"/>
      <c r="E103" s="99" t="s">
        <v>1301</v>
      </c>
      <c r="F103" s="99" t="s">
        <v>0</v>
      </c>
      <c r="G103" s="95" t="s">
        <v>1414</v>
      </c>
      <c r="H103" s="95"/>
    </row>
    <row r="104" spans="1:8" ht="23.25" hidden="1" x14ac:dyDescent="0.35">
      <c r="A104" s="161" t="s">
        <v>878</v>
      </c>
      <c r="B104" s="161" t="s">
        <v>879</v>
      </c>
      <c r="C104" s="154">
        <f>IFERROR(VLOOKUP(A104,'งบทดลอง รพ.'!$A$2:$C$609,3,0),0)</f>
        <v>0</v>
      </c>
      <c r="D104" s="25"/>
      <c r="E104" s="99" t="s">
        <v>1301</v>
      </c>
      <c r="F104" s="99" t="s">
        <v>0</v>
      </c>
      <c r="G104" s="95" t="s">
        <v>1414</v>
      </c>
      <c r="H104" s="95"/>
    </row>
    <row r="105" spans="1:8" ht="23.25" hidden="1" x14ac:dyDescent="0.35">
      <c r="A105" s="161" t="s">
        <v>827</v>
      </c>
      <c r="B105" s="161" t="s">
        <v>1450</v>
      </c>
      <c r="C105" s="154">
        <f>IFERROR(VLOOKUP(A105,'งบทดลอง รพ.'!$A$2:$C$609,3,0),0)</f>
        <v>0</v>
      </c>
      <c r="D105" s="25"/>
      <c r="E105" s="99" t="s">
        <v>1301</v>
      </c>
      <c r="F105" s="99" t="s">
        <v>0</v>
      </c>
      <c r="G105" s="95" t="s">
        <v>1414</v>
      </c>
      <c r="H105" s="95"/>
    </row>
    <row r="106" spans="1:8" ht="23.25" hidden="1" x14ac:dyDescent="0.35">
      <c r="A106" s="161" t="s">
        <v>828</v>
      </c>
      <c r="B106" s="161" t="s">
        <v>829</v>
      </c>
      <c r="C106" s="154">
        <f>IFERROR(VLOOKUP(A106,'งบทดลอง รพ.'!$A$2:$C$609,3,0),0)</f>
        <v>0</v>
      </c>
      <c r="D106" s="25"/>
      <c r="E106" s="99" t="s">
        <v>1301</v>
      </c>
      <c r="F106" s="99" t="s">
        <v>0</v>
      </c>
      <c r="G106" s="95" t="s">
        <v>1414</v>
      </c>
      <c r="H106" s="95"/>
    </row>
    <row r="107" spans="1:8" ht="23.25" hidden="1" x14ac:dyDescent="0.35">
      <c r="A107" s="161" t="s">
        <v>830</v>
      </c>
      <c r="B107" s="161" t="s">
        <v>831</v>
      </c>
      <c r="C107" s="154">
        <f>IFERROR(VLOOKUP(A107,'งบทดลอง รพ.'!$A$2:$C$609,3,0),0)</f>
        <v>0</v>
      </c>
      <c r="D107" s="25"/>
      <c r="E107" s="99" t="s">
        <v>1301</v>
      </c>
      <c r="F107" s="99" t="s">
        <v>0</v>
      </c>
      <c r="G107" s="95" t="s">
        <v>1414</v>
      </c>
      <c r="H107" s="95"/>
    </row>
    <row r="108" spans="1:8" ht="23.25" hidden="1" x14ac:dyDescent="0.35">
      <c r="A108" s="161" t="s">
        <v>832</v>
      </c>
      <c r="B108" s="161" t="s">
        <v>833</v>
      </c>
      <c r="C108" s="154">
        <f>IFERROR(VLOOKUP(A108,'งบทดลอง รพ.'!$A$2:$C$609,3,0),0)</f>
        <v>0</v>
      </c>
      <c r="D108" s="25"/>
      <c r="E108" s="99" t="s">
        <v>1301</v>
      </c>
      <c r="F108" s="99" t="s">
        <v>0</v>
      </c>
      <c r="G108" s="95" t="s">
        <v>1414</v>
      </c>
      <c r="H108" s="95"/>
    </row>
    <row r="109" spans="1:8" ht="23.25" hidden="1" x14ac:dyDescent="0.35">
      <c r="A109" s="161" t="s">
        <v>834</v>
      </c>
      <c r="B109" s="161" t="s">
        <v>835</v>
      </c>
      <c r="C109" s="154">
        <f>IFERROR(VLOOKUP(A109,'งบทดลอง รพ.'!$A$2:$C$609,3,0),0)</f>
        <v>0</v>
      </c>
      <c r="D109" s="25"/>
      <c r="E109" s="99" t="s">
        <v>1301</v>
      </c>
      <c r="F109" s="99" t="s">
        <v>0</v>
      </c>
      <c r="G109" s="95" t="s">
        <v>1414</v>
      </c>
      <c r="H109" s="95"/>
    </row>
    <row r="110" spans="1:8" ht="23.25" hidden="1" x14ac:dyDescent="0.35">
      <c r="A110" s="161" t="s">
        <v>836</v>
      </c>
      <c r="B110" s="161" t="s">
        <v>837</v>
      </c>
      <c r="C110" s="154">
        <f>IFERROR(VLOOKUP(A110,'งบทดลอง รพ.'!$A$2:$C$609,3,0),0)</f>
        <v>0</v>
      </c>
      <c r="D110" s="25"/>
      <c r="E110" s="99" t="s">
        <v>1301</v>
      </c>
      <c r="F110" s="99" t="s">
        <v>0</v>
      </c>
      <c r="G110" s="95" t="s">
        <v>1414</v>
      </c>
      <c r="H110" s="95"/>
    </row>
    <row r="111" spans="1:8" ht="23.25" hidden="1" x14ac:dyDescent="0.35">
      <c r="A111" s="161" t="s">
        <v>838</v>
      </c>
      <c r="B111" s="161" t="s">
        <v>839</v>
      </c>
      <c r="C111" s="154">
        <f>IFERROR(VLOOKUP(A111,'งบทดลอง รพ.'!$A$2:$C$609,3,0),0)</f>
        <v>0</v>
      </c>
      <c r="D111" s="25"/>
      <c r="E111" s="99" t="s">
        <v>1301</v>
      </c>
      <c r="F111" s="99" t="s">
        <v>0</v>
      </c>
      <c r="G111" s="95" t="s">
        <v>1414</v>
      </c>
      <c r="H111" s="95"/>
    </row>
    <row r="112" spans="1:8" ht="23.25" hidden="1" x14ac:dyDescent="0.35">
      <c r="A112" s="161" t="s">
        <v>91</v>
      </c>
      <c r="B112" s="161" t="s">
        <v>92</v>
      </c>
      <c r="C112" s="154">
        <f>IFERROR(VLOOKUP(A112,'งบทดลอง รพ.'!$A$2:$C$609,3,0),0)</f>
        <v>0</v>
      </c>
      <c r="D112" s="25"/>
      <c r="E112" s="99" t="s">
        <v>1322</v>
      </c>
      <c r="F112" s="99" t="s">
        <v>8</v>
      </c>
      <c r="G112" s="95" t="s">
        <v>1414</v>
      </c>
      <c r="H112" s="95"/>
    </row>
    <row r="113" spans="1:8" ht="23.25" hidden="1" x14ac:dyDescent="0.35">
      <c r="A113" s="161" t="s">
        <v>93</v>
      </c>
      <c r="B113" s="161" t="s">
        <v>1451</v>
      </c>
      <c r="C113" s="154">
        <f>IFERROR(VLOOKUP(A113,'งบทดลอง รพ.'!$A$2:$C$609,3,0),0)</f>
        <v>301325.15999999997</v>
      </c>
      <c r="D113" s="25"/>
      <c r="E113" s="99" t="s">
        <v>1323</v>
      </c>
      <c r="F113" s="99" t="s">
        <v>8</v>
      </c>
      <c r="G113" s="95" t="s">
        <v>1414</v>
      </c>
      <c r="H113" s="95"/>
    </row>
    <row r="114" spans="1:8" ht="23.25" hidden="1" x14ac:dyDescent="0.35">
      <c r="A114" s="161" t="s">
        <v>94</v>
      </c>
      <c r="B114" s="161" t="s">
        <v>1452</v>
      </c>
      <c r="C114" s="154">
        <f>IFERROR(VLOOKUP(A114,'งบทดลอง รพ.'!$A$2:$C$609,3,0),0)</f>
        <v>0</v>
      </c>
      <c r="D114" s="25"/>
      <c r="E114" s="99" t="s">
        <v>1325</v>
      </c>
      <c r="F114" s="99" t="s">
        <v>8</v>
      </c>
      <c r="G114" s="95" t="s">
        <v>1414</v>
      </c>
      <c r="H114" s="95"/>
    </row>
    <row r="115" spans="1:8" ht="23.25" hidden="1" x14ac:dyDescent="0.35">
      <c r="A115" s="161" t="s">
        <v>95</v>
      </c>
      <c r="B115" s="161" t="s">
        <v>1453</v>
      </c>
      <c r="C115" s="154">
        <f>IFERROR(VLOOKUP(A115,'งบทดลอง รพ.'!$A$2:$C$609,3,0),0)</f>
        <v>0</v>
      </c>
      <c r="D115" s="25"/>
      <c r="E115" s="99" t="s">
        <v>1323</v>
      </c>
      <c r="F115" s="99" t="s">
        <v>8</v>
      </c>
      <c r="G115" s="95" t="s">
        <v>1414</v>
      </c>
      <c r="H115" s="95"/>
    </row>
    <row r="116" spans="1:8" ht="23.25" hidden="1" x14ac:dyDescent="0.35">
      <c r="A116" s="161" t="s">
        <v>96</v>
      </c>
      <c r="B116" s="161" t="s">
        <v>1454</v>
      </c>
      <c r="C116" s="154">
        <f>IFERROR(VLOOKUP(A116,'งบทดลอง รพ.'!$A$2:$C$609,3,0),0)</f>
        <v>0</v>
      </c>
      <c r="D116" s="25"/>
      <c r="E116" s="99" t="s">
        <v>1325</v>
      </c>
      <c r="F116" s="99" t="s">
        <v>8</v>
      </c>
      <c r="G116" s="95" t="s">
        <v>1414</v>
      </c>
      <c r="H116" s="95"/>
    </row>
    <row r="117" spans="1:8" ht="23.25" hidden="1" x14ac:dyDescent="0.35">
      <c r="A117" s="158" t="s">
        <v>1048</v>
      </c>
      <c r="B117" s="158" t="s">
        <v>1049</v>
      </c>
      <c r="C117" s="154">
        <f>IFERROR(VLOOKUP(A117,'งบทดลอง รพ.'!$A$2:$C$609,3,0),0)</f>
        <v>0</v>
      </c>
      <c r="D117" s="25"/>
      <c r="E117" s="99" t="s">
        <v>1323</v>
      </c>
      <c r="F117" s="99" t="s">
        <v>8</v>
      </c>
      <c r="G117" s="95" t="s">
        <v>1412</v>
      </c>
      <c r="H117" s="95"/>
    </row>
    <row r="118" spans="1:8" ht="23.25" hidden="1" x14ac:dyDescent="0.35">
      <c r="A118" s="158" t="s">
        <v>1050</v>
      </c>
      <c r="B118" s="158" t="s">
        <v>1051</v>
      </c>
      <c r="C118" s="154">
        <f>IFERROR(VLOOKUP(A118,'งบทดลอง รพ.'!$A$2:$C$609,3,0),0)</f>
        <v>0</v>
      </c>
      <c r="D118" s="25"/>
      <c r="E118" s="99" t="s">
        <v>1325</v>
      </c>
      <c r="F118" s="99" t="s">
        <v>8</v>
      </c>
      <c r="G118" s="95" t="s">
        <v>1412</v>
      </c>
      <c r="H118" s="95"/>
    </row>
    <row r="119" spans="1:8" ht="23.25" hidden="1" x14ac:dyDescent="0.35">
      <c r="A119" s="161" t="s">
        <v>97</v>
      </c>
      <c r="B119" s="161" t="s">
        <v>98</v>
      </c>
      <c r="C119" s="154">
        <f>IFERROR(VLOOKUP(A119,'งบทดลอง รพ.'!$A$2:$C$609,3,0),0)</f>
        <v>7321.28</v>
      </c>
      <c r="D119" s="25"/>
      <c r="E119" s="99" t="s">
        <v>1327</v>
      </c>
      <c r="F119" s="99" t="s">
        <v>8</v>
      </c>
      <c r="G119" s="95" t="s">
        <v>1414</v>
      </c>
      <c r="H119" s="95"/>
    </row>
    <row r="120" spans="1:8" ht="23.25" hidden="1" x14ac:dyDescent="0.35">
      <c r="A120" s="161" t="s">
        <v>99</v>
      </c>
      <c r="B120" s="161" t="s">
        <v>100</v>
      </c>
      <c r="C120" s="154">
        <f>IFERROR(VLOOKUP(A120,'งบทดลอง รพ.'!$A$2:$C$609,3,0),0)</f>
        <v>0</v>
      </c>
      <c r="D120" s="25"/>
      <c r="E120" s="99" t="s">
        <v>1325</v>
      </c>
      <c r="F120" s="99" t="s">
        <v>8</v>
      </c>
      <c r="G120" s="95" t="s">
        <v>1414</v>
      </c>
      <c r="H120" s="95"/>
    </row>
    <row r="121" spans="1:8" ht="23.25" hidden="1" x14ac:dyDescent="0.35">
      <c r="A121" s="161" t="s">
        <v>101</v>
      </c>
      <c r="B121" s="161" t="s">
        <v>1455</v>
      </c>
      <c r="C121" s="154">
        <f>IFERROR(VLOOKUP(A121,'งบทดลอง รพ.'!$A$2:$C$609,3,0),0)</f>
        <v>0</v>
      </c>
      <c r="D121" s="25"/>
      <c r="E121" s="99" t="s">
        <v>1323</v>
      </c>
      <c r="F121" s="99" t="s">
        <v>8</v>
      </c>
      <c r="G121" s="95" t="s">
        <v>1414</v>
      </c>
      <c r="H121" s="95"/>
    </row>
    <row r="122" spans="1:8" ht="23.25" hidden="1" x14ac:dyDescent="0.35">
      <c r="A122" s="161" t="s">
        <v>102</v>
      </c>
      <c r="B122" s="161" t="s">
        <v>1456</v>
      </c>
      <c r="C122" s="154">
        <f>IFERROR(VLOOKUP(A122,'งบทดลอง รพ.'!$A$2:$C$609,3,0),0)</f>
        <v>0</v>
      </c>
      <c r="D122" s="25"/>
      <c r="E122" s="99" t="s">
        <v>1325</v>
      </c>
      <c r="F122" s="99" t="s">
        <v>8</v>
      </c>
      <c r="G122" s="95" t="s">
        <v>1414</v>
      </c>
      <c r="H122" s="95"/>
    </row>
    <row r="123" spans="1:8" ht="23.25" hidden="1" x14ac:dyDescent="0.35">
      <c r="A123" s="161" t="s">
        <v>103</v>
      </c>
      <c r="B123" s="161" t="s">
        <v>1457</v>
      </c>
      <c r="C123" s="154">
        <f>IFERROR(VLOOKUP(A123,'งบทดลอง รพ.'!$A$2:$C$609,3,0),0)</f>
        <v>237.69</v>
      </c>
      <c r="D123" s="25"/>
      <c r="E123" s="99" t="s">
        <v>1322</v>
      </c>
      <c r="F123" s="99" t="s">
        <v>8</v>
      </c>
      <c r="G123" s="95" t="s">
        <v>1414</v>
      </c>
      <c r="H123" s="95"/>
    </row>
    <row r="124" spans="1:8" ht="23.25" hidden="1" x14ac:dyDescent="0.35">
      <c r="A124" s="161" t="s">
        <v>104</v>
      </c>
      <c r="B124" s="161" t="s">
        <v>1458</v>
      </c>
      <c r="C124" s="154">
        <f>IFERROR(VLOOKUP(A124,'งบทดลอง รพ.'!$A$2:$C$609,3,0),0)</f>
        <v>0</v>
      </c>
      <c r="D124" s="25"/>
      <c r="E124" s="99" t="s">
        <v>1322</v>
      </c>
      <c r="F124" s="99" t="s">
        <v>8</v>
      </c>
      <c r="G124" s="95" t="s">
        <v>1414</v>
      </c>
      <c r="H124" s="95"/>
    </row>
    <row r="125" spans="1:8" ht="23.25" hidden="1" x14ac:dyDescent="0.35">
      <c r="A125" s="161" t="s">
        <v>105</v>
      </c>
      <c r="B125" s="161" t="s">
        <v>1459</v>
      </c>
      <c r="C125" s="154">
        <f>IFERROR(VLOOKUP(A125,'งบทดลอง รพ.'!$A$2:$C$609,3,0),0)</f>
        <v>0</v>
      </c>
      <c r="D125" s="25"/>
      <c r="E125" s="99" t="s">
        <v>1322</v>
      </c>
      <c r="F125" s="99" t="s">
        <v>8</v>
      </c>
      <c r="G125" s="95" t="s">
        <v>1414</v>
      </c>
      <c r="H125" s="95"/>
    </row>
    <row r="126" spans="1:8" ht="23.25" hidden="1" x14ac:dyDescent="0.35">
      <c r="A126" s="161" t="s">
        <v>106</v>
      </c>
      <c r="B126" s="161" t="s">
        <v>1460</v>
      </c>
      <c r="C126" s="154">
        <f>IFERROR(VLOOKUP(A126,'งบทดลอง รพ.'!$A$2:$C$609,3,0),0)</f>
        <v>0</v>
      </c>
      <c r="D126" s="25"/>
      <c r="E126" s="99" t="s">
        <v>1322</v>
      </c>
      <c r="F126" s="99" t="s">
        <v>8</v>
      </c>
      <c r="G126" s="95" t="s">
        <v>1414</v>
      </c>
      <c r="H126" s="95"/>
    </row>
    <row r="127" spans="1:8" ht="23.25" hidden="1" x14ac:dyDescent="0.35">
      <c r="A127" s="161" t="s">
        <v>880</v>
      </c>
      <c r="B127" s="161" t="s">
        <v>107</v>
      </c>
      <c r="C127" s="154">
        <f>IFERROR(VLOOKUP(A127,'งบทดลอง รพ.'!$A$2:$C$609,3,0),0)</f>
        <v>0</v>
      </c>
      <c r="D127" s="25"/>
      <c r="E127" s="99" t="s">
        <v>1327</v>
      </c>
      <c r="F127" s="99" t="s">
        <v>8</v>
      </c>
      <c r="G127" s="95" t="s">
        <v>1414</v>
      </c>
      <c r="H127" s="95"/>
    </row>
    <row r="128" spans="1:8" ht="23.25" hidden="1" x14ac:dyDescent="0.35">
      <c r="A128" s="161" t="s">
        <v>881</v>
      </c>
      <c r="B128" s="161" t="s">
        <v>108</v>
      </c>
      <c r="C128" s="154">
        <f>IFERROR(VLOOKUP(A128,'งบทดลอง รพ.'!$A$2:$C$609,3,0),0)</f>
        <v>0</v>
      </c>
      <c r="D128" s="25"/>
      <c r="E128" s="99" t="s">
        <v>1327</v>
      </c>
      <c r="F128" s="99" t="s">
        <v>8</v>
      </c>
      <c r="G128" s="95" t="s">
        <v>1414</v>
      </c>
      <c r="H128" s="95"/>
    </row>
    <row r="129" spans="1:8" ht="23.25" hidden="1" x14ac:dyDescent="0.35">
      <c r="A129" s="158" t="s">
        <v>1052</v>
      </c>
      <c r="B129" s="158" t="s">
        <v>1053</v>
      </c>
      <c r="C129" s="154">
        <f>IFERROR(VLOOKUP(A129,'งบทดลอง รพ.'!$A$2:$C$609,3,0),0)</f>
        <v>0</v>
      </c>
      <c r="D129" s="25"/>
      <c r="E129" s="99" t="s">
        <v>1329</v>
      </c>
      <c r="F129" s="99" t="s">
        <v>10</v>
      </c>
      <c r="G129" s="95" t="s">
        <v>1412</v>
      </c>
      <c r="H129" s="95"/>
    </row>
    <row r="130" spans="1:8" ht="23.25" hidden="1" x14ac:dyDescent="0.35">
      <c r="A130" s="161" t="s">
        <v>109</v>
      </c>
      <c r="B130" s="161" t="s">
        <v>1461</v>
      </c>
      <c r="C130" s="154">
        <f>IFERROR(VLOOKUP(A130,'งบทดลอง รพ.'!$A$2:$C$609,3,0),0)</f>
        <v>0</v>
      </c>
      <c r="D130" s="25"/>
      <c r="E130" s="99" t="s">
        <v>1330</v>
      </c>
      <c r="F130" s="99" t="s">
        <v>10</v>
      </c>
      <c r="G130" s="95" t="s">
        <v>1414</v>
      </c>
      <c r="H130" s="95"/>
    </row>
    <row r="131" spans="1:8" ht="23.25" hidden="1" x14ac:dyDescent="0.35">
      <c r="A131" s="161" t="s">
        <v>110</v>
      </c>
      <c r="B131" s="161" t="s">
        <v>1462</v>
      </c>
      <c r="C131" s="154">
        <f>IFERROR(VLOOKUP(A131,'งบทดลอง รพ.'!$A$2:$C$609,3,0),0)</f>
        <v>0</v>
      </c>
      <c r="D131" s="25"/>
      <c r="E131" s="99" t="s">
        <v>1332</v>
      </c>
      <c r="F131" s="99" t="s">
        <v>10</v>
      </c>
      <c r="G131" s="95" t="s">
        <v>1414</v>
      </c>
      <c r="H131" s="95"/>
    </row>
    <row r="132" spans="1:8" ht="23.25" hidden="1" x14ac:dyDescent="0.35">
      <c r="A132" s="161" t="s">
        <v>111</v>
      </c>
      <c r="B132" s="161" t="s">
        <v>1463</v>
      </c>
      <c r="C132" s="154">
        <f>IFERROR(VLOOKUP(A132,'งบทดลอง รพ.'!$A$2:$C$609,3,0),0)</f>
        <v>0</v>
      </c>
      <c r="D132" s="25"/>
      <c r="E132" s="99" t="s">
        <v>1329</v>
      </c>
      <c r="F132" s="99" t="s">
        <v>10</v>
      </c>
      <c r="G132" s="95" t="s">
        <v>1414</v>
      </c>
      <c r="H132" s="95"/>
    </row>
    <row r="133" spans="1:8" ht="23.25" hidden="1" x14ac:dyDescent="0.35">
      <c r="A133" s="161" t="s">
        <v>112</v>
      </c>
      <c r="B133" s="161" t="s">
        <v>1464</v>
      </c>
      <c r="C133" s="154">
        <f>IFERROR(VLOOKUP(A133,'งบทดลอง รพ.'!$A$2:$C$609,3,0),0)</f>
        <v>0</v>
      </c>
      <c r="D133" s="25"/>
      <c r="E133" s="99" t="s">
        <v>1329</v>
      </c>
      <c r="F133" s="99" t="s">
        <v>10</v>
      </c>
      <c r="G133" s="95" t="s">
        <v>1414</v>
      </c>
      <c r="H133" s="95"/>
    </row>
    <row r="134" spans="1:8" ht="23.25" hidden="1" x14ac:dyDescent="0.35">
      <c r="A134" s="161" t="s">
        <v>113</v>
      </c>
      <c r="B134" s="161" t="s">
        <v>1465</v>
      </c>
      <c r="C134" s="154">
        <f>IFERROR(VLOOKUP(A134,'งบทดลอง รพ.'!$A$2:$C$609,3,0),0)</f>
        <v>0</v>
      </c>
      <c r="D134" s="25"/>
      <c r="E134" s="99" t="s">
        <v>1334</v>
      </c>
      <c r="F134" s="99" t="s">
        <v>10</v>
      </c>
      <c r="G134" s="95" t="s">
        <v>1414</v>
      </c>
      <c r="H134" s="95"/>
    </row>
    <row r="135" spans="1:8" ht="23.25" hidden="1" x14ac:dyDescent="0.35">
      <c r="A135" s="161" t="s">
        <v>114</v>
      </c>
      <c r="B135" s="161" t="s">
        <v>1466</v>
      </c>
      <c r="C135" s="154">
        <f>IFERROR(VLOOKUP(A135,'งบทดลอง รพ.'!$A$2:$C$609,3,0),0)</f>
        <v>0</v>
      </c>
      <c r="D135" s="25"/>
      <c r="E135" s="99" t="s">
        <v>1329</v>
      </c>
      <c r="F135" s="99" t="s">
        <v>10</v>
      </c>
      <c r="G135" s="95" t="s">
        <v>1414</v>
      </c>
      <c r="H135" s="95"/>
    </row>
    <row r="136" spans="1:8" ht="23.25" hidden="1" x14ac:dyDescent="0.35">
      <c r="A136" s="161" t="s">
        <v>115</v>
      </c>
      <c r="B136" s="161" t="s">
        <v>1467</v>
      </c>
      <c r="C136" s="154">
        <f>IFERROR(VLOOKUP(A136,'งบทดลอง รพ.'!$A$2:$C$609,3,0),0)</f>
        <v>0</v>
      </c>
      <c r="D136" s="25"/>
      <c r="E136" s="99" t="s">
        <v>1329</v>
      </c>
      <c r="F136" s="99" t="s">
        <v>10</v>
      </c>
      <c r="G136" s="95" t="s">
        <v>1414</v>
      </c>
      <c r="H136" s="95"/>
    </row>
    <row r="137" spans="1:8" ht="23.25" hidden="1" x14ac:dyDescent="0.35">
      <c r="A137" s="161" t="s">
        <v>882</v>
      </c>
      <c r="B137" s="161" t="s">
        <v>883</v>
      </c>
      <c r="C137" s="154">
        <f>IFERROR(VLOOKUP(A137,'งบทดลอง รพ.'!$A$2:$C$609,3,0),0)</f>
        <v>0</v>
      </c>
      <c r="D137" s="25"/>
      <c r="E137" s="99" t="s">
        <v>1330</v>
      </c>
      <c r="F137" s="99" t="s">
        <v>10</v>
      </c>
      <c r="G137" s="95" t="s">
        <v>1414</v>
      </c>
      <c r="H137" s="95"/>
    </row>
    <row r="138" spans="1:8" ht="23.25" hidden="1" x14ac:dyDescent="0.35">
      <c r="A138" s="161" t="s">
        <v>884</v>
      </c>
      <c r="B138" s="161" t="s">
        <v>885</v>
      </c>
      <c r="C138" s="154">
        <f>IFERROR(VLOOKUP(A138,'งบทดลอง รพ.'!$A$2:$C$609,3,0),0)</f>
        <v>0</v>
      </c>
      <c r="D138" s="25"/>
      <c r="E138" s="99" t="s">
        <v>1332</v>
      </c>
      <c r="F138" s="99" t="s">
        <v>10</v>
      </c>
      <c r="G138" s="95" t="s">
        <v>1414</v>
      </c>
      <c r="H138" s="95"/>
    </row>
    <row r="139" spans="1:8" ht="23.25" hidden="1" x14ac:dyDescent="0.35">
      <c r="A139" s="161" t="s">
        <v>886</v>
      </c>
      <c r="B139" s="161" t="s">
        <v>887</v>
      </c>
      <c r="C139" s="154">
        <f>IFERROR(VLOOKUP(A139,'งบทดลอง รพ.'!$A$2:$C$609,3,0),0)</f>
        <v>0</v>
      </c>
      <c r="D139" s="25"/>
      <c r="E139" s="99" t="s">
        <v>1332</v>
      </c>
      <c r="F139" s="99" t="s">
        <v>10</v>
      </c>
      <c r="G139" s="95" t="s">
        <v>1414</v>
      </c>
      <c r="H139" s="95"/>
    </row>
    <row r="140" spans="1:8" ht="23.25" hidden="1" x14ac:dyDescent="0.35">
      <c r="A140" s="161" t="s">
        <v>888</v>
      </c>
      <c r="B140" s="161" t="s">
        <v>889</v>
      </c>
      <c r="C140" s="154">
        <f>IFERROR(VLOOKUP(A140,'งบทดลอง รพ.'!$A$2:$C$609,3,0),0)</f>
        <v>0</v>
      </c>
      <c r="D140" s="25"/>
      <c r="E140" s="99" t="s">
        <v>1329</v>
      </c>
      <c r="F140" s="99" t="s">
        <v>10</v>
      </c>
      <c r="G140" s="95" t="s">
        <v>1414</v>
      </c>
      <c r="H140" s="95"/>
    </row>
    <row r="141" spans="1:8" ht="23.25" hidden="1" x14ac:dyDescent="0.35">
      <c r="A141" s="161" t="s">
        <v>890</v>
      </c>
      <c r="B141" s="161" t="s">
        <v>891</v>
      </c>
      <c r="C141" s="154">
        <f>IFERROR(VLOOKUP(A141,'งบทดลอง รพ.'!$A$2:$C$609,3,0),0)</f>
        <v>0</v>
      </c>
      <c r="D141" s="25"/>
      <c r="E141" s="99" t="s">
        <v>1334</v>
      </c>
      <c r="F141" s="99" t="s">
        <v>10</v>
      </c>
      <c r="G141" s="95" t="s">
        <v>1414</v>
      </c>
      <c r="H141" s="95"/>
    </row>
    <row r="142" spans="1:8" ht="23.25" hidden="1" x14ac:dyDescent="0.35">
      <c r="A142" s="161" t="s">
        <v>892</v>
      </c>
      <c r="B142" s="161" t="s">
        <v>116</v>
      </c>
      <c r="C142" s="154">
        <f>IFERROR(VLOOKUP(A142,'งบทดลอง รพ.'!$A$2:$C$609,3,0),0)</f>
        <v>0</v>
      </c>
      <c r="D142" s="25"/>
      <c r="E142" s="99" t="s">
        <v>1334</v>
      </c>
      <c r="F142" s="99" t="s">
        <v>10</v>
      </c>
      <c r="G142" s="95" t="s">
        <v>1414</v>
      </c>
      <c r="H142" s="95"/>
    </row>
    <row r="143" spans="1:8" ht="23.25" hidden="1" x14ac:dyDescent="0.35">
      <c r="A143" s="161" t="s">
        <v>893</v>
      </c>
      <c r="B143" s="161" t="s">
        <v>894</v>
      </c>
      <c r="C143" s="154">
        <f>IFERROR(VLOOKUP(A143,'งบทดลอง รพ.'!$A$2:$C$609,3,0),0)</f>
        <v>0</v>
      </c>
      <c r="D143" s="25"/>
      <c r="E143" s="99" t="s">
        <v>1334</v>
      </c>
      <c r="F143" s="99" t="s">
        <v>10</v>
      </c>
      <c r="G143" s="95" t="s">
        <v>1414</v>
      </c>
      <c r="H143" s="95"/>
    </row>
    <row r="144" spans="1:8" ht="23.25" hidden="1" x14ac:dyDescent="0.35">
      <c r="A144" s="161" t="s">
        <v>132</v>
      </c>
      <c r="B144" s="161" t="s">
        <v>1468</v>
      </c>
      <c r="C144" s="154">
        <f>IFERROR(VLOOKUP(A144,'งบทดลอง รพ.'!$A$2:$C$609,3,0),0)</f>
        <v>0</v>
      </c>
      <c r="D144" s="25"/>
      <c r="E144" s="99" t="s">
        <v>1338</v>
      </c>
      <c r="F144" s="99" t="s">
        <v>12</v>
      </c>
      <c r="G144" s="95" t="s">
        <v>1414</v>
      </c>
      <c r="H144" s="95"/>
    </row>
    <row r="145" spans="1:8" ht="23.25" hidden="1" x14ac:dyDescent="0.35">
      <c r="A145" s="158" t="s">
        <v>1054</v>
      </c>
      <c r="B145" s="158" t="s">
        <v>1055</v>
      </c>
      <c r="C145" s="154">
        <f>IFERROR(VLOOKUP(A145,'งบทดลอง รพ.'!$A$2:$C$609,3,0),0)</f>
        <v>0</v>
      </c>
      <c r="D145" s="25"/>
      <c r="E145" s="99" t="s">
        <v>1338</v>
      </c>
      <c r="F145" s="99" t="s">
        <v>12</v>
      </c>
      <c r="G145" s="95" t="s">
        <v>1412</v>
      </c>
      <c r="H145" s="95"/>
    </row>
    <row r="146" spans="1:8" ht="23.25" hidden="1" x14ac:dyDescent="0.35">
      <c r="A146" s="161" t="s">
        <v>133</v>
      </c>
      <c r="B146" s="161" t="s">
        <v>1469</v>
      </c>
      <c r="C146" s="154">
        <f>IFERROR(VLOOKUP(A146,'งบทดลอง รพ.'!$A$2:$C$609,3,0),0)</f>
        <v>0</v>
      </c>
      <c r="D146" s="25"/>
      <c r="E146" s="99" t="s">
        <v>1336</v>
      </c>
      <c r="F146" s="99" t="s">
        <v>12</v>
      </c>
      <c r="G146" s="95" t="s">
        <v>1414</v>
      </c>
      <c r="H146" s="95"/>
    </row>
    <row r="147" spans="1:8" ht="23.25" hidden="1" x14ac:dyDescent="0.35">
      <c r="A147" s="161" t="s">
        <v>134</v>
      </c>
      <c r="B147" s="161" t="s">
        <v>1470</v>
      </c>
      <c r="C147" s="154">
        <f>IFERROR(VLOOKUP(A147,'งบทดลอง รพ.'!$A$2:$C$609,3,0),0)</f>
        <v>0</v>
      </c>
      <c r="D147" s="25"/>
      <c r="E147" s="99" t="s">
        <v>1336</v>
      </c>
      <c r="F147" s="99" t="s">
        <v>12</v>
      </c>
      <c r="G147" s="95" t="s">
        <v>1414</v>
      </c>
      <c r="H147" s="95"/>
    </row>
    <row r="148" spans="1:8" ht="23.25" hidden="1" x14ac:dyDescent="0.35">
      <c r="A148" s="161" t="s">
        <v>135</v>
      </c>
      <c r="B148" s="161" t="s">
        <v>136</v>
      </c>
      <c r="C148" s="154">
        <f>IFERROR(VLOOKUP(A148,'งบทดลอง รพ.'!$A$2:$C$609,3,0),0)</f>
        <v>0</v>
      </c>
      <c r="D148" s="25"/>
      <c r="E148" s="99" t="s">
        <v>1336</v>
      </c>
      <c r="F148" s="99" t="s">
        <v>12</v>
      </c>
      <c r="G148" s="95" t="s">
        <v>1414</v>
      </c>
      <c r="H148" s="95"/>
    </row>
    <row r="149" spans="1:8" ht="23.25" hidden="1" x14ac:dyDescent="0.35">
      <c r="A149" s="161" t="s">
        <v>137</v>
      </c>
      <c r="B149" s="161" t="s">
        <v>138</v>
      </c>
      <c r="C149" s="154">
        <f>IFERROR(VLOOKUP(A149,'งบทดลอง รพ.'!$A$2:$C$609,3,0),0)</f>
        <v>0</v>
      </c>
      <c r="D149" s="25"/>
      <c r="E149" s="99" t="s">
        <v>1336</v>
      </c>
      <c r="F149" s="99" t="s">
        <v>12</v>
      </c>
      <c r="G149" s="95" t="s">
        <v>1414</v>
      </c>
      <c r="H149" s="95"/>
    </row>
    <row r="150" spans="1:8" ht="23.25" hidden="1" x14ac:dyDescent="0.35">
      <c r="A150" s="158" t="s">
        <v>1056</v>
      </c>
      <c r="B150" s="158" t="s">
        <v>1057</v>
      </c>
      <c r="C150" s="154">
        <f>IFERROR(VLOOKUP(A150,'งบทดลอง รพ.'!$A$2:$C$609,3,0),0)</f>
        <v>0</v>
      </c>
      <c r="D150" s="25"/>
      <c r="E150" s="99" t="s">
        <v>1336</v>
      </c>
      <c r="F150" s="99" t="s">
        <v>12</v>
      </c>
      <c r="G150" s="95" t="s">
        <v>1471</v>
      </c>
      <c r="H150" s="95"/>
    </row>
    <row r="151" spans="1:8" ht="23.25" hidden="1" x14ac:dyDescent="0.35">
      <c r="A151" s="158" t="s">
        <v>1058</v>
      </c>
      <c r="B151" s="158" t="s">
        <v>1059</v>
      </c>
      <c r="C151" s="154">
        <f>IFERROR(VLOOKUP(A151,'งบทดลอง รพ.'!$A$2:$C$609,3,0),0)</f>
        <v>0</v>
      </c>
      <c r="D151" s="25"/>
      <c r="E151" s="99" t="s">
        <v>1336</v>
      </c>
      <c r="F151" s="99" t="s">
        <v>12</v>
      </c>
      <c r="G151" s="95" t="s">
        <v>1471</v>
      </c>
      <c r="H151" s="95"/>
    </row>
    <row r="152" spans="1:8" ht="23.25" hidden="1" x14ac:dyDescent="0.35">
      <c r="A152" s="161" t="s">
        <v>895</v>
      </c>
      <c r="B152" s="161" t="s">
        <v>896</v>
      </c>
      <c r="C152" s="154">
        <f>IFERROR(VLOOKUP(A152,'งบทดลอง รพ.'!$A$2:$C$609,3,0),0)</f>
        <v>0</v>
      </c>
      <c r="D152" s="25"/>
      <c r="E152" s="99" t="s">
        <v>1338</v>
      </c>
      <c r="F152" s="99" t="s">
        <v>12</v>
      </c>
      <c r="G152" s="95" t="s">
        <v>1414</v>
      </c>
      <c r="H152" s="95"/>
    </row>
    <row r="153" spans="1:8" ht="23.25" hidden="1" x14ac:dyDescent="0.35">
      <c r="A153" s="161" t="s">
        <v>897</v>
      </c>
      <c r="B153" s="161" t="s">
        <v>898</v>
      </c>
      <c r="C153" s="154">
        <f>IFERROR(VLOOKUP(A153,'งบทดลอง รพ.'!$A$2:$C$609,3,0),0)</f>
        <v>0</v>
      </c>
      <c r="D153" s="25"/>
      <c r="E153" s="99" t="s">
        <v>1340</v>
      </c>
      <c r="F153" s="99" t="s">
        <v>12</v>
      </c>
      <c r="G153" s="95" t="s">
        <v>1414</v>
      </c>
      <c r="H153" s="95"/>
    </row>
    <row r="154" spans="1:8" ht="23.25" hidden="1" x14ac:dyDescent="0.35">
      <c r="A154" s="161" t="s">
        <v>899</v>
      </c>
      <c r="B154" s="161" t="s">
        <v>900</v>
      </c>
      <c r="C154" s="154">
        <f>IFERROR(VLOOKUP(A154,'งบทดลอง รพ.'!$A$2:$C$609,3,0),0)</f>
        <v>0</v>
      </c>
      <c r="D154" s="25"/>
      <c r="E154" s="99" t="s">
        <v>1340</v>
      </c>
      <c r="F154" s="99" t="s">
        <v>12</v>
      </c>
      <c r="G154" s="95" t="s">
        <v>1414</v>
      </c>
      <c r="H154" s="95"/>
    </row>
    <row r="155" spans="1:8" ht="23.25" hidden="1" x14ac:dyDescent="0.35">
      <c r="A155" s="161" t="s">
        <v>901</v>
      </c>
      <c r="B155" s="161" t="s">
        <v>902</v>
      </c>
      <c r="C155" s="154">
        <f>IFERROR(VLOOKUP(A155,'งบทดลอง รพ.'!$A$2:$C$609,3,0),0)</f>
        <v>0</v>
      </c>
      <c r="D155" s="25"/>
      <c r="E155" s="99" t="s">
        <v>1336</v>
      </c>
      <c r="F155" s="99" t="s">
        <v>12</v>
      </c>
      <c r="G155" s="95" t="s">
        <v>1414</v>
      </c>
      <c r="H155" s="95"/>
    </row>
    <row r="156" spans="1:8" ht="23.25" hidden="1" x14ac:dyDescent="0.35">
      <c r="A156" s="161" t="s">
        <v>161</v>
      </c>
      <c r="B156" s="161" t="s">
        <v>162</v>
      </c>
      <c r="C156" s="154">
        <f>IFERROR(VLOOKUP(A156,'งบทดลอง รพ.'!$A$2:$C$609,3,0),0)</f>
        <v>0</v>
      </c>
      <c r="D156" s="25"/>
      <c r="E156" s="99" t="s">
        <v>1343</v>
      </c>
      <c r="F156" s="99" t="s">
        <v>16</v>
      </c>
      <c r="G156" s="95" t="s">
        <v>1414</v>
      </c>
      <c r="H156" s="95"/>
    </row>
    <row r="157" spans="1:8" ht="23.25" hidden="1" x14ac:dyDescent="0.35">
      <c r="A157" s="158" t="s">
        <v>1060</v>
      </c>
      <c r="B157" s="158" t="s">
        <v>1061</v>
      </c>
      <c r="C157" s="154">
        <f>IFERROR(VLOOKUP(A157,'งบทดลอง รพ.'!$A$2:$C$609,3,0),0)</f>
        <v>0</v>
      </c>
      <c r="D157" s="25"/>
      <c r="E157" s="99" t="s">
        <v>1343</v>
      </c>
      <c r="F157" s="99" t="s">
        <v>16</v>
      </c>
      <c r="G157" s="95" t="s">
        <v>1412</v>
      </c>
      <c r="H157" s="95"/>
    </row>
    <row r="158" spans="1:8" ht="23.25" hidden="1" x14ac:dyDescent="0.35">
      <c r="A158" s="161" t="s">
        <v>163</v>
      </c>
      <c r="B158" s="161" t="s">
        <v>1472</v>
      </c>
      <c r="C158" s="154">
        <f>IFERROR(VLOOKUP(A158,'งบทดลอง รพ.'!$A$2:$C$609,3,0),0)</f>
        <v>0</v>
      </c>
      <c r="D158" s="25"/>
      <c r="E158" s="99" t="s">
        <v>1343</v>
      </c>
      <c r="F158" s="99" t="s">
        <v>16</v>
      </c>
      <c r="G158" s="95" t="s">
        <v>1414</v>
      </c>
      <c r="H158" s="95"/>
    </row>
    <row r="159" spans="1:8" ht="23.25" hidden="1" x14ac:dyDescent="0.35">
      <c r="A159" s="158" t="s">
        <v>1062</v>
      </c>
      <c r="B159" s="158" t="s">
        <v>1063</v>
      </c>
      <c r="C159" s="154">
        <f>IFERROR(VLOOKUP(A159,'งบทดลอง รพ.'!$A$2:$C$609,3,0),0)</f>
        <v>0</v>
      </c>
      <c r="D159" s="25"/>
      <c r="E159" s="99" t="s">
        <v>1343</v>
      </c>
      <c r="F159" s="99" t="s">
        <v>16</v>
      </c>
      <c r="G159" s="95" t="s">
        <v>1412</v>
      </c>
      <c r="H159" s="95"/>
    </row>
    <row r="160" spans="1:8" ht="23.25" hidden="1" x14ac:dyDescent="0.35">
      <c r="A160" s="161" t="s">
        <v>164</v>
      </c>
      <c r="B160" s="161" t="s">
        <v>1473</v>
      </c>
      <c r="C160" s="154">
        <f>IFERROR(VLOOKUP(A160,'งบทดลอง รพ.'!$A$2:$C$609,3,0),0)</f>
        <v>0</v>
      </c>
      <c r="D160" s="25"/>
      <c r="E160" s="99" t="s">
        <v>1343</v>
      </c>
      <c r="F160" s="99" t="s">
        <v>16</v>
      </c>
      <c r="G160" s="95" t="s">
        <v>1414</v>
      </c>
      <c r="H160" s="95"/>
    </row>
    <row r="161" spans="1:8" ht="23.25" hidden="1" x14ac:dyDescent="0.35">
      <c r="A161" s="158" t="s">
        <v>1064</v>
      </c>
      <c r="B161" s="158" t="s">
        <v>165</v>
      </c>
      <c r="C161" s="154">
        <f>IFERROR(VLOOKUP(A161,'งบทดลอง รพ.'!$A$2:$C$609,3,0),0)</f>
        <v>0</v>
      </c>
      <c r="D161" s="25"/>
      <c r="E161" s="99" t="s">
        <v>1343</v>
      </c>
      <c r="F161" s="99" t="s">
        <v>16</v>
      </c>
      <c r="G161" s="95" t="s">
        <v>1412</v>
      </c>
      <c r="H161" s="95"/>
    </row>
    <row r="162" spans="1:8" ht="23.25" hidden="1" x14ac:dyDescent="0.35">
      <c r="A162" s="159" t="s">
        <v>1065</v>
      </c>
      <c r="B162" s="159" t="s">
        <v>1066</v>
      </c>
      <c r="C162" s="154">
        <f>IFERROR(VLOOKUP(A162,'งบทดลอง รพ.'!$A$2:$C$609,3,0),0)</f>
        <v>0</v>
      </c>
      <c r="D162" s="25"/>
      <c r="E162" s="99" t="s">
        <v>1344</v>
      </c>
      <c r="F162" s="99" t="s">
        <v>18</v>
      </c>
      <c r="G162" s="95" t="s">
        <v>1412</v>
      </c>
      <c r="H162" s="95"/>
    </row>
    <row r="163" spans="1:8" ht="23.25" hidden="1" x14ac:dyDescent="0.35">
      <c r="A163" s="158" t="s">
        <v>1067</v>
      </c>
      <c r="B163" s="158" t="s">
        <v>1068</v>
      </c>
      <c r="C163" s="154">
        <f>IFERROR(VLOOKUP(A163,'งบทดลอง รพ.'!$A$2:$C$609,3,0),0)</f>
        <v>0</v>
      </c>
      <c r="D163" s="25"/>
      <c r="E163" s="99" t="s">
        <v>1343</v>
      </c>
      <c r="F163" s="99" t="s">
        <v>16</v>
      </c>
      <c r="G163" s="95" t="s">
        <v>1412</v>
      </c>
      <c r="H163" s="95"/>
    </row>
    <row r="164" spans="1:8" ht="23.25" hidden="1" x14ac:dyDescent="0.35">
      <c r="A164" s="161" t="s">
        <v>166</v>
      </c>
      <c r="B164" s="161" t="s">
        <v>167</v>
      </c>
      <c r="C164" s="154">
        <f>IFERROR(VLOOKUP(A164,'งบทดลอง รพ.'!$A$2:$C$609,3,0),0)</f>
        <v>0</v>
      </c>
      <c r="D164" s="25"/>
      <c r="E164" s="99" t="s">
        <v>1343</v>
      </c>
      <c r="F164" s="99" t="s">
        <v>16</v>
      </c>
      <c r="G164" s="95" t="s">
        <v>1414</v>
      </c>
      <c r="H164" s="95"/>
    </row>
    <row r="165" spans="1:8" ht="23.25" hidden="1" x14ac:dyDescent="0.35">
      <c r="A165" s="161" t="s">
        <v>168</v>
      </c>
      <c r="B165" s="161" t="s">
        <v>169</v>
      </c>
      <c r="C165" s="154">
        <f>IFERROR(VLOOKUP(A165,'งบทดลอง รพ.'!$A$2:$C$609,3,0),0)</f>
        <v>0</v>
      </c>
      <c r="D165" s="25"/>
      <c r="E165" s="99" t="s">
        <v>1343</v>
      </c>
      <c r="F165" s="99" t="s">
        <v>16</v>
      </c>
      <c r="G165" s="95" t="s">
        <v>1414</v>
      </c>
      <c r="H165" s="95"/>
    </row>
    <row r="166" spans="1:8" ht="23.25" hidden="1" x14ac:dyDescent="0.35">
      <c r="A166" s="159" t="s">
        <v>1069</v>
      </c>
      <c r="B166" s="159" t="s">
        <v>1070</v>
      </c>
      <c r="C166" s="154">
        <f>IFERROR(VLOOKUP(A166,'งบทดลอง รพ.'!$A$2:$C$609,3,0),0)</f>
        <v>0</v>
      </c>
      <c r="D166" s="25"/>
      <c r="E166" s="99" t="s">
        <v>1344</v>
      </c>
      <c r="F166" s="99" t="s">
        <v>18</v>
      </c>
      <c r="G166" s="95" t="s">
        <v>1412</v>
      </c>
      <c r="H166" s="95"/>
    </row>
    <row r="167" spans="1:8" ht="23.25" hidden="1" x14ac:dyDescent="0.35">
      <c r="A167" s="159" t="s">
        <v>1071</v>
      </c>
      <c r="B167" s="159" t="s">
        <v>1072</v>
      </c>
      <c r="C167" s="154">
        <f>IFERROR(VLOOKUP(A167,'งบทดลอง รพ.'!$A$2:$C$609,3,0),0)</f>
        <v>0</v>
      </c>
      <c r="D167" s="25"/>
      <c r="E167" s="99" t="s">
        <v>1344</v>
      </c>
      <c r="F167" s="99" t="s">
        <v>18</v>
      </c>
      <c r="G167" s="95" t="s">
        <v>1412</v>
      </c>
      <c r="H167" s="95"/>
    </row>
    <row r="168" spans="1:8" ht="23.25" hidden="1" x14ac:dyDescent="0.35">
      <c r="A168" s="162" t="s">
        <v>170</v>
      </c>
      <c r="B168" s="162" t="s">
        <v>171</v>
      </c>
      <c r="C168" s="154">
        <f>IFERROR(VLOOKUP(A168,'งบทดลอง รพ.'!$A$2:$C$609,3,0),0)</f>
        <v>0</v>
      </c>
      <c r="D168" s="25"/>
      <c r="E168" s="99" t="s">
        <v>1344</v>
      </c>
      <c r="F168" s="99" t="s">
        <v>18</v>
      </c>
      <c r="G168" s="95" t="s">
        <v>1414</v>
      </c>
      <c r="H168" s="95"/>
    </row>
    <row r="169" spans="1:8" ht="23.25" hidden="1" x14ac:dyDescent="0.35">
      <c r="A169" s="162" t="s">
        <v>172</v>
      </c>
      <c r="B169" s="162" t="s">
        <v>173</v>
      </c>
      <c r="C169" s="154">
        <f>IFERROR(VLOOKUP(A169,'งบทดลอง รพ.'!$A$2:$C$609,3,0),0)</f>
        <v>0</v>
      </c>
      <c r="D169" s="25"/>
      <c r="E169" s="99" t="s">
        <v>1344</v>
      </c>
      <c r="F169" s="99" t="s">
        <v>18</v>
      </c>
      <c r="G169" s="95" t="s">
        <v>1414</v>
      </c>
      <c r="H169" s="95"/>
    </row>
    <row r="170" spans="1:8" ht="23.25" hidden="1" x14ac:dyDescent="0.35">
      <c r="A170" s="161" t="s">
        <v>903</v>
      </c>
      <c r="B170" s="161" t="s">
        <v>165</v>
      </c>
      <c r="C170" s="154">
        <f>IFERROR(VLOOKUP(A170,'งบทดลอง รพ.'!$A$2:$C$609,3,0),0)</f>
        <v>0</v>
      </c>
      <c r="D170" s="25"/>
      <c r="E170" s="99" t="s">
        <v>1343</v>
      </c>
      <c r="F170" s="99" t="s">
        <v>16</v>
      </c>
      <c r="G170" s="95" t="s">
        <v>1414</v>
      </c>
      <c r="H170" s="95"/>
    </row>
    <row r="171" spans="1:8" ht="23.25" hidden="1" x14ac:dyDescent="0.35">
      <c r="A171" s="161" t="s">
        <v>174</v>
      </c>
      <c r="B171" s="161" t="s">
        <v>1474</v>
      </c>
      <c r="C171" s="154">
        <f>IFERROR(VLOOKUP(A171,'งบทดลอง รพ.'!$A$2:$C$609,3,0),0)</f>
        <v>10000</v>
      </c>
      <c r="D171" s="25"/>
      <c r="E171" s="99" t="s">
        <v>1343</v>
      </c>
      <c r="F171" s="99" t="s">
        <v>16</v>
      </c>
      <c r="G171" s="95" t="s">
        <v>1414</v>
      </c>
      <c r="H171" s="95"/>
    </row>
    <row r="172" spans="1:8" ht="23.25" hidden="1" x14ac:dyDescent="0.35">
      <c r="A172" s="161" t="s">
        <v>904</v>
      </c>
      <c r="B172" s="161" t="s">
        <v>905</v>
      </c>
      <c r="C172" s="154">
        <f>IFERROR(VLOOKUP(A172,'งบทดลอง รพ.'!$A$2:$C$609,3,0),0)</f>
        <v>153900</v>
      </c>
      <c r="D172" s="25"/>
      <c r="E172" s="99" t="s">
        <v>1343</v>
      </c>
      <c r="F172" s="99" t="s">
        <v>16</v>
      </c>
      <c r="G172" s="95" t="s">
        <v>1414</v>
      </c>
      <c r="H172" s="95"/>
    </row>
    <row r="173" spans="1:8" ht="23.25" hidden="1" x14ac:dyDescent="0.35">
      <c r="A173" s="161" t="s">
        <v>906</v>
      </c>
      <c r="B173" s="161" t="s">
        <v>907</v>
      </c>
      <c r="C173" s="154">
        <f>IFERROR(VLOOKUP(A173,'งบทดลอง รพ.'!$A$2:$C$609,3,0),0)</f>
        <v>0</v>
      </c>
      <c r="D173" s="25"/>
      <c r="E173" s="99" t="s">
        <v>1343</v>
      </c>
      <c r="F173" s="99" t="s">
        <v>16</v>
      </c>
      <c r="G173" s="95" t="s">
        <v>1414</v>
      </c>
      <c r="H173" s="95"/>
    </row>
    <row r="174" spans="1:8" ht="23.25" hidden="1" x14ac:dyDescent="0.35">
      <c r="A174" s="161" t="s">
        <v>175</v>
      </c>
      <c r="B174" s="161" t="s">
        <v>1475</v>
      </c>
      <c r="C174" s="154">
        <f>IFERROR(VLOOKUP(A174,'งบทดลอง รพ.'!$A$2:$C$609,3,0),0)</f>
        <v>53022.7</v>
      </c>
      <c r="D174" s="25"/>
      <c r="E174" s="99" t="s">
        <v>1343</v>
      </c>
      <c r="F174" s="99" t="s">
        <v>16</v>
      </c>
      <c r="G174" s="95" t="s">
        <v>1414</v>
      </c>
      <c r="H174" s="95"/>
    </row>
    <row r="175" spans="1:8" ht="23.25" hidden="1" x14ac:dyDescent="0.35">
      <c r="A175" s="158" t="s">
        <v>1073</v>
      </c>
      <c r="B175" s="158" t="s">
        <v>1074</v>
      </c>
      <c r="C175" s="154">
        <f>IFERROR(VLOOKUP(A175,'งบทดลอง รพ.'!$A$2:$C$609,3,0),0)</f>
        <v>0</v>
      </c>
      <c r="D175" s="25"/>
      <c r="E175" s="99" t="s">
        <v>1343</v>
      </c>
      <c r="F175" s="99" t="s">
        <v>16</v>
      </c>
      <c r="G175" s="95" t="s">
        <v>1412</v>
      </c>
      <c r="H175" s="95"/>
    </row>
    <row r="176" spans="1:8" ht="23.25" hidden="1" x14ac:dyDescent="0.35">
      <c r="A176" s="161" t="s">
        <v>176</v>
      </c>
      <c r="B176" s="161" t="s">
        <v>177</v>
      </c>
      <c r="C176" s="154">
        <f>IFERROR(VLOOKUP(A176,'งบทดลอง รพ.'!$A$2:$C$609,3,0),0)</f>
        <v>0</v>
      </c>
      <c r="D176" s="25"/>
      <c r="E176" s="99" t="s">
        <v>1343</v>
      </c>
      <c r="F176" s="99" t="s">
        <v>16</v>
      </c>
      <c r="G176" s="95" t="s">
        <v>1414</v>
      </c>
      <c r="H176" s="95"/>
    </row>
    <row r="177" spans="1:8" ht="23.25" hidden="1" x14ac:dyDescent="0.35">
      <c r="A177" s="161" t="s">
        <v>178</v>
      </c>
      <c r="B177" s="161" t="s">
        <v>179</v>
      </c>
      <c r="C177" s="154">
        <f>IFERROR(VLOOKUP(A177,'งบทดลอง รพ.'!$A$2:$C$609,3,0),0)</f>
        <v>0</v>
      </c>
      <c r="D177" s="25"/>
      <c r="E177" s="99" t="s">
        <v>1343</v>
      </c>
      <c r="F177" s="99" t="s">
        <v>16</v>
      </c>
      <c r="G177" s="95" t="s">
        <v>1414</v>
      </c>
      <c r="H177" s="95"/>
    </row>
    <row r="178" spans="1:8" ht="23.25" hidden="1" x14ac:dyDescent="0.35">
      <c r="A178" s="161" t="s">
        <v>908</v>
      </c>
      <c r="B178" s="161" t="s">
        <v>909</v>
      </c>
      <c r="C178" s="154">
        <f>IFERROR(VLOOKUP(A178,'งบทดลอง รพ.'!$A$2:$C$609,3,0),0)</f>
        <v>0</v>
      </c>
      <c r="D178" s="25"/>
      <c r="E178" s="99" t="s">
        <v>1343</v>
      </c>
      <c r="F178" s="99" t="s">
        <v>16</v>
      </c>
      <c r="G178" s="95" t="s">
        <v>1414</v>
      </c>
      <c r="H178" s="95"/>
    </row>
    <row r="179" spans="1:8" ht="23.25" hidden="1" x14ac:dyDescent="0.35">
      <c r="A179" s="158" t="s">
        <v>1075</v>
      </c>
      <c r="B179" s="158" t="s">
        <v>1076</v>
      </c>
      <c r="C179" s="154">
        <f>IFERROR(VLOOKUP(A179,'งบทดลอง รพ.'!$A$2:$C$609,3,0),0)</f>
        <v>0</v>
      </c>
      <c r="D179" s="25"/>
      <c r="E179" s="99" t="s">
        <v>1342</v>
      </c>
      <c r="F179" s="99" t="s">
        <v>14</v>
      </c>
      <c r="G179" s="95" t="s">
        <v>1412</v>
      </c>
      <c r="H179" s="95"/>
    </row>
    <row r="180" spans="1:8" ht="23.25" hidden="1" x14ac:dyDescent="0.35">
      <c r="A180" s="161" t="s">
        <v>143</v>
      </c>
      <c r="B180" s="161" t="s">
        <v>1476</v>
      </c>
      <c r="C180" s="154">
        <f>IFERROR(VLOOKUP(A180,'งบทดลอง รพ.'!$A$2:$C$609,3,0),0)</f>
        <v>5912678.8600000003</v>
      </c>
      <c r="D180" s="25"/>
      <c r="E180" s="99" t="s">
        <v>1342</v>
      </c>
      <c r="F180" s="99" t="s">
        <v>14</v>
      </c>
      <c r="G180" s="95" t="s">
        <v>1414</v>
      </c>
      <c r="H180" s="95"/>
    </row>
    <row r="181" spans="1:8" ht="23.25" hidden="1" x14ac:dyDescent="0.35">
      <c r="A181" s="162" t="s">
        <v>217</v>
      </c>
      <c r="B181" s="162" t="s">
        <v>1477</v>
      </c>
      <c r="C181" s="154">
        <f>IFERROR(VLOOKUP(A181,'งบทดลอง รพ.'!$A$2:$C$609,3,0),0)</f>
        <v>0</v>
      </c>
      <c r="D181" s="25"/>
      <c r="E181" s="99" t="s">
        <v>1345</v>
      </c>
      <c r="F181" s="99" t="s">
        <v>18</v>
      </c>
      <c r="G181" s="95" t="s">
        <v>1414</v>
      </c>
      <c r="H181" s="95"/>
    </row>
    <row r="182" spans="1:8" ht="23.25" hidden="1" x14ac:dyDescent="0.35">
      <c r="A182" s="161" t="s">
        <v>180</v>
      </c>
      <c r="B182" s="161" t="s">
        <v>1478</v>
      </c>
      <c r="C182" s="154">
        <f>IFERROR(VLOOKUP(A182,'งบทดลอง รพ.'!$A$2:$C$609,3,0),0)</f>
        <v>0</v>
      </c>
      <c r="D182" s="25"/>
      <c r="E182" s="99" t="s">
        <v>1343</v>
      </c>
      <c r="F182" s="99" t="s">
        <v>16</v>
      </c>
      <c r="G182" s="95" t="s">
        <v>1414</v>
      </c>
      <c r="H182" s="95"/>
    </row>
    <row r="183" spans="1:8" ht="23.25" hidden="1" x14ac:dyDescent="0.35">
      <c r="A183" s="161" t="s">
        <v>181</v>
      </c>
      <c r="B183" s="161" t="s">
        <v>1479</v>
      </c>
      <c r="C183" s="154">
        <f>IFERROR(VLOOKUP(A183,'งบทดลอง รพ.'!$A$2:$C$609,3,0),0)</f>
        <v>0</v>
      </c>
      <c r="D183" s="25"/>
      <c r="E183" s="99" t="s">
        <v>1343</v>
      </c>
      <c r="F183" s="99" t="s">
        <v>16</v>
      </c>
      <c r="G183" s="95" t="s">
        <v>1414</v>
      </c>
      <c r="H183" s="95"/>
    </row>
    <row r="184" spans="1:8" ht="23.25" hidden="1" x14ac:dyDescent="0.35">
      <c r="A184" s="161" t="s">
        <v>182</v>
      </c>
      <c r="B184" s="161" t="s">
        <v>1480</v>
      </c>
      <c r="C184" s="154">
        <f>IFERROR(VLOOKUP(A184,'งบทดลอง รพ.'!$A$2:$C$609,3,0),0)</f>
        <v>0</v>
      </c>
      <c r="D184" s="25"/>
      <c r="E184" s="99" t="s">
        <v>1343</v>
      </c>
      <c r="F184" s="99" t="s">
        <v>16</v>
      </c>
      <c r="G184" s="95" t="s">
        <v>1414</v>
      </c>
      <c r="H184" s="95"/>
    </row>
    <row r="185" spans="1:8" ht="23.25" hidden="1" x14ac:dyDescent="0.35">
      <c r="A185" s="161" t="s">
        <v>183</v>
      </c>
      <c r="B185" s="161" t="s">
        <v>1481</v>
      </c>
      <c r="C185" s="154">
        <f>IFERROR(VLOOKUP(A185,'งบทดลอง รพ.'!$A$2:$C$609,3,0),0)</f>
        <v>265443.90000000002</v>
      </c>
      <c r="D185" s="25"/>
      <c r="E185" s="99" t="s">
        <v>1343</v>
      </c>
      <c r="F185" s="99" t="s">
        <v>16</v>
      </c>
      <c r="G185" s="95" t="s">
        <v>1414</v>
      </c>
      <c r="H185" s="95"/>
    </row>
    <row r="186" spans="1:8" ht="23.25" hidden="1" x14ac:dyDescent="0.35">
      <c r="A186" s="161" t="s">
        <v>184</v>
      </c>
      <c r="B186" s="161" t="s">
        <v>1482</v>
      </c>
      <c r="C186" s="154">
        <f>IFERROR(VLOOKUP(A186,'งบทดลอง รพ.'!$A$2:$C$609,3,0),0)</f>
        <v>0</v>
      </c>
      <c r="D186" s="25"/>
      <c r="E186" s="99" t="s">
        <v>1343</v>
      </c>
      <c r="F186" s="99" t="s">
        <v>16</v>
      </c>
      <c r="G186" s="95" t="s">
        <v>1414</v>
      </c>
      <c r="H186" s="95"/>
    </row>
    <row r="187" spans="1:8" ht="23.25" hidden="1" x14ac:dyDescent="0.35">
      <c r="A187" s="161" t="s">
        <v>910</v>
      </c>
      <c r="B187" s="161" t="s">
        <v>911</v>
      </c>
      <c r="C187" s="154">
        <f>IFERROR(VLOOKUP(A187,'งบทดลอง รพ.'!$A$2:$C$609,3,0),0)</f>
        <v>0</v>
      </c>
      <c r="D187" s="25"/>
      <c r="E187" s="99" t="s">
        <v>1343</v>
      </c>
      <c r="F187" s="99" t="s">
        <v>16</v>
      </c>
      <c r="G187" s="95" t="s">
        <v>1414</v>
      </c>
      <c r="H187" s="95"/>
    </row>
    <row r="188" spans="1:8" ht="23.25" hidden="1" x14ac:dyDescent="0.35">
      <c r="A188" s="161" t="s">
        <v>912</v>
      </c>
      <c r="B188" s="161" t="s">
        <v>913</v>
      </c>
      <c r="C188" s="154">
        <f>IFERROR(VLOOKUP(A188,'งบทดลอง รพ.'!$A$2:$C$609,3,0),0)</f>
        <v>0</v>
      </c>
      <c r="D188" s="25"/>
      <c r="E188" s="99" t="s">
        <v>1343</v>
      </c>
      <c r="F188" s="99" t="s">
        <v>16</v>
      </c>
      <c r="G188" s="95" t="s">
        <v>1414</v>
      </c>
      <c r="H188" s="95"/>
    </row>
    <row r="189" spans="1:8" ht="23.25" hidden="1" x14ac:dyDescent="0.35">
      <c r="A189" s="161" t="s">
        <v>914</v>
      </c>
      <c r="B189" s="161" t="s">
        <v>915</v>
      </c>
      <c r="C189" s="154">
        <f>IFERROR(VLOOKUP(A189,'งบทดลอง รพ.'!$A$2:$C$609,3,0),0)</f>
        <v>0</v>
      </c>
      <c r="D189" s="25"/>
      <c r="E189" s="99" t="s">
        <v>1343</v>
      </c>
      <c r="F189" s="99" t="s">
        <v>16</v>
      </c>
      <c r="G189" s="95" t="s">
        <v>1414</v>
      </c>
      <c r="H189" s="95"/>
    </row>
    <row r="190" spans="1:8" ht="23.25" hidden="1" x14ac:dyDescent="0.35">
      <c r="A190" s="161" t="s">
        <v>185</v>
      </c>
      <c r="B190" s="161" t="s">
        <v>1483</v>
      </c>
      <c r="C190" s="154">
        <f>IFERROR(VLOOKUP(A190,'งบทดลอง รพ.'!$A$2:$C$609,3,0),0)</f>
        <v>0</v>
      </c>
      <c r="D190" s="25"/>
      <c r="E190" s="99" t="s">
        <v>1343</v>
      </c>
      <c r="F190" s="99" t="s">
        <v>16</v>
      </c>
      <c r="G190" s="95" t="s">
        <v>1414</v>
      </c>
      <c r="H190" s="95"/>
    </row>
    <row r="191" spans="1:8" ht="23.25" hidden="1" x14ac:dyDescent="0.35">
      <c r="A191" s="161" t="s">
        <v>916</v>
      </c>
      <c r="B191" s="161" t="s">
        <v>917</v>
      </c>
      <c r="C191" s="154">
        <f>IFERROR(VLOOKUP(A191,'งบทดลอง รพ.'!$A$2:$C$609,3,0),0)</f>
        <v>0</v>
      </c>
      <c r="D191" s="25"/>
      <c r="E191" s="99" t="s">
        <v>1343</v>
      </c>
      <c r="F191" s="99" t="s">
        <v>16</v>
      </c>
      <c r="G191" s="95" t="s">
        <v>1414</v>
      </c>
      <c r="H191" s="95"/>
    </row>
    <row r="192" spans="1:8" ht="23.25" hidden="1" x14ac:dyDescent="0.35">
      <c r="A192" s="161" t="s">
        <v>186</v>
      </c>
      <c r="B192" s="161" t="s">
        <v>1484</v>
      </c>
      <c r="C192" s="154">
        <f>IFERROR(VLOOKUP(A192,'งบทดลอง รพ.'!$A$2:$C$609,3,0),0)</f>
        <v>0</v>
      </c>
      <c r="D192" s="25"/>
      <c r="E192" s="99" t="s">
        <v>1343</v>
      </c>
      <c r="F192" s="99" t="s">
        <v>16</v>
      </c>
      <c r="G192" s="95" t="s">
        <v>1414</v>
      </c>
      <c r="H192" s="95"/>
    </row>
    <row r="193" spans="1:8" ht="23.25" hidden="1" x14ac:dyDescent="0.35">
      <c r="A193" s="158" t="s">
        <v>1077</v>
      </c>
      <c r="B193" s="158" t="s">
        <v>1078</v>
      </c>
      <c r="C193" s="154">
        <f>IFERROR(VLOOKUP(A193,'งบทดลอง รพ.'!$A$2:$C$609,3,0),0)</f>
        <v>0</v>
      </c>
      <c r="D193" s="25"/>
      <c r="E193" s="99" t="s">
        <v>1343</v>
      </c>
      <c r="F193" s="99" t="s">
        <v>16</v>
      </c>
      <c r="G193" s="95" t="s">
        <v>1412</v>
      </c>
      <c r="H193" s="95"/>
    </row>
    <row r="194" spans="1:8" ht="23.25" hidden="1" x14ac:dyDescent="0.35">
      <c r="A194" s="158" t="s">
        <v>1079</v>
      </c>
      <c r="B194" s="158" t="s">
        <v>1080</v>
      </c>
      <c r="C194" s="154">
        <f>IFERROR(VLOOKUP(A194,'งบทดลอง รพ.'!$A$2:$C$609,3,0),0)</f>
        <v>0</v>
      </c>
      <c r="D194" s="25"/>
      <c r="E194" s="99" t="s">
        <v>1343</v>
      </c>
      <c r="F194" s="99" t="s">
        <v>16</v>
      </c>
      <c r="G194" s="95" t="s">
        <v>1412</v>
      </c>
      <c r="H194" s="95"/>
    </row>
    <row r="195" spans="1:8" ht="23.25" hidden="1" x14ac:dyDescent="0.35">
      <c r="A195" s="158" t="s">
        <v>1081</v>
      </c>
      <c r="B195" s="158" t="s">
        <v>1082</v>
      </c>
      <c r="C195" s="154">
        <f>IFERROR(VLOOKUP(A195,'งบทดลอง รพ.'!$A$2:$C$609,3,0),0)</f>
        <v>0</v>
      </c>
      <c r="D195" s="25"/>
      <c r="E195" s="99" t="s">
        <v>1343</v>
      </c>
      <c r="F195" s="99" t="s">
        <v>16</v>
      </c>
      <c r="G195" s="95" t="s">
        <v>1412</v>
      </c>
      <c r="H195" s="95"/>
    </row>
    <row r="196" spans="1:8" ht="23.25" hidden="1" x14ac:dyDescent="0.35">
      <c r="A196" s="158" t="s">
        <v>1083</v>
      </c>
      <c r="B196" s="158" t="s">
        <v>1084</v>
      </c>
      <c r="C196" s="154">
        <f>IFERROR(VLOOKUP(A196,'งบทดลอง รพ.'!$A$2:$C$609,3,0),0)</f>
        <v>0</v>
      </c>
      <c r="D196" s="25"/>
      <c r="E196" s="99" t="s">
        <v>1343</v>
      </c>
      <c r="F196" s="99" t="s">
        <v>16</v>
      </c>
      <c r="G196" s="95" t="s">
        <v>1412</v>
      </c>
      <c r="H196" s="95"/>
    </row>
    <row r="197" spans="1:8" ht="23.25" hidden="1" x14ac:dyDescent="0.35">
      <c r="A197" s="158" t="s">
        <v>1085</v>
      </c>
      <c r="B197" s="158" t="s">
        <v>1086</v>
      </c>
      <c r="C197" s="154">
        <f>IFERROR(VLOOKUP(A197,'งบทดลอง รพ.'!$A$2:$C$609,3,0),0)</f>
        <v>0</v>
      </c>
      <c r="D197" s="25"/>
      <c r="E197" s="99" t="s">
        <v>1343</v>
      </c>
      <c r="F197" s="99" t="s">
        <v>16</v>
      </c>
      <c r="G197" s="95" t="s">
        <v>1412</v>
      </c>
      <c r="H197" s="95"/>
    </row>
    <row r="198" spans="1:8" ht="23.25" hidden="1" x14ac:dyDescent="0.35">
      <c r="A198" s="161" t="s">
        <v>187</v>
      </c>
      <c r="B198" s="161" t="s">
        <v>188</v>
      </c>
      <c r="C198" s="154">
        <f>IFERROR(VLOOKUP(A198,'งบทดลอง รพ.'!$A$2:$C$609,3,0),0)</f>
        <v>0</v>
      </c>
      <c r="D198" s="25"/>
      <c r="E198" s="99" t="s">
        <v>1343</v>
      </c>
      <c r="F198" s="99" t="s">
        <v>16</v>
      </c>
      <c r="G198" s="95" t="s">
        <v>1414</v>
      </c>
      <c r="H198" s="95"/>
    </row>
    <row r="199" spans="1:8" ht="23.25" hidden="1" x14ac:dyDescent="0.35">
      <c r="A199" s="161" t="s">
        <v>189</v>
      </c>
      <c r="B199" s="161" t="s">
        <v>190</v>
      </c>
      <c r="C199" s="154">
        <f>IFERROR(VLOOKUP(A199,'งบทดลอง รพ.'!$A$2:$C$609,3,0),0)</f>
        <v>0</v>
      </c>
      <c r="D199" s="25"/>
      <c r="E199" s="99" t="s">
        <v>1343</v>
      </c>
      <c r="F199" s="99" t="s">
        <v>16</v>
      </c>
      <c r="G199" s="95" t="s">
        <v>1414</v>
      </c>
      <c r="H199" s="95"/>
    </row>
    <row r="200" spans="1:8" ht="23.25" hidden="1" x14ac:dyDescent="0.35">
      <c r="A200" s="161" t="s">
        <v>139</v>
      </c>
      <c r="B200" s="161" t="s">
        <v>140</v>
      </c>
      <c r="C200" s="154">
        <f>IFERROR(VLOOKUP(A200,'งบทดลอง รพ.'!$A$2:$C$609,3,0),0)</f>
        <v>0</v>
      </c>
      <c r="D200" s="25"/>
      <c r="E200" s="99" t="s">
        <v>1336</v>
      </c>
      <c r="F200" s="99" t="s">
        <v>12</v>
      </c>
      <c r="G200" s="95" t="s">
        <v>1414</v>
      </c>
      <c r="H200" s="95"/>
    </row>
    <row r="201" spans="1:8" ht="23.25" hidden="1" x14ac:dyDescent="0.35">
      <c r="A201" s="161" t="s">
        <v>141</v>
      </c>
      <c r="B201" s="161" t="s">
        <v>142</v>
      </c>
      <c r="C201" s="154">
        <f>IFERROR(VLOOKUP(A201,'งบทดลอง รพ.'!$A$2:$C$609,3,0),0)</f>
        <v>0</v>
      </c>
      <c r="D201" s="25"/>
      <c r="E201" s="99" t="s">
        <v>1336</v>
      </c>
      <c r="F201" s="99" t="s">
        <v>12</v>
      </c>
      <c r="G201" s="95" t="s">
        <v>1414</v>
      </c>
      <c r="H201" s="95"/>
    </row>
    <row r="202" spans="1:8" ht="23.25" hidden="1" x14ac:dyDescent="0.35">
      <c r="A202" s="158" t="s">
        <v>1087</v>
      </c>
      <c r="B202" s="158" t="s">
        <v>1088</v>
      </c>
      <c r="C202" s="154">
        <f>IFERROR(VLOOKUP(A202,'งบทดลอง รพ.'!$A$2:$C$609,3,0),0)</f>
        <v>0</v>
      </c>
      <c r="D202" s="25"/>
      <c r="E202" s="99" t="s">
        <v>1343</v>
      </c>
      <c r="F202" s="99" t="s">
        <v>16</v>
      </c>
      <c r="G202" s="95" t="s">
        <v>1412</v>
      </c>
      <c r="H202" s="95"/>
    </row>
    <row r="203" spans="1:8" ht="23.25" hidden="1" x14ac:dyDescent="0.35">
      <c r="A203" s="161" t="s">
        <v>191</v>
      </c>
      <c r="B203" s="161" t="s">
        <v>192</v>
      </c>
      <c r="C203" s="154">
        <f>IFERROR(VLOOKUP(A203,'งบทดลอง รพ.'!$A$2:$C$609,3,0),0)</f>
        <v>0</v>
      </c>
      <c r="D203" s="25"/>
      <c r="E203" s="99" t="s">
        <v>1343</v>
      </c>
      <c r="F203" s="99" t="s">
        <v>16</v>
      </c>
      <c r="G203" s="95" t="s">
        <v>1414</v>
      </c>
      <c r="H203" s="95"/>
    </row>
    <row r="204" spans="1:8" ht="23.25" hidden="1" x14ac:dyDescent="0.35">
      <c r="A204" s="158" t="s">
        <v>1089</v>
      </c>
      <c r="B204" s="158" t="s">
        <v>1090</v>
      </c>
      <c r="C204" s="154">
        <f>IFERROR(VLOOKUP(A204,'งบทดลอง รพ.'!$A$2:$C$609,3,0),0)</f>
        <v>0</v>
      </c>
      <c r="D204" s="25"/>
      <c r="E204" s="99" t="s">
        <v>1343</v>
      </c>
      <c r="F204" s="99" t="s">
        <v>16</v>
      </c>
      <c r="G204" s="95" t="s">
        <v>1412</v>
      </c>
      <c r="H204" s="95"/>
    </row>
    <row r="205" spans="1:8" ht="23.25" hidden="1" x14ac:dyDescent="0.35">
      <c r="A205" s="161" t="s">
        <v>193</v>
      </c>
      <c r="B205" s="161" t="s">
        <v>194</v>
      </c>
      <c r="C205" s="154">
        <f>IFERROR(VLOOKUP(A205,'งบทดลอง รพ.'!$A$2:$C$609,3,0),0)</f>
        <v>0</v>
      </c>
      <c r="D205" s="25"/>
      <c r="E205" s="99" t="s">
        <v>1343</v>
      </c>
      <c r="F205" s="99" t="s">
        <v>16</v>
      </c>
      <c r="G205" s="95" t="s">
        <v>1414</v>
      </c>
      <c r="H205" s="95"/>
    </row>
    <row r="206" spans="1:8" ht="23.25" hidden="1" x14ac:dyDescent="0.35">
      <c r="A206" s="161" t="s">
        <v>195</v>
      </c>
      <c r="B206" s="161" t="s">
        <v>196</v>
      </c>
      <c r="C206" s="154">
        <f>IFERROR(VLOOKUP(A206,'งบทดลอง รพ.'!$A$2:$C$609,3,0),0)</f>
        <v>0</v>
      </c>
      <c r="D206" s="25"/>
      <c r="E206" s="99" t="s">
        <v>1343</v>
      </c>
      <c r="F206" s="99" t="s">
        <v>16</v>
      </c>
      <c r="G206" s="95" t="s">
        <v>1414</v>
      </c>
      <c r="H206" s="95"/>
    </row>
    <row r="207" spans="1:8" ht="23.25" hidden="1" x14ac:dyDescent="0.35">
      <c r="A207" s="161" t="s">
        <v>197</v>
      </c>
      <c r="B207" s="161" t="s">
        <v>198</v>
      </c>
      <c r="C207" s="154">
        <f>IFERROR(VLOOKUP(A207,'งบทดลอง รพ.'!$A$2:$C$609,3,0),0)</f>
        <v>10000</v>
      </c>
      <c r="D207" s="25"/>
      <c r="E207" s="99" t="s">
        <v>1343</v>
      </c>
      <c r="F207" s="99" t="s">
        <v>16</v>
      </c>
      <c r="G207" s="95" t="s">
        <v>1414</v>
      </c>
      <c r="H207" s="95"/>
    </row>
    <row r="208" spans="1:8" ht="23.25" hidden="1" x14ac:dyDescent="0.35">
      <c r="A208" s="158" t="s">
        <v>1091</v>
      </c>
      <c r="B208" s="158" t="s">
        <v>1092</v>
      </c>
      <c r="C208" s="154">
        <f>IFERROR(VLOOKUP(A208,'งบทดลอง รพ.'!$A$2:$C$609,3,0),0)</f>
        <v>0</v>
      </c>
      <c r="D208" s="25"/>
      <c r="E208" s="99" t="s">
        <v>1343</v>
      </c>
      <c r="F208" s="99" t="s">
        <v>16</v>
      </c>
      <c r="G208" s="95" t="s">
        <v>1412</v>
      </c>
      <c r="H208" s="95"/>
    </row>
    <row r="209" spans="1:8" ht="23.25" hidden="1" x14ac:dyDescent="0.35">
      <c r="A209" s="158" t="s">
        <v>1093</v>
      </c>
      <c r="B209" s="158" t="s">
        <v>1094</v>
      </c>
      <c r="C209" s="154">
        <f>IFERROR(VLOOKUP(A209,'งบทดลอง รพ.'!$A$2:$C$609,3,0),0)</f>
        <v>0</v>
      </c>
      <c r="D209" s="25"/>
      <c r="E209" s="99" t="s">
        <v>1343</v>
      </c>
      <c r="F209" s="99" t="s">
        <v>16</v>
      </c>
      <c r="G209" s="95" t="s">
        <v>1412</v>
      </c>
      <c r="H209" s="95"/>
    </row>
    <row r="210" spans="1:8" ht="23.25" hidden="1" x14ac:dyDescent="0.35">
      <c r="A210" s="161" t="s">
        <v>199</v>
      </c>
      <c r="B210" s="161" t="s">
        <v>200</v>
      </c>
      <c r="C210" s="154">
        <f>IFERROR(VLOOKUP(A210,'งบทดลอง รพ.'!$A$2:$C$609,3,0),0)</f>
        <v>0</v>
      </c>
      <c r="D210" s="25"/>
      <c r="E210" s="99" t="s">
        <v>1343</v>
      </c>
      <c r="F210" s="99" t="s">
        <v>16</v>
      </c>
      <c r="G210" s="95" t="s">
        <v>1414</v>
      </c>
      <c r="H210" s="95"/>
    </row>
    <row r="211" spans="1:8" ht="23.25" hidden="1" x14ac:dyDescent="0.35">
      <c r="A211" s="161" t="s">
        <v>201</v>
      </c>
      <c r="B211" s="161" t="s">
        <v>1485</v>
      </c>
      <c r="C211" s="154">
        <f>IFERROR(VLOOKUP(A211,'งบทดลอง รพ.'!$A$2:$C$609,3,0),0)</f>
        <v>0</v>
      </c>
      <c r="D211" s="25"/>
      <c r="E211" s="99" t="s">
        <v>1343</v>
      </c>
      <c r="F211" s="99" t="s">
        <v>16</v>
      </c>
      <c r="G211" s="95" t="s">
        <v>1414</v>
      </c>
      <c r="H211" s="95"/>
    </row>
    <row r="212" spans="1:8" ht="23.25" hidden="1" x14ac:dyDescent="0.35">
      <c r="A212" s="161" t="s">
        <v>202</v>
      </c>
      <c r="B212" s="161" t="s">
        <v>1486</v>
      </c>
      <c r="C212" s="154">
        <f>IFERROR(VLOOKUP(A212,'งบทดลอง รพ.'!$A$2:$C$609,3,0),0)</f>
        <v>0</v>
      </c>
      <c r="D212" s="25"/>
      <c r="E212" s="99" t="s">
        <v>1343</v>
      </c>
      <c r="F212" s="99" t="s">
        <v>16</v>
      </c>
      <c r="G212" s="95" t="s">
        <v>1414</v>
      </c>
      <c r="H212" s="95"/>
    </row>
    <row r="213" spans="1:8" ht="23.25" hidden="1" x14ac:dyDescent="0.35">
      <c r="A213" s="161" t="s">
        <v>203</v>
      </c>
      <c r="B213" s="161" t="s">
        <v>204</v>
      </c>
      <c r="C213" s="154">
        <f>IFERROR(VLOOKUP(A213,'งบทดลอง รพ.'!$A$2:$C$609,3,0),0)</f>
        <v>0</v>
      </c>
      <c r="D213" s="25"/>
      <c r="E213" s="99" t="s">
        <v>1343</v>
      </c>
      <c r="F213" s="99" t="s">
        <v>16</v>
      </c>
      <c r="G213" s="95" t="s">
        <v>1414</v>
      </c>
      <c r="H213" s="95"/>
    </row>
    <row r="214" spans="1:8" ht="23.25" hidden="1" x14ac:dyDescent="0.35">
      <c r="A214" s="161" t="s">
        <v>205</v>
      </c>
      <c r="B214" s="161" t="s">
        <v>206</v>
      </c>
      <c r="C214" s="154">
        <f>IFERROR(VLOOKUP(A214,'งบทดลอง รพ.'!$A$2:$C$609,3,0),0)</f>
        <v>4500</v>
      </c>
      <c r="D214" s="25"/>
      <c r="E214" s="99" t="s">
        <v>1343</v>
      </c>
      <c r="F214" s="99" t="s">
        <v>16</v>
      </c>
      <c r="G214" s="95" t="s">
        <v>1414</v>
      </c>
      <c r="H214" s="95"/>
    </row>
    <row r="215" spans="1:8" ht="23.25" hidden="1" x14ac:dyDescent="0.35">
      <c r="A215" s="162" t="s">
        <v>218</v>
      </c>
      <c r="B215" s="162" t="s">
        <v>219</v>
      </c>
      <c r="C215" s="154">
        <f>IFERROR(VLOOKUP(A215,'งบทดลอง รพ.'!$A$2:$C$609,3,0),0)</f>
        <v>0</v>
      </c>
      <c r="D215" s="25"/>
      <c r="E215" s="99" t="s">
        <v>1345</v>
      </c>
      <c r="F215" s="99" t="s">
        <v>18</v>
      </c>
      <c r="G215" s="95" t="s">
        <v>1414</v>
      </c>
      <c r="H215" s="95"/>
    </row>
    <row r="216" spans="1:8" ht="23.25" hidden="1" x14ac:dyDescent="0.35">
      <c r="A216" s="161" t="s">
        <v>207</v>
      </c>
      <c r="B216" s="161" t="s">
        <v>1487</v>
      </c>
      <c r="C216" s="154">
        <f>IFERROR(VLOOKUP(A216,'งบทดลอง รพ.'!$A$2:$C$609,3,0),0)</f>
        <v>746717</v>
      </c>
      <c r="D216" s="25"/>
      <c r="E216" s="99" t="s">
        <v>1343</v>
      </c>
      <c r="F216" s="99" t="s">
        <v>16</v>
      </c>
      <c r="G216" s="95" t="s">
        <v>1414</v>
      </c>
      <c r="H216" s="95"/>
    </row>
    <row r="217" spans="1:8" ht="23.25" hidden="1" x14ac:dyDescent="0.35">
      <c r="A217" s="161" t="s">
        <v>208</v>
      </c>
      <c r="B217" s="161" t="s">
        <v>209</v>
      </c>
      <c r="C217" s="154">
        <f>IFERROR(VLOOKUP(A217,'งบทดลอง รพ.'!$A$2:$C$609,3,0),0)</f>
        <v>0</v>
      </c>
      <c r="D217" s="25"/>
      <c r="E217" s="99" t="s">
        <v>1343</v>
      </c>
      <c r="F217" s="99" t="s">
        <v>16</v>
      </c>
      <c r="G217" s="95" t="s">
        <v>1414</v>
      </c>
      <c r="H217" s="95"/>
    </row>
    <row r="218" spans="1:8" ht="23.25" hidden="1" x14ac:dyDescent="0.35">
      <c r="A218" s="161" t="s">
        <v>210</v>
      </c>
      <c r="B218" s="161" t="s">
        <v>1488</v>
      </c>
      <c r="C218" s="154">
        <f>IFERROR(VLOOKUP(A218,'งบทดลอง รพ.'!$A$2:$C$609,3,0),0)</f>
        <v>0</v>
      </c>
      <c r="D218" s="25"/>
      <c r="E218" s="99" t="s">
        <v>1343</v>
      </c>
      <c r="F218" s="99" t="s">
        <v>16</v>
      </c>
      <c r="G218" s="95" t="s">
        <v>1414</v>
      </c>
      <c r="H218" s="95"/>
    </row>
    <row r="219" spans="1:8" ht="23.25" hidden="1" x14ac:dyDescent="0.35">
      <c r="A219" s="161" t="s">
        <v>211</v>
      </c>
      <c r="B219" s="161" t="s">
        <v>212</v>
      </c>
      <c r="C219" s="154">
        <f>IFERROR(VLOOKUP(A219,'งบทดลอง รพ.'!$A$2:$C$609,3,0),0)</f>
        <v>210125</v>
      </c>
      <c r="D219" s="25"/>
      <c r="E219" s="99" t="s">
        <v>1343</v>
      </c>
      <c r="F219" s="99" t="s">
        <v>16</v>
      </c>
      <c r="G219" s="95" t="s">
        <v>1414</v>
      </c>
      <c r="H219" s="95"/>
    </row>
    <row r="220" spans="1:8" ht="23.25" x14ac:dyDescent="0.35">
      <c r="A220" s="158" t="s">
        <v>1095</v>
      </c>
      <c r="B220" s="158" t="s">
        <v>1096</v>
      </c>
      <c r="C220" s="154">
        <f>IFERROR(VLOOKUP(A220,'งบทดลอง รพ.'!$A$2:$C$609,3,0),0)</f>
        <v>0</v>
      </c>
      <c r="D220" s="25"/>
      <c r="E220" s="99" t="s">
        <v>1302</v>
      </c>
      <c r="F220" s="99" t="s">
        <v>0</v>
      </c>
      <c r="G220" s="95" t="s">
        <v>1412</v>
      </c>
      <c r="H220" s="95"/>
    </row>
    <row r="221" spans="1:8" ht="23.25" hidden="1" x14ac:dyDescent="0.35">
      <c r="A221" s="161" t="s">
        <v>213</v>
      </c>
      <c r="B221" s="161" t="s">
        <v>214</v>
      </c>
      <c r="C221" s="154">
        <f>IFERROR(VLOOKUP(A221,'งบทดลอง รพ.'!$A$2:$C$609,3,0),0)</f>
        <v>276809.53999999998</v>
      </c>
      <c r="D221" s="25"/>
      <c r="E221" s="99" t="s">
        <v>1343</v>
      </c>
      <c r="F221" s="99" t="s">
        <v>16</v>
      </c>
      <c r="G221" s="95" t="s">
        <v>1414</v>
      </c>
      <c r="H221" s="95"/>
    </row>
    <row r="222" spans="1:8" ht="23.25" hidden="1" x14ac:dyDescent="0.35">
      <c r="A222" s="158" t="s">
        <v>1097</v>
      </c>
      <c r="B222" s="158" t="s">
        <v>107</v>
      </c>
      <c r="C222" s="154">
        <f>IFERROR(VLOOKUP(A222,'งบทดลอง รพ.'!$A$2:$C$609,3,0),0)</f>
        <v>0</v>
      </c>
      <c r="D222" s="25"/>
      <c r="E222" s="99" t="s">
        <v>1327</v>
      </c>
      <c r="F222" s="99" t="s">
        <v>8</v>
      </c>
      <c r="G222" s="95" t="s">
        <v>1412</v>
      </c>
      <c r="H222" s="95"/>
    </row>
    <row r="223" spans="1:8" ht="23.25" hidden="1" x14ac:dyDescent="0.35">
      <c r="A223" s="158" t="s">
        <v>1098</v>
      </c>
      <c r="B223" s="158" t="s">
        <v>108</v>
      </c>
      <c r="C223" s="154">
        <f>IFERROR(VLOOKUP(A223,'งบทดลอง รพ.'!$A$2:$C$609,3,0),0)</f>
        <v>0</v>
      </c>
      <c r="D223" s="25"/>
      <c r="E223" s="99" t="s">
        <v>1327</v>
      </c>
      <c r="F223" s="99" t="s">
        <v>8</v>
      </c>
      <c r="G223" s="95" t="s">
        <v>1412</v>
      </c>
      <c r="H223" s="95"/>
    </row>
    <row r="224" spans="1:8" ht="23.25" hidden="1" x14ac:dyDescent="0.35">
      <c r="A224" s="158" t="s">
        <v>1099</v>
      </c>
      <c r="B224" s="158" t="s">
        <v>116</v>
      </c>
      <c r="C224" s="154">
        <f>IFERROR(VLOOKUP(A224,'งบทดลอง รพ.'!$A$2:$C$609,3,0),0)</f>
        <v>0</v>
      </c>
      <c r="D224" s="25"/>
      <c r="E224" s="99" t="s">
        <v>1334</v>
      </c>
      <c r="F224" s="99" t="s">
        <v>10</v>
      </c>
      <c r="G224" s="95" t="s">
        <v>1412</v>
      </c>
      <c r="H224" s="95"/>
    </row>
    <row r="225" spans="1:8" ht="23.25" hidden="1" x14ac:dyDescent="0.35">
      <c r="A225" s="161" t="s">
        <v>229</v>
      </c>
      <c r="B225" s="161" t="s">
        <v>230</v>
      </c>
      <c r="C225" s="154">
        <f>IFERROR(VLOOKUP(A225,'งบทดลอง รพ.'!$A$2:$C$609,3,0),0)</f>
        <v>0</v>
      </c>
      <c r="D225" s="25"/>
      <c r="E225" s="99" t="s">
        <v>1357</v>
      </c>
      <c r="F225" s="99" t="s">
        <v>25</v>
      </c>
      <c r="G225" s="95" t="s">
        <v>1414</v>
      </c>
      <c r="H225" s="95"/>
    </row>
    <row r="226" spans="1:8" ht="23.25" hidden="1" x14ac:dyDescent="0.35">
      <c r="A226" s="161" t="s">
        <v>231</v>
      </c>
      <c r="B226" s="161" t="s">
        <v>232</v>
      </c>
      <c r="C226" s="154">
        <f>IFERROR(VLOOKUP(A226,'งบทดลอง รพ.'!$A$2:$C$609,3,0),0)</f>
        <v>5578158.7000000002</v>
      </c>
      <c r="D226" s="25"/>
      <c r="E226" s="99" t="s">
        <v>1357</v>
      </c>
      <c r="F226" s="99" t="s">
        <v>25</v>
      </c>
      <c r="G226" s="95" t="s">
        <v>1414</v>
      </c>
      <c r="H226" s="95"/>
    </row>
    <row r="227" spans="1:8" ht="23.25" hidden="1" x14ac:dyDescent="0.35">
      <c r="A227" s="158" t="s">
        <v>1100</v>
      </c>
      <c r="B227" s="158" t="s">
        <v>1101</v>
      </c>
      <c r="C227" s="154">
        <f>IFERROR(VLOOKUP(A227,'งบทดลอง รพ.'!$A$2:$C$609,3,0),0)</f>
        <v>0</v>
      </c>
      <c r="D227" s="25"/>
      <c r="E227" s="99" t="s">
        <v>1357</v>
      </c>
      <c r="F227" s="99" t="s">
        <v>25</v>
      </c>
      <c r="G227" s="95" t="s">
        <v>1412</v>
      </c>
      <c r="H227" s="95"/>
    </row>
    <row r="228" spans="1:8" ht="23.25" hidden="1" x14ac:dyDescent="0.35">
      <c r="A228" s="158" t="s">
        <v>1102</v>
      </c>
      <c r="B228" s="158" t="s">
        <v>1103</v>
      </c>
      <c r="C228" s="154">
        <f>IFERROR(VLOOKUP(A228,'งบทดลอง รพ.'!$A$2:$C$609,3,0),0)</f>
        <v>0</v>
      </c>
      <c r="D228" s="25"/>
      <c r="E228" s="99" t="s">
        <v>1357</v>
      </c>
      <c r="F228" s="99" t="s">
        <v>25</v>
      </c>
      <c r="G228" s="95" t="s">
        <v>1412</v>
      </c>
      <c r="H228" s="95"/>
    </row>
    <row r="229" spans="1:8" ht="23.25" hidden="1" x14ac:dyDescent="0.35">
      <c r="A229" s="161" t="s">
        <v>233</v>
      </c>
      <c r="B229" s="161" t="s">
        <v>234</v>
      </c>
      <c r="C229" s="154">
        <f>IFERROR(VLOOKUP(A229,'งบทดลอง รพ.'!$A$2:$C$609,3,0),0)</f>
        <v>0</v>
      </c>
      <c r="D229" s="25"/>
      <c r="E229" s="99" t="s">
        <v>1357</v>
      </c>
      <c r="F229" s="99" t="s">
        <v>25</v>
      </c>
      <c r="G229" s="95" t="s">
        <v>1414</v>
      </c>
      <c r="H229" s="95"/>
    </row>
    <row r="230" spans="1:8" ht="23.25" hidden="1" x14ac:dyDescent="0.35">
      <c r="A230" s="161" t="s">
        <v>235</v>
      </c>
      <c r="B230" s="161" t="s">
        <v>236</v>
      </c>
      <c r="C230" s="154">
        <f>IFERROR(VLOOKUP(A230,'งบทดลอง รพ.'!$A$2:$C$609,3,0),0)</f>
        <v>94500</v>
      </c>
      <c r="D230" s="25"/>
      <c r="E230" s="99" t="s">
        <v>1357</v>
      </c>
      <c r="F230" s="99" t="s">
        <v>25</v>
      </c>
      <c r="G230" s="95" t="s">
        <v>1414</v>
      </c>
      <c r="H230" s="95"/>
    </row>
    <row r="231" spans="1:8" ht="23.25" hidden="1" x14ac:dyDescent="0.35">
      <c r="A231" s="161" t="s">
        <v>237</v>
      </c>
      <c r="B231" s="161" t="s">
        <v>238</v>
      </c>
      <c r="C231" s="154">
        <f>IFERROR(VLOOKUP(A231,'งบทดลอง รพ.'!$A$2:$C$609,3,0),0)</f>
        <v>0</v>
      </c>
      <c r="D231" s="25"/>
      <c r="E231" s="99" t="s">
        <v>1357</v>
      </c>
      <c r="F231" s="99" t="s">
        <v>25</v>
      </c>
      <c r="G231" s="95" t="s">
        <v>1414</v>
      </c>
      <c r="H231" s="95"/>
    </row>
    <row r="232" spans="1:8" ht="23.25" hidden="1" x14ac:dyDescent="0.35">
      <c r="A232" s="158" t="s">
        <v>1104</v>
      </c>
      <c r="B232" s="158" t="s">
        <v>1105</v>
      </c>
      <c r="C232" s="154">
        <f>IFERROR(VLOOKUP(A232,'งบทดลอง รพ.'!$A$2:$C$609,3,0),0)</f>
        <v>0</v>
      </c>
      <c r="D232" s="25"/>
      <c r="E232" s="99" t="s">
        <v>1357</v>
      </c>
      <c r="F232" s="99" t="s">
        <v>25</v>
      </c>
      <c r="G232" s="95" t="s">
        <v>1412</v>
      </c>
      <c r="H232" s="95"/>
    </row>
    <row r="233" spans="1:8" ht="23.25" hidden="1" x14ac:dyDescent="0.35">
      <c r="A233" s="158" t="s">
        <v>1106</v>
      </c>
      <c r="B233" s="158" t="s">
        <v>1107</v>
      </c>
      <c r="C233" s="154">
        <f>IFERROR(VLOOKUP(A233,'งบทดลอง รพ.'!$A$2:$C$609,3,0),0)</f>
        <v>0</v>
      </c>
      <c r="D233" s="25"/>
      <c r="E233" s="99" t="s">
        <v>1357</v>
      </c>
      <c r="F233" s="99" t="s">
        <v>25</v>
      </c>
      <c r="G233" s="95" t="s">
        <v>1412</v>
      </c>
      <c r="H233" s="95"/>
    </row>
    <row r="234" spans="1:8" ht="23.25" hidden="1" x14ac:dyDescent="0.35">
      <c r="A234" s="158" t="s">
        <v>1108</v>
      </c>
      <c r="B234" s="158" t="s">
        <v>1109</v>
      </c>
      <c r="C234" s="154">
        <f>IFERROR(VLOOKUP(A234,'งบทดลอง รพ.'!$A$2:$C$609,3,0),0)</f>
        <v>0</v>
      </c>
      <c r="D234" s="25"/>
      <c r="E234" s="99" t="s">
        <v>1357</v>
      </c>
      <c r="F234" s="99" t="s">
        <v>25</v>
      </c>
      <c r="G234" s="95" t="s">
        <v>1412</v>
      </c>
      <c r="H234" s="95"/>
    </row>
    <row r="235" spans="1:8" ht="23.25" hidden="1" x14ac:dyDescent="0.35">
      <c r="A235" s="161" t="s">
        <v>239</v>
      </c>
      <c r="B235" s="161" t="s">
        <v>240</v>
      </c>
      <c r="C235" s="154">
        <f>IFERROR(VLOOKUP(A235,'งบทดลอง รพ.'!$A$2:$C$609,3,0),0)</f>
        <v>0</v>
      </c>
      <c r="D235" s="25"/>
      <c r="E235" s="99" t="s">
        <v>1359</v>
      </c>
      <c r="F235" s="99" t="s">
        <v>29</v>
      </c>
      <c r="G235" s="95" t="s">
        <v>1414</v>
      </c>
      <c r="H235" s="95"/>
    </row>
    <row r="236" spans="1:8" ht="23.25" hidden="1" x14ac:dyDescent="0.35">
      <c r="A236" s="161" t="s">
        <v>241</v>
      </c>
      <c r="B236" s="161" t="s">
        <v>242</v>
      </c>
      <c r="C236" s="154">
        <f>IFERROR(VLOOKUP(A236,'งบทดลอง รพ.'!$A$2:$C$609,3,0),0)</f>
        <v>0</v>
      </c>
      <c r="D236" s="25"/>
      <c r="E236" s="99" t="s">
        <v>1357</v>
      </c>
      <c r="F236" s="99" t="s">
        <v>25</v>
      </c>
      <c r="G236" s="95" t="s">
        <v>1414</v>
      </c>
      <c r="H236" s="95"/>
    </row>
    <row r="237" spans="1:8" ht="23.25" hidden="1" x14ac:dyDescent="0.35">
      <c r="A237" s="161" t="s">
        <v>243</v>
      </c>
      <c r="B237" s="161" t="s">
        <v>244</v>
      </c>
      <c r="C237" s="154">
        <f>IFERROR(VLOOKUP(A237,'งบทดลอง รพ.'!$A$2:$C$609,3,0),0)</f>
        <v>0</v>
      </c>
      <c r="D237" s="25"/>
      <c r="E237" s="99" t="s">
        <v>1357</v>
      </c>
      <c r="F237" s="99" t="s">
        <v>25</v>
      </c>
      <c r="G237" s="95" t="s">
        <v>1414</v>
      </c>
      <c r="H237" s="95"/>
    </row>
    <row r="238" spans="1:8" ht="23.25" hidden="1" x14ac:dyDescent="0.35">
      <c r="A238" s="161" t="s">
        <v>245</v>
      </c>
      <c r="B238" s="161" t="s">
        <v>246</v>
      </c>
      <c r="C238" s="154">
        <f>IFERROR(VLOOKUP(A238,'งบทดลอง รพ.'!$A$2:$C$609,3,0),0)</f>
        <v>0</v>
      </c>
      <c r="D238" s="25"/>
      <c r="E238" s="99" t="s">
        <v>1357</v>
      </c>
      <c r="F238" s="99" t="s">
        <v>25</v>
      </c>
      <c r="G238" s="95" t="s">
        <v>1414</v>
      </c>
      <c r="H238" s="95"/>
    </row>
    <row r="239" spans="1:8" ht="23.25" hidden="1" x14ac:dyDescent="0.35">
      <c r="A239" s="161" t="s">
        <v>247</v>
      </c>
      <c r="B239" s="161" t="s">
        <v>248</v>
      </c>
      <c r="C239" s="154">
        <f>IFERROR(VLOOKUP(A239,'งบทดลอง รพ.'!$A$2:$C$609,3,0),0)</f>
        <v>0</v>
      </c>
      <c r="D239" s="25"/>
      <c r="E239" s="99" t="s">
        <v>1357</v>
      </c>
      <c r="F239" s="99" t="s">
        <v>25</v>
      </c>
      <c r="G239" s="95" t="s">
        <v>1414</v>
      </c>
      <c r="H239" s="95"/>
    </row>
    <row r="240" spans="1:8" ht="23.25" hidden="1" x14ac:dyDescent="0.35">
      <c r="A240" s="161" t="s">
        <v>249</v>
      </c>
      <c r="B240" s="161" t="s">
        <v>250</v>
      </c>
      <c r="C240" s="154">
        <f>IFERROR(VLOOKUP(A240,'งบทดลอง รพ.'!$A$2:$C$609,3,0),0)</f>
        <v>0</v>
      </c>
      <c r="D240" s="25"/>
      <c r="E240" s="99" t="s">
        <v>1357</v>
      </c>
      <c r="F240" s="99" t="s">
        <v>25</v>
      </c>
      <c r="G240" s="95" t="s">
        <v>1414</v>
      </c>
      <c r="H240" s="95"/>
    </row>
    <row r="241" spans="1:8" ht="23.25" hidden="1" x14ac:dyDescent="0.35">
      <c r="A241" s="161" t="s">
        <v>251</v>
      </c>
      <c r="B241" s="161" t="s">
        <v>252</v>
      </c>
      <c r="C241" s="154">
        <f>IFERROR(VLOOKUP(A241,'งบทดลอง รพ.'!$A$2:$C$609,3,0),0)</f>
        <v>0</v>
      </c>
      <c r="D241" s="25"/>
      <c r="E241" s="99" t="s">
        <v>1357</v>
      </c>
      <c r="F241" s="99" t="s">
        <v>25</v>
      </c>
      <c r="G241" s="95" t="s">
        <v>1414</v>
      </c>
      <c r="H241" s="95"/>
    </row>
    <row r="242" spans="1:8" ht="23.25" hidden="1" x14ac:dyDescent="0.35">
      <c r="A242" s="161" t="s">
        <v>261</v>
      </c>
      <c r="B242" s="161" t="s">
        <v>262</v>
      </c>
      <c r="C242" s="154">
        <f>IFERROR(VLOOKUP(A242,'งบทดลอง รพ.'!$A$2:$C$609,3,0),0)</f>
        <v>1972377</v>
      </c>
      <c r="D242" s="25"/>
      <c r="E242" s="99" t="s">
        <v>1361</v>
      </c>
      <c r="F242" s="99" t="s">
        <v>27</v>
      </c>
      <c r="G242" s="95" t="s">
        <v>1414</v>
      </c>
      <c r="H242" s="95"/>
    </row>
    <row r="243" spans="1:8" ht="23.25" hidden="1" x14ac:dyDescent="0.35">
      <c r="A243" s="161" t="s">
        <v>263</v>
      </c>
      <c r="B243" s="161" t="s">
        <v>264</v>
      </c>
      <c r="C243" s="154">
        <f>IFERROR(VLOOKUP(A243,'งบทดลอง รพ.'!$A$2:$C$609,3,0),0)</f>
        <v>1156902</v>
      </c>
      <c r="D243" s="25"/>
      <c r="E243" s="99" t="s">
        <v>1361</v>
      </c>
      <c r="F243" s="99" t="s">
        <v>27</v>
      </c>
      <c r="G243" s="95" t="s">
        <v>1414</v>
      </c>
      <c r="H243" s="95"/>
    </row>
    <row r="244" spans="1:8" ht="23.25" hidden="1" x14ac:dyDescent="0.35">
      <c r="A244" s="161" t="s">
        <v>265</v>
      </c>
      <c r="B244" s="161" t="s">
        <v>1489</v>
      </c>
      <c r="C244" s="154">
        <f>IFERROR(VLOOKUP(A244,'งบทดลอง รพ.'!$A$2:$C$609,3,0),0)</f>
        <v>193404</v>
      </c>
      <c r="D244" s="25"/>
      <c r="E244" s="99" t="s">
        <v>1363</v>
      </c>
      <c r="F244" s="99" t="s">
        <v>27</v>
      </c>
      <c r="G244" s="95" t="s">
        <v>1414</v>
      </c>
      <c r="H244" s="95"/>
    </row>
    <row r="245" spans="1:8" ht="23.25" hidden="1" x14ac:dyDescent="0.35">
      <c r="A245" s="161" t="s">
        <v>266</v>
      </c>
      <c r="B245" s="161" t="s">
        <v>267</v>
      </c>
      <c r="C245" s="154">
        <f>IFERROR(VLOOKUP(A245,'งบทดลอง รพ.'!$A$2:$C$609,3,0),0)</f>
        <v>0</v>
      </c>
      <c r="D245" s="25"/>
      <c r="E245" s="99" t="s">
        <v>1363</v>
      </c>
      <c r="F245" s="99" t="s">
        <v>27</v>
      </c>
      <c r="G245" s="95" t="s">
        <v>1414</v>
      </c>
      <c r="H245" s="95"/>
    </row>
    <row r="246" spans="1:8" ht="23.25" hidden="1" x14ac:dyDescent="0.35">
      <c r="A246" s="161" t="s">
        <v>268</v>
      </c>
      <c r="B246" s="161" t="s">
        <v>269</v>
      </c>
      <c r="C246" s="154">
        <f>IFERROR(VLOOKUP(A246,'งบทดลอง รพ.'!$A$2:$C$609,3,0),0)</f>
        <v>0</v>
      </c>
      <c r="D246" s="25"/>
      <c r="E246" s="99" t="s">
        <v>1365</v>
      </c>
      <c r="F246" s="99" t="s">
        <v>27</v>
      </c>
      <c r="G246" s="95" t="s">
        <v>1414</v>
      </c>
      <c r="H246" s="95"/>
    </row>
    <row r="247" spans="1:8" ht="23.25" hidden="1" x14ac:dyDescent="0.35">
      <c r="A247" s="161" t="s">
        <v>270</v>
      </c>
      <c r="B247" s="161" t="s">
        <v>636</v>
      </c>
      <c r="C247" s="154">
        <f>IFERROR(VLOOKUP(A247,'งบทดลอง รพ.'!$A$2:$C$609,3,0),0)</f>
        <v>0</v>
      </c>
      <c r="D247" s="25"/>
      <c r="E247" s="99" t="s">
        <v>1365</v>
      </c>
      <c r="F247" s="99" t="s">
        <v>27</v>
      </c>
      <c r="G247" s="95" t="s">
        <v>1414</v>
      </c>
      <c r="H247" s="95"/>
    </row>
    <row r="248" spans="1:8" ht="23.25" hidden="1" x14ac:dyDescent="0.35">
      <c r="A248" s="161" t="s">
        <v>253</v>
      </c>
      <c r="B248" s="161" t="s">
        <v>1490</v>
      </c>
      <c r="C248" s="154">
        <f>IFERROR(VLOOKUP(A248,'งบทดลอง รพ.'!$A$2:$C$609,3,0),0)</f>
        <v>0</v>
      </c>
      <c r="D248" s="25"/>
      <c r="E248" s="99" t="s">
        <v>1357</v>
      </c>
      <c r="F248" s="99" t="s">
        <v>25</v>
      </c>
      <c r="G248" s="95" t="s">
        <v>1414</v>
      </c>
      <c r="H248" s="95"/>
    </row>
    <row r="249" spans="1:8" ht="23.25" hidden="1" x14ac:dyDescent="0.35">
      <c r="A249" s="161" t="s">
        <v>254</v>
      </c>
      <c r="B249" s="161" t="s">
        <v>1491</v>
      </c>
      <c r="C249" s="154">
        <f>IFERROR(VLOOKUP(A249,'งบทดลอง รพ.'!$A$2:$C$609,3,0),0)</f>
        <v>209880</v>
      </c>
      <c r="D249" s="25"/>
      <c r="E249" s="99" t="s">
        <v>1357</v>
      </c>
      <c r="F249" s="99" t="s">
        <v>25</v>
      </c>
      <c r="G249" s="95" t="s">
        <v>1414</v>
      </c>
      <c r="H249" s="95"/>
    </row>
    <row r="250" spans="1:8" ht="23.25" hidden="1" x14ac:dyDescent="0.35">
      <c r="A250" s="158" t="s">
        <v>1110</v>
      </c>
      <c r="B250" s="158" t="s">
        <v>1111</v>
      </c>
      <c r="C250" s="154">
        <f>IFERROR(VLOOKUP(A250,'งบทดลอง รพ.'!$A$2:$C$609,3,0),0)</f>
        <v>0</v>
      </c>
      <c r="D250" s="25"/>
      <c r="E250" s="99" t="s">
        <v>1357</v>
      </c>
      <c r="F250" s="99" t="s">
        <v>25</v>
      </c>
      <c r="G250" s="95" t="s">
        <v>1412</v>
      </c>
      <c r="H250" s="95"/>
    </row>
    <row r="251" spans="1:8" ht="23.25" hidden="1" x14ac:dyDescent="0.35">
      <c r="A251" s="158" t="s">
        <v>1112</v>
      </c>
      <c r="B251" s="158" t="s">
        <v>1113</v>
      </c>
      <c r="C251" s="154">
        <f>IFERROR(VLOOKUP(A251,'งบทดลอง รพ.'!$A$2:$C$609,3,0),0)</f>
        <v>0</v>
      </c>
      <c r="D251" s="25"/>
      <c r="E251" s="99" t="s">
        <v>1357</v>
      </c>
      <c r="F251" s="99" t="s">
        <v>25</v>
      </c>
      <c r="G251" s="95" t="s">
        <v>1412</v>
      </c>
      <c r="H251" s="95"/>
    </row>
    <row r="252" spans="1:8" ht="23.25" hidden="1" x14ac:dyDescent="0.35">
      <c r="A252" s="161" t="s">
        <v>255</v>
      </c>
      <c r="B252" s="161" t="s">
        <v>1492</v>
      </c>
      <c r="C252" s="154">
        <f>IFERROR(VLOOKUP(A252,'งบทดลอง รพ.'!$A$2:$C$609,3,0),0)</f>
        <v>30140.16</v>
      </c>
      <c r="D252" s="25"/>
      <c r="E252" s="99" t="s">
        <v>1357</v>
      </c>
      <c r="F252" s="99" t="s">
        <v>25</v>
      </c>
      <c r="G252" s="95" t="s">
        <v>1414</v>
      </c>
      <c r="H252" s="95"/>
    </row>
    <row r="253" spans="1:8" ht="23.25" hidden="1" x14ac:dyDescent="0.35">
      <c r="A253" s="161" t="s">
        <v>256</v>
      </c>
      <c r="B253" s="161" t="s">
        <v>1493</v>
      </c>
      <c r="C253" s="154">
        <f>IFERROR(VLOOKUP(A253,'งบทดลอง รพ.'!$A$2:$C$609,3,0),0)</f>
        <v>0</v>
      </c>
      <c r="D253" s="25"/>
      <c r="E253" s="99" t="s">
        <v>1357</v>
      </c>
      <c r="F253" s="99" t="s">
        <v>25</v>
      </c>
      <c r="G253" s="95" t="s">
        <v>1414</v>
      </c>
      <c r="H253" s="95"/>
    </row>
    <row r="254" spans="1:8" ht="23.25" hidden="1" x14ac:dyDescent="0.35">
      <c r="A254" s="161" t="s">
        <v>257</v>
      </c>
      <c r="B254" s="161" t="s">
        <v>1494</v>
      </c>
      <c r="C254" s="154">
        <f>IFERROR(VLOOKUP(A254,'งบทดลอง รพ.'!$A$2:$C$609,3,0),0)</f>
        <v>0</v>
      </c>
      <c r="D254" s="25"/>
      <c r="E254" s="99" t="s">
        <v>1357</v>
      </c>
      <c r="F254" s="99" t="s">
        <v>25</v>
      </c>
      <c r="G254" s="95" t="s">
        <v>1414</v>
      </c>
      <c r="H254" s="95"/>
    </row>
    <row r="255" spans="1:8" ht="23.25" hidden="1" x14ac:dyDescent="0.35">
      <c r="A255" s="161" t="s">
        <v>258</v>
      </c>
      <c r="B255" s="161" t="s">
        <v>1495</v>
      </c>
      <c r="C255" s="154">
        <f>IFERROR(VLOOKUP(A255,'งบทดลอง รพ.'!$A$2:$C$609,3,0),0)</f>
        <v>0</v>
      </c>
      <c r="D255" s="25"/>
      <c r="E255" s="99" t="s">
        <v>1357</v>
      </c>
      <c r="F255" s="99" t="s">
        <v>25</v>
      </c>
      <c r="G255" s="95" t="s">
        <v>1414</v>
      </c>
      <c r="H255" s="95"/>
    </row>
    <row r="256" spans="1:8" ht="23.25" hidden="1" x14ac:dyDescent="0.35">
      <c r="A256" s="161" t="s">
        <v>259</v>
      </c>
      <c r="B256" s="161" t="s">
        <v>1496</v>
      </c>
      <c r="C256" s="154">
        <f>IFERROR(VLOOKUP(A256,'งบทดลอง รพ.'!$A$2:$C$609,3,0),0)</f>
        <v>0</v>
      </c>
      <c r="D256" s="25"/>
      <c r="E256" s="99" t="s">
        <v>1357</v>
      </c>
      <c r="F256" s="99" t="s">
        <v>25</v>
      </c>
      <c r="G256" s="95" t="s">
        <v>1414</v>
      </c>
      <c r="H256" s="95"/>
    </row>
    <row r="257" spans="1:8" ht="23.25" hidden="1" x14ac:dyDescent="0.35">
      <c r="A257" s="161" t="s">
        <v>260</v>
      </c>
      <c r="B257" s="161" t="s">
        <v>1497</v>
      </c>
      <c r="C257" s="154">
        <f>IFERROR(VLOOKUP(A257,'งบทดลอง รพ.'!$A$2:$C$609,3,0),0)</f>
        <v>0</v>
      </c>
      <c r="D257" s="25"/>
      <c r="E257" s="99" t="s">
        <v>1357</v>
      </c>
      <c r="F257" s="99" t="s">
        <v>25</v>
      </c>
      <c r="G257" s="95" t="s">
        <v>1414</v>
      </c>
      <c r="H257" s="95"/>
    </row>
    <row r="258" spans="1:8" ht="23.25" hidden="1" x14ac:dyDescent="0.35">
      <c r="A258" s="158" t="s">
        <v>1114</v>
      </c>
      <c r="B258" s="158" t="s">
        <v>1115</v>
      </c>
      <c r="C258" s="154">
        <f>IFERROR(VLOOKUP(A258,'งบทดลอง รพ.'!$A$2:$C$609,3,0),0)</f>
        <v>0</v>
      </c>
      <c r="D258" s="25"/>
      <c r="E258" s="99" t="s">
        <v>1367</v>
      </c>
      <c r="F258" s="99" t="s">
        <v>31</v>
      </c>
      <c r="G258" s="95" t="s">
        <v>1412</v>
      </c>
      <c r="H258" s="95"/>
    </row>
    <row r="259" spans="1:8" ht="23.25" hidden="1" x14ac:dyDescent="0.35">
      <c r="A259" s="158" t="s">
        <v>1116</v>
      </c>
      <c r="B259" s="158" t="s">
        <v>1117</v>
      </c>
      <c r="C259" s="154">
        <f>IFERROR(VLOOKUP(A259,'งบทดลอง รพ.'!$A$2:$C$609,3,0),0)</f>
        <v>0</v>
      </c>
      <c r="D259" s="25"/>
      <c r="E259" s="99" t="s">
        <v>1367</v>
      </c>
      <c r="F259" s="99" t="s">
        <v>31</v>
      </c>
      <c r="G259" s="95" t="s">
        <v>1412</v>
      </c>
      <c r="H259" s="95"/>
    </row>
    <row r="260" spans="1:8" ht="23.25" hidden="1" x14ac:dyDescent="0.35">
      <c r="A260" s="161" t="s">
        <v>918</v>
      </c>
      <c r="B260" s="161" t="s">
        <v>919</v>
      </c>
      <c r="C260" s="154">
        <f>IFERROR(VLOOKUP(A260,'งบทดลอง รพ.'!$A$2:$C$609,3,0),0)</f>
        <v>0</v>
      </c>
      <c r="D260" s="25"/>
      <c r="E260" s="99" t="s">
        <v>1357</v>
      </c>
      <c r="F260" s="99" t="s">
        <v>25</v>
      </c>
      <c r="G260" s="95" t="s">
        <v>1414</v>
      </c>
      <c r="H260" s="95"/>
    </row>
    <row r="261" spans="1:8" ht="23.25" hidden="1" x14ac:dyDescent="0.35">
      <c r="A261" s="161" t="s">
        <v>920</v>
      </c>
      <c r="B261" s="161" t="s">
        <v>921</v>
      </c>
      <c r="C261" s="154">
        <f>IFERROR(VLOOKUP(A261,'งบทดลอง รพ.'!$A$2:$C$609,3,0),0)</f>
        <v>0</v>
      </c>
      <c r="D261" s="25"/>
      <c r="E261" s="99" t="s">
        <v>1357</v>
      </c>
      <c r="F261" s="99" t="s">
        <v>25</v>
      </c>
      <c r="G261" s="95" t="s">
        <v>1414</v>
      </c>
      <c r="H261" s="95"/>
    </row>
    <row r="262" spans="1:8" ht="23.25" hidden="1" x14ac:dyDescent="0.35">
      <c r="A262" s="161" t="s">
        <v>922</v>
      </c>
      <c r="B262" s="161" t="s">
        <v>923</v>
      </c>
      <c r="C262" s="154">
        <f>IFERROR(VLOOKUP(A262,'งบทดลอง รพ.'!$A$2:$C$609,3,0),0)</f>
        <v>389376</v>
      </c>
      <c r="D262" s="25"/>
      <c r="E262" s="99" t="s">
        <v>1359</v>
      </c>
      <c r="F262" s="99" t="s">
        <v>29</v>
      </c>
      <c r="G262" s="95" t="s">
        <v>1414</v>
      </c>
      <c r="H262" s="95"/>
    </row>
    <row r="263" spans="1:8" ht="23.25" hidden="1" x14ac:dyDescent="0.35">
      <c r="A263" s="161" t="s">
        <v>285</v>
      </c>
      <c r="B263" s="161" t="s">
        <v>286</v>
      </c>
      <c r="C263" s="154">
        <f>IFERROR(VLOOKUP(A263,'งบทดลอง รพ.'!$A$2:$C$609,3,0),0)</f>
        <v>0</v>
      </c>
      <c r="D263" s="25"/>
      <c r="E263" s="99" t="s">
        <v>1367</v>
      </c>
      <c r="F263" s="99" t="s">
        <v>31</v>
      </c>
      <c r="G263" s="95" t="s">
        <v>1414</v>
      </c>
      <c r="H263" s="95"/>
    </row>
    <row r="264" spans="1:8" ht="23.25" hidden="1" x14ac:dyDescent="0.35">
      <c r="A264" s="161" t="s">
        <v>287</v>
      </c>
      <c r="B264" s="161" t="s">
        <v>288</v>
      </c>
      <c r="C264" s="154">
        <f>IFERROR(VLOOKUP(A264,'งบทดลอง รพ.'!$A$2:$C$609,3,0),0)</f>
        <v>0</v>
      </c>
      <c r="D264" s="25"/>
      <c r="E264" s="99" t="s">
        <v>1367</v>
      </c>
      <c r="F264" s="99" t="s">
        <v>31</v>
      </c>
      <c r="G264" s="95" t="s">
        <v>1414</v>
      </c>
      <c r="H264" s="95"/>
    </row>
    <row r="265" spans="1:8" ht="23.25" hidden="1" x14ac:dyDescent="0.35">
      <c r="A265" s="161" t="s">
        <v>289</v>
      </c>
      <c r="B265" s="161" t="s">
        <v>290</v>
      </c>
      <c r="C265" s="154">
        <f>IFERROR(VLOOKUP(A265,'งบทดลอง รพ.'!$A$2:$C$609,3,0),0)</f>
        <v>106177.56</v>
      </c>
      <c r="D265" s="25"/>
      <c r="E265" s="99" t="s">
        <v>1367</v>
      </c>
      <c r="F265" s="99" t="s">
        <v>31</v>
      </c>
      <c r="G265" s="95" t="s">
        <v>1414</v>
      </c>
      <c r="H265" s="95"/>
    </row>
    <row r="266" spans="1:8" ht="23.25" hidden="1" x14ac:dyDescent="0.35">
      <c r="A266" s="161" t="s">
        <v>291</v>
      </c>
      <c r="B266" s="161" t="s">
        <v>292</v>
      </c>
      <c r="C266" s="154">
        <f>IFERROR(VLOOKUP(A266,'งบทดลอง รพ.'!$A$2:$C$609,3,0),0)</f>
        <v>159266.34</v>
      </c>
      <c r="D266" s="25"/>
      <c r="E266" s="99" t="s">
        <v>1367</v>
      </c>
      <c r="F266" s="99" t="s">
        <v>31</v>
      </c>
      <c r="G266" s="95" t="s">
        <v>1414</v>
      </c>
      <c r="H266" s="95"/>
    </row>
    <row r="267" spans="1:8" ht="23.25" hidden="1" x14ac:dyDescent="0.35">
      <c r="A267" s="161" t="s">
        <v>293</v>
      </c>
      <c r="B267" s="161" t="s">
        <v>294</v>
      </c>
      <c r="C267" s="154">
        <f>IFERROR(VLOOKUP(A267,'งบทดลอง รพ.'!$A$2:$C$609,3,0),0)</f>
        <v>0</v>
      </c>
      <c r="D267" s="25"/>
      <c r="E267" s="99" t="s">
        <v>1367</v>
      </c>
      <c r="F267" s="99" t="s">
        <v>31</v>
      </c>
      <c r="G267" s="95" t="s">
        <v>1414</v>
      </c>
      <c r="H267" s="95"/>
    </row>
    <row r="268" spans="1:8" ht="23.25" hidden="1" x14ac:dyDescent="0.35">
      <c r="A268" s="161" t="s">
        <v>295</v>
      </c>
      <c r="B268" s="161" t="s">
        <v>1498</v>
      </c>
      <c r="C268" s="154">
        <f>IFERROR(VLOOKUP(A268,'งบทดลอง รพ.'!$A$2:$C$609,3,0),0)</f>
        <v>272922</v>
      </c>
      <c r="D268" s="25"/>
      <c r="E268" s="99" t="s">
        <v>1367</v>
      </c>
      <c r="F268" s="99" t="s">
        <v>31</v>
      </c>
      <c r="G268" s="95" t="s">
        <v>1414</v>
      </c>
      <c r="H268" s="95"/>
    </row>
    <row r="269" spans="1:8" ht="23.25" hidden="1" x14ac:dyDescent="0.35">
      <c r="A269" s="161" t="s">
        <v>296</v>
      </c>
      <c r="B269" s="161" t="s">
        <v>297</v>
      </c>
      <c r="C269" s="154">
        <f>IFERROR(VLOOKUP(A269,'งบทดลอง รพ.'!$A$2:$C$609,3,0),0)</f>
        <v>0</v>
      </c>
      <c r="D269" s="25"/>
      <c r="E269" s="99" t="s">
        <v>1367</v>
      </c>
      <c r="F269" s="99" t="s">
        <v>31</v>
      </c>
      <c r="G269" s="95" t="s">
        <v>1414</v>
      </c>
      <c r="H269" s="95"/>
    </row>
    <row r="270" spans="1:8" ht="23.25" hidden="1" x14ac:dyDescent="0.35">
      <c r="A270" s="161" t="s">
        <v>298</v>
      </c>
      <c r="B270" s="161" t="s">
        <v>299</v>
      </c>
      <c r="C270" s="154">
        <f>IFERROR(VLOOKUP(A270,'งบทดลอง รพ.'!$A$2:$C$609,3,0),0)</f>
        <v>0</v>
      </c>
      <c r="D270" s="25"/>
      <c r="E270" s="99" t="s">
        <v>1367</v>
      </c>
      <c r="F270" s="99" t="s">
        <v>31</v>
      </c>
      <c r="G270" s="95" t="s">
        <v>1414</v>
      </c>
      <c r="H270" s="95"/>
    </row>
    <row r="271" spans="1:8" ht="23.25" hidden="1" x14ac:dyDescent="0.35">
      <c r="A271" s="158" t="s">
        <v>1118</v>
      </c>
      <c r="B271" s="158" t="s">
        <v>271</v>
      </c>
      <c r="C271" s="154">
        <f>IFERROR(VLOOKUP(A271,'งบทดลอง รพ.'!$A$2:$C$609,3,0),0)</f>
        <v>0</v>
      </c>
      <c r="D271" s="25"/>
      <c r="E271" s="99" t="s">
        <v>1369</v>
      </c>
      <c r="F271" s="99" t="s">
        <v>29</v>
      </c>
      <c r="G271" s="95" t="s">
        <v>1412</v>
      </c>
      <c r="H271" s="95"/>
    </row>
    <row r="272" spans="1:8" ht="23.25" hidden="1" x14ac:dyDescent="0.35">
      <c r="A272" s="158" t="s">
        <v>1119</v>
      </c>
      <c r="B272" s="158" t="s">
        <v>272</v>
      </c>
      <c r="C272" s="154">
        <f>IFERROR(VLOOKUP(A272,'งบทดลอง รพ.'!$A$2:$C$609,3,0),0)</f>
        <v>0</v>
      </c>
      <c r="D272" s="25"/>
      <c r="E272" s="99" t="s">
        <v>1369</v>
      </c>
      <c r="F272" s="99" t="s">
        <v>29</v>
      </c>
      <c r="G272" s="95" t="s">
        <v>1412</v>
      </c>
      <c r="H272" s="95"/>
    </row>
    <row r="273" spans="1:8" ht="23.25" hidden="1" x14ac:dyDescent="0.35">
      <c r="A273" s="158" t="s">
        <v>1120</v>
      </c>
      <c r="B273" s="158" t="s">
        <v>273</v>
      </c>
      <c r="C273" s="154">
        <f>IFERROR(VLOOKUP(A273,'งบทดลอง รพ.'!$A$2:$C$609,3,0),0)</f>
        <v>0</v>
      </c>
      <c r="D273" s="25"/>
      <c r="E273" s="99" t="s">
        <v>1369</v>
      </c>
      <c r="F273" s="99" t="s">
        <v>29</v>
      </c>
      <c r="G273" s="95" t="s">
        <v>1412</v>
      </c>
      <c r="H273" s="95"/>
    </row>
    <row r="274" spans="1:8" ht="23.25" hidden="1" x14ac:dyDescent="0.35">
      <c r="A274" s="158" t="s">
        <v>1121</v>
      </c>
      <c r="B274" s="158" t="s">
        <v>1122</v>
      </c>
      <c r="C274" s="154">
        <f>IFERROR(VLOOKUP(A274,'งบทดลอง รพ.'!$A$2:$C$609,3,0),0)</f>
        <v>0</v>
      </c>
      <c r="D274" s="25"/>
      <c r="E274" s="99" t="s">
        <v>1369</v>
      </c>
      <c r="F274" s="99" t="s">
        <v>29</v>
      </c>
      <c r="G274" s="95" t="s">
        <v>1412</v>
      </c>
      <c r="H274" s="95"/>
    </row>
    <row r="275" spans="1:8" ht="23.25" hidden="1" x14ac:dyDescent="0.35">
      <c r="A275" s="158" t="s">
        <v>1123</v>
      </c>
      <c r="B275" s="158" t="s">
        <v>1124</v>
      </c>
      <c r="C275" s="154">
        <f>IFERROR(VLOOKUP(A275,'งบทดลอง รพ.'!$A$2:$C$609,3,0),0)</f>
        <v>0</v>
      </c>
      <c r="D275" s="25"/>
      <c r="E275" s="99" t="s">
        <v>1369</v>
      </c>
      <c r="F275" s="99" t="s">
        <v>29</v>
      </c>
      <c r="G275" s="95" t="s">
        <v>1412</v>
      </c>
      <c r="H275" s="95"/>
    </row>
    <row r="276" spans="1:8" ht="23.25" hidden="1" x14ac:dyDescent="0.35">
      <c r="A276" s="158" t="s">
        <v>1125</v>
      </c>
      <c r="B276" s="158" t="s">
        <v>1499</v>
      </c>
      <c r="C276" s="154">
        <f>IFERROR(VLOOKUP(A276,'งบทดลอง รพ.'!$A$2:$C$609,3,0),0)</f>
        <v>0</v>
      </c>
      <c r="D276" s="25"/>
      <c r="E276" s="99" t="s">
        <v>1369</v>
      </c>
      <c r="F276" s="99" t="s">
        <v>29</v>
      </c>
      <c r="G276" s="95" t="s">
        <v>1412</v>
      </c>
      <c r="H276" s="95"/>
    </row>
    <row r="277" spans="1:8" ht="23.25" hidden="1" x14ac:dyDescent="0.35">
      <c r="A277" s="161" t="s">
        <v>274</v>
      </c>
      <c r="B277" s="161" t="s">
        <v>275</v>
      </c>
      <c r="C277" s="154">
        <f>IFERROR(VLOOKUP(A277,'งบทดลอง รพ.'!$A$2:$C$609,3,0),0)</f>
        <v>617000</v>
      </c>
      <c r="D277" s="25"/>
      <c r="E277" s="99" t="s">
        <v>1371</v>
      </c>
      <c r="F277" s="99" t="s">
        <v>29</v>
      </c>
      <c r="G277" s="95" t="s">
        <v>1414</v>
      </c>
      <c r="H277" s="95"/>
    </row>
    <row r="278" spans="1:8" ht="23.25" hidden="1" x14ac:dyDescent="0.35">
      <c r="A278" s="158" t="s">
        <v>1126</v>
      </c>
      <c r="B278" s="158" t="s">
        <v>276</v>
      </c>
      <c r="C278" s="154">
        <f>IFERROR(VLOOKUP(A278,'งบทดลอง รพ.'!$A$2:$C$609,3,0),0)</f>
        <v>0</v>
      </c>
      <c r="D278" s="25"/>
      <c r="E278" s="99" t="s">
        <v>1369</v>
      </c>
      <c r="F278" s="99" t="s">
        <v>29</v>
      </c>
      <c r="G278" s="95" t="s">
        <v>1412</v>
      </c>
      <c r="H278" s="95"/>
    </row>
    <row r="279" spans="1:8" ht="23.25" hidden="1" x14ac:dyDescent="0.35">
      <c r="A279" s="158" t="s">
        <v>1127</v>
      </c>
      <c r="B279" s="158" t="s">
        <v>1128</v>
      </c>
      <c r="C279" s="154">
        <f>IFERROR(VLOOKUP(A279,'งบทดลอง รพ.'!$A$2:$C$609,3,0),0)</f>
        <v>0</v>
      </c>
      <c r="D279" s="25"/>
      <c r="E279" s="99" t="s">
        <v>1359</v>
      </c>
      <c r="F279" s="99" t="s">
        <v>29</v>
      </c>
      <c r="G279" s="95" t="s">
        <v>1412</v>
      </c>
      <c r="H279" s="95"/>
    </row>
    <row r="280" spans="1:8" ht="23.25" hidden="1" x14ac:dyDescent="0.35">
      <c r="A280" s="158" t="s">
        <v>1129</v>
      </c>
      <c r="B280" s="158" t="s">
        <v>1500</v>
      </c>
      <c r="C280" s="154">
        <f>IFERROR(VLOOKUP(A280,'งบทดลอง รพ.'!$A$2:$C$609,3,0),0)</f>
        <v>0</v>
      </c>
      <c r="D280" s="25"/>
      <c r="E280" s="99" t="s">
        <v>1359</v>
      </c>
      <c r="F280" s="99" t="s">
        <v>29</v>
      </c>
      <c r="G280" s="95" t="s">
        <v>1412</v>
      </c>
      <c r="H280" s="95"/>
    </row>
    <row r="281" spans="1:8" ht="23.25" hidden="1" x14ac:dyDescent="0.35">
      <c r="A281" s="158" t="s">
        <v>1130</v>
      </c>
      <c r="B281" s="158" t="s">
        <v>1131</v>
      </c>
      <c r="C281" s="154">
        <f>IFERROR(VLOOKUP(A281,'งบทดลอง รพ.'!$A$2:$C$609,3,0),0)</f>
        <v>0</v>
      </c>
      <c r="D281" s="25"/>
      <c r="E281" s="99" t="s">
        <v>1359</v>
      </c>
      <c r="F281" s="99" t="s">
        <v>29</v>
      </c>
      <c r="G281" s="95" t="s">
        <v>1412</v>
      </c>
      <c r="H281" s="95"/>
    </row>
    <row r="282" spans="1:8" ht="23.25" hidden="1" x14ac:dyDescent="0.35">
      <c r="A282" s="158" t="s">
        <v>1132</v>
      </c>
      <c r="B282" s="158" t="s">
        <v>1501</v>
      </c>
      <c r="C282" s="154">
        <f>IFERROR(VLOOKUP(A282,'งบทดลอง รพ.'!$A$2:$C$609,3,0),0)</f>
        <v>0</v>
      </c>
      <c r="D282" s="25"/>
      <c r="E282" s="99" t="s">
        <v>1369</v>
      </c>
      <c r="F282" s="99" t="s">
        <v>29</v>
      </c>
      <c r="G282" s="95" t="s">
        <v>1412</v>
      </c>
      <c r="H282" s="95"/>
    </row>
    <row r="283" spans="1:8" ht="23.25" hidden="1" x14ac:dyDescent="0.35">
      <c r="A283" s="158" t="s">
        <v>1133</v>
      </c>
      <c r="B283" s="158" t="s">
        <v>1502</v>
      </c>
      <c r="C283" s="154">
        <f>IFERROR(VLOOKUP(A283,'งบทดลอง รพ.'!$A$2:$C$609,3,0),0)</f>
        <v>0</v>
      </c>
      <c r="D283" s="25"/>
      <c r="E283" s="99" t="s">
        <v>1369</v>
      </c>
      <c r="F283" s="99" t="s">
        <v>29</v>
      </c>
      <c r="G283" s="95" t="s">
        <v>1412</v>
      </c>
      <c r="H283" s="95"/>
    </row>
    <row r="284" spans="1:8" ht="23.25" hidden="1" x14ac:dyDescent="0.35">
      <c r="A284" s="161" t="s">
        <v>277</v>
      </c>
      <c r="B284" s="161" t="s">
        <v>278</v>
      </c>
      <c r="C284" s="154">
        <f>IFERROR(VLOOKUP(A284,'งบทดลอง รพ.'!$A$2:$C$609,3,0),0)</f>
        <v>85000</v>
      </c>
      <c r="D284" s="25"/>
      <c r="E284" s="99" t="s">
        <v>1371</v>
      </c>
      <c r="F284" s="99" t="s">
        <v>29</v>
      </c>
      <c r="G284" s="95" t="s">
        <v>1414</v>
      </c>
      <c r="H284" s="95"/>
    </row>
    <row r="285" spans="1:8" ht="23.25" hidden="1" x14ac:dyDescent="0.35">
      <c r="A285" s="158" t="s">
        <v>1134</v>
      </c>
      <c r="B285" s="158" t="s">
        <v>1135</v>
      </c>
      <c r="C285" s="154">
        <f>IFERROR(VLOOKUP(A285,'งบทดลอง รพ.'!$A$2:$C$609,3,0),0)</f>
        <v>0</v>
      </c>
      <c r="D285" s="25"/>
      <c r="E285" s="99" t="s">
        <v>1369</v>
      </c>
      <c r="F285" s="99" t="s">
        <v>29</v>
      </c>
      <c r="G285" s="95" t="s">
        <v>1412</v>
      </c>
      <c r="H285" s="95"/>
    </row>
    <row r="286" spans="1:8" ht="23.25" hidden="1" x14ac:dyDescent="0.35">
      <c r="A286" s="161" t="s">
        <v>279</v>
      </c>
      <c r="B286" s="161" t="s">
        <v>1503</v>
      </c>
      <c r="C286" s="154">
        <f>IFERROR(VLOOKUP(A286,'งบทดลอง รพ.'!$A$2:$C$609,3,0),0)</f>
        <v>0</v>
      </c>
      <c r="D286" s="25"/>
      <c r="E286" s="99" t="s">
        <v>1373</v>
      </c>
      <c r="F286" s="99" t="s">
        <v>29</v>
      </c>
      <c r="G286" s="95" t="s">
        <v>1414</v>
      </c>
      <c r="H286" s="95"/>
    </row>
    <row r="287" spans="1:8" ht="23.25" hidden="1" x14ac:dyDescent="0.35">
      <c r="A287" s="161" t="s">
        <v>280</v>
      </c>
      <c r="B287" s="161" t="s">
        <v>1504</v>
      </c>
      <c r="C287" s="154">
        <f>IFERROR(VLOOKUP(A287,'งบทดลอง รพ.'!$A$2:$C$609,3,0),0)</f>
        <v>0</v>
      </c>
      <c r="D287" s="25"/>
      <c r="E287" s="99" t="s">
        <v>1373</v>
      </c>
      <c r="F287" s="99" t="s">
        <v>29</v>
      </c>
      <c r="G287" s="95" t="s">
        <v>1414</v>
      </c>
      <c r="H287" s="95"/>
    </row>
    <row r="288" spans="1:8" ht="23.25" hidden="1" x14ac:dyDescent="0.35">
      <c r="A288" s="161" t="s">
        <v>281</v>
      </c>
      <c r="B288" s="161" t="s">
        <v>282</v>
      </c>
      <c r="C288" s="154">
        <f>IFERROR(VLOOKUP(A288,'งบทดลอง รพ.'!$A$2:$C$609,3,0),0)</f>
        <v>0</v>
      </c>
      <c r="D288" s="25"/>
      <c r="E288" s="99" t="s">
        <v>1373</v>
      </c>
      <c r="F288" s="99" t="s">
        <v>29</v>
      </c>
      <c r="G288" s="95" t="s">
        <v>1414</v>
      </c>
      <c r="H288" s="95"/>
    </row>
    <row r="289" spans="1:8" ht="23.25" hidden="1" x14ac:dyDescent="0.35">
      <c r="A289" s="161" t="s">
        <v>283</v>
      </c>
      <c r="B289" s="161" t="s">
        <v>284</v>
      </c>
      <c r="C289" s="154">
        <f>IFERROR(VLOOKUP(A289,'งบทดลอง รพ.'!$A$2:$C$609,3,0),0)</f>
        <v>0</v>
      </c>
      <c r="D289" s="25"/>
      <c r="E289" s="99" t="s">
        <v>1373</v>
      </c>
      <c r="F289" s="99" t="s">
        <v>29</v>
      </c>
      <c r="G289" s="95" t="s">
        <v>1414</v>
      </c>
      <c r="H289" s="95"/>
    </row>
    <row r="290" spans="1:8" ht="23.25" hidden="1" x14ac:dyDescent="0.35">
      <c r="A290" s="161" t="s">
        <v>924</v>
      </c>
      <c r="B290" s="161" t="s">
        <v>925</v>
      </c>
      <c r="C290" s="154">
        <f>IFERROR(VLOOKUP(A290,'งบทดลอง รพ.'!$A$2:$C$609,3,0),0)</f>
        <v>1618800</v>
      </c>
      <c r="D290" s="25"/>
      <c r="E290" s="99" t="s">
        <v>1369</v>
      </c>
      <c r="F290" s="99" t="s">
        <v>29</v>
      </c>
      <c r="G290" s="95" t="s">
        <v>1414</v>
      </c>
      <c r="H290" s="95"/>
    </row>
    <row r="291" spans="1:8" ht="23.25" hidden="1" x14ac:dyDescent="0.35">
      <c r="A291" s="161" t="s">
        <v>926</v>
      </c>
      <c r="B291" s="161" t="s">
        <v>927</v>
      </c>
      <c r="C291" s="154">
        <f>IFERROR(VLOOKUP(A291,'งบทดลอง รพ.'!$A$2:$C$609,3,0),0)</f>
        <v>0</v>
      </c>
      <c r="D291" s="25"/>
      <c r="E291" s="99" t="s">
        <v>1369</v>
      </c>
      <c r="F291" s="99" t="s">
        <v>29</v>
      </c>
      <c r="G291" s="95" t="s">
        <v>1414</v>
      </c>
      <c r="H291" s="95"/>
    </row>
    <row r="292" spans="1:8" ht="23.25" hidden="1" x14ac:dyDescent="0.35">
      <c r="A292" s="161" t="s">
        <v>928</v>
      </c>
      <c r="B292" s="161" t="s">
        <v>929</v>
      </c>
      <c r="C292" s="154">
        <f>IFERROR(VLOOKUP(A292,'งบทดลอง รพ.'!$A$2:$C$609,3,0),0)</f>
        <v>0</v>
      </c>
      <c r="D292" s="25"/>
      <c r="E292" s="99" t="s">
        <v>1373</v>
      </c>
      <c r="F292" s="99" t="s">
        <v>29</v>
      </c>
      <c r="G292" s="95" t="s">
        <v>1414</v>
      </c>
      <c r="H292" s="95"/>
    </row>
    <row r="293" spans="1:8" ht="23.25" hidden="1" x14ac:dyDescent="0.35">
      <c r="A293" s="158" t="s">
        <v>1136</v>
      </c>
      <c r="B293" s="158" t="s">
        <v>1137</v>
      </c>
      <c r="C293" s="154">
        <f>IFERROR(VLOOKUP(A293,'งบทดลอง รพ.'!$A$2:$C$609,3,0),0)</f>
        <v>0</v>
      </c>
      <c r="D293" s="25"/>
      <c r="E293" s="99" t="s">
        <v>1367</v>
      </c>
      <c r="F293" s="99" t="s">
        <v>31</v>
      </c>
      <c r="G293" s="95" t="s">
        <v>1412</v>
      </c>
      <c r="H293" s="95"/>
    </row>
    <row r="294" spans="1:8" ht="23.25" hidden="1" x14ac:dyDescent="0.35">
      <c r="A294" s="161" t="s">
        <v>930</v>
      </c>
      <c r="B294" s="161" t="s">
        <v>931</v>
      </c>
      <c r="C294" s="154">
        <f>IFERROR(VLOOKUP(A294,'งบทดลอง รพ.'!$A$2:$C$609,3,0),0)</f>
        <v>0</v>
      </c>
      <c r="D294" s="25"/>
      <c r="E294" s="99" t="s">
        <v>1373</v>
      </c>
      <c r="F294" s="99" t="s">
        <v>29</v>
      </c>
      <c r="G294" s="95" t="s">
        <v>1414</v>
      </c>
      <c r="H294" s="95"/>
    </row>
    <row r="295" spans="1:8" ht="23.25" hidden="1" x14ac:dyDescent="0.35">
      <c r="A295" s="161" t="s">
        <v>932</v>
      </c>
      <c r="B295" s="161" t="s">
        <v>933</v>
      </c>
      <c r="C295" s="154">
        <f>IFERROR(VLOOKUP(A295,'งบทดลอง รพ.'!$A$2:$C$609,3,0),0)</f>
        <v>0</v>
      </c>
      <c r="D295" s="25"/>
      <c r="E295" s="99" t="s">
        <v>1373</v>
      </c>
      <c r="F295" s="99" t="s">
        <v>29</v>
      </c>
      <c r="G295" s="95" t="s">
        <v>1414</v>
      </c>
      <c r="H295" s="95"/>
    </row>
    <row r="296" spans="1:8" ht="23.25" hidden="1" x14ac:dyDescent="0.35">
      <c r="A296" s="161" t="s">
        <v>300</v>
      </c>
      <c r="B296" s="161" t="s">
        <v>301</v>
      </c>
      <c r="C296" s="154">
        <f>IFERROR(VLOOKUP(A296,'งบทดลอง รพ.'!$A$2:$C$609,3,0),0)</f>
        <v>0</v>
      </c>
      <c r="D296" s="25"/>
      <c r="E296" s="99" t="s">
        <v>1367</v>
      </c>
      <c r="F296" s="99" t="s">
        <v>31</v>
      </c>
      <c r="G296" s="95" t="s">
        <v>1414</v>
      </c>
      <c r="H296" s="95"/>
    </row>
    <row r="297" spans="1:8" ht="23.25" hidden="1" x14ac:dyDescent="0.35">
      <c r="A297" s="158" t="s">
        <v>1138</v>
      </c>
      <c r="B297" s="158" t="s">
        <v>1139</v>
      </c>
      <c r="C297" s="154">
        <f>IFERROR(VLOOKUP(A297,'งบทดลอง รพ.'!$A$2:$C$609,3,0),0)</f>
        <v>0</v>
      </c>
      <c r="D297" s="25"/>
      <c r="E297" s="99" t="s">
        <v>1367</v>
      </c>
      <c r="F297" s="99" t="s">
        <v>31</v>
      </c>
      <c r="G297" s="95" t="s">
        <v>1412</v>
      </c>
      <c r="H297" s="95"/>
    </row>
    <row r="298" spans="1:8" ht="23.25" hidden="1" x14ac:dyDescent="0.35">
      <c r="A298" s="161" t="s">
        <v>302</v>
      </c>
      <c r="B298" s="161" t="s">
        <v>303</v>
      </c>
      <c r="C298" s="154">
        <f>IFERROR(VLOOKUP(A298,'งบทดลอง รพ.'!$A$2:$C$609,3,0),0)</f>
        <v>174925</v>
      </c>
      <c r="D298" s="25"/>
      <c r="E298" s="99" t="s">
        <v>1367</v>
      </c>
      <c r="F298" s="99" t="s">
        <v>31</v>
      </c>
      <c r="G298" s="95" t="s">
        <v>1414</v>
      </c>
      <c r="H298" s="95"/>
    </row>
    <row r="299" spans="1:8" ht="23.25" hidden="1" x14ac:dyDescent="0.35">
      <c r="A299" s="161" t="s">
        <v>934</v>
      </c>
      <c r="B299" s="161" t="s">
        <v>935</v>
      </c>
      <c r="C299" s="154">
        <f>IFERROR(VLOOKUP(A299,'งบทดลอง รพ.'!$A$2:$C$609,3,0),0)</f>
        <v>0</v>
      </c>
      <c r="D299" s="25"/>
      <c r="E299" s="99" t="s">
        <v>1367</v>
      </c>
      <c r="F299" s="99" t="s">
        <v>31</v>
      </c>
      <c r="G299" s="95" t="s">
        <v>1414</v>
      </c>
      <c r="H299" s="95"/>
    </row>
    <row r="300" spans="1:8" ht="23.25" hidden="1" x14ac:dyDescent="0.35">
      <c r="A300" s="161" t="s">
        <v>304</v>
      </c>
      <c r="B300" s="161" t="s">
        <v>305</v>
      </c>
      <c r="C300" s="154">
        <f>IFERROR(VLOOKUP(A300,'งบทดลอง รพ.'!$A$2:$C$609,3,0),0)</f>
        <v>0</v>
      </c>
      <c r="D300" s="25"/>
      <c r="E300" s="99" t="s">
        <v>1367</v>
      </c>
      <c r="F300" s="99" t="s">
        <v>31</v>
      </c>
      <c r="G300" s="95" t="s">
        <v>1414</v>
      </c>
      <c r="H300" s="95"/>
    </row>
    <row r="301" spans="1:8" ht="23.25" hidden="1" x14ac:dyDescent="0.35">
      <c r="A301" s="161" t="s">
        <v>306</v>
      </c>
      <c r="B301" s="161" t="s">
        <v>307</v>
      </c>
      <c r="C301" s="154">
        <f>IFERROR(VLOOKUP(A301,'งบทดลอง รพ.'!$A$2:$C$609,3,0),0)</f>
        <v>0</v>
      </c>
      <c r="D301" s="25"/>
      <c r="E301" s="99" t="s">
        <v>1367</v>
      </c>
      <c r="F301" s="99" t="s">
        <v>31</v>
      </c>
      <c r="G301" s="95" t="s">
        <v>1414</v>
      </c>
      <c r="H301" s="95"/>
    </row>
    <row r="302" spans="1:8" ht="23.25" hidden="1" x14ac:dyDescent="0.35">
      <c r="A302" s="161" t="s">
        <v>308</v>
      </c>
      <c r="B302" s="161" t="s">
        <v>1505</v>
      </c>
      <c r="C302" s="154">
        <f>IFERROR(VLOOKUP(A302,'งบทดลอง รพ.'!$A$2:$C$609,3,0),0)</f>
        <v>0</v>
      </c>
      <c r="D302" s="25"/>
      <c r="E302" s="99" t="s">
        <v>1367</v>
      </c>
      <c r="F302" s="99" t="s">
        <v>31</v>
      </c>
      <c r="G302" s="95" t="s">
        <v>1414</v>
      </c>
      <c r="H302" s="95"/>
    </row>
    <row r="303" spans="1:8" ht="23.25" hidden="1" x14ac:dyDescent="0.35">
      <c r="A303" s="158" t="s">
        <v>1140</v>
      </c>
      <c r="B303" s="158" t="s">
        <v>1141</v>
      </c>
      <c r="C303" s="154">
        <f>IFERROR(VLOOKUP(A303,'งบทดลอง รพ.'!$A$2:$C$609,3,0),0)</f>
        <v>0</v>
      </c>
      <c r="D303" s="25"/>
      <c r="E303" s="99" t="s">
        <v>1367</v>
      </c>
      <c r="F303" s="99" t="s">
        <v>31</v>
      </c>
      <c r="G303" s="95" t="s">
        <v>1412</v>
      </c>
      <c r="H303" s="95"/>
    </row>
    <row r="304" spans="1:8" ht="23.25" hidden="1" x14ac:dyDescent="0.35">
      <c r="A304" s="158" t="s">
        <v>1142</v>
      </c>
      <c r="B304" s="158" t="s">
        <v>1143</v>
      </c>
      <c r="C304" s="154">
        <f>IFERROR(VLOOKUP(A304,'งบทดลอง รพ.'!$A$2:$C$609,3,0),0)</f>
        <v>0</v>
      </c>
      <c r="D304" s="25"/>
      <c r="E304" s="99" t="s">
        <v>1367</v>
      </c>
      <c r="F304" s="99" t="s">
        <v>31</v>
      </c>
      <c r="G304" s="95" t="s">
        <v>1412</v>
      </c>
      <c r="H304" s="95"/>
    </row>
    <row r="305" spans="1:8" ht="23.25" hidden="1" x14ac:dyDescent="0.35">
      <c r="A305" s="158" t="s">
        <v>1144</v>
      </c>
      <c r="B305" s="158" t="s">
        <v>1145</v>
      </c>
      <c r="C305" s="154">
        <f>IFERROR(VLOOKUP(A305,'งบทดลอง รพ.'!$A$2:$C$609,3,0),0)</f>
        <v>0</v>
      </c>
      <c r="D305" s="25"/>
      <c r="E305" s="99" t="s">
        <v>1367</v>
      </c>
      <c r="F305" s="99" t="s">
        <v>31</v>
      </c>
      <c r="G305" s="95" t="s">
        <v>1412</v>
      </c>
      <c r="H305" s="95"/>
    </row>
    <row r="306" spans="1:8" ht="23.25" hidden="1" x14ac:dyDescent="0.35">
      <c r="A306" s="158" t="s">
        <v>1146</v>
      </c>
      <c r="B306" s="158" t="s">
        <v>1147</v>
      </c>
      <c r="C306" s="154">
        <f>IFERROR(VLOOKUP(A306,'งบทดลอง รพ.'!$A$2:$C$609,3,0),0)</f>
        <v>0</v>
      </c>
      <c r="D306" s="25"/>
      <c r="E306" s="99" t="s">
        <v>1367</v>
      </c>
      <c r="F306" s="99" t="s">
        <v>31</v>
      </c>
      <c r="G306" s="95" t="s">
        <v>1412</v>
      </c>
      <c r="H306" s="95"/>
    </row>
    <row r="307" spans="1:8" ht="23.25" hidden="1" x14ac:dyDescent="0.35">
      <c r="A307" s="158" t="s">
        <v>1148</v>
      </c>
      <c r="B307" s="158" t="s">
        <v>1149</v>
      </c>
      <c r="C307" s="154">
        <f>IFERROR(VLOOKUP(A307,'งบทดลอง รพ.'!$A$2:$C$609,3,0),0)</f>
        <v>0</v>
      </c>
      <c r="D307" s="25"/>
      <c r="E307" s="99" t="s">
        <v>1367</v>
      </c>
      <c r="F307" s="99" t="s">
        <v>31</v>
      </c>
      <c r="G307" s="95" t="s">
        <v>1412</v>
      </c>
      <c r="H307" s="95"/>
    </row>
    <row r="308" spans="1:8" ht="23.25" hidden="1" x14ac:dyDescent="0.35">
      <c r="A308" s="161" t="s">
        <v>309</v>
      </c>
      <c r="B308" s="161" t="s">
        <v>310</v>
      </c>
      <c r="C308" s="154">
        <f>IFERROR(VLOOKUP(A308,'งบทดลอง รพ.'!$A$2:$C$609,3,0),0)</f>
        <v>0</v>
      </c>
      <c r="D308" s="25"/>
      <c r="E308" s="99" t="s">
        <v>1367</v>
      </c>
      <c r="F308" s="99" t="s">
        <v>31</v>
      </c>
      <c r="G308" s="95" t="s">
        <v>1414</v>
      </c>
      <c r="H308" s="95"/>
    </row>
    <row r="309" spans="1:8" ht="23.25" hidden="1" x14ac:dyDescent="0.35">
      <c r="A309" s="158" t="s">
        <v>1150</v>
      </c>
      <c r="B309" s="158" t="s">
        <v>1151</v>
      </c>
      <c r="C309" s="154">
        <f>IFERROR(VLOOKUP(A309,'งบทดลอง รพ.'!$A$2:$C$609,3,0),0)</f>
        <v>0</v>
      </c>
      <c r="D309" s="25"/>
      <c r="E309" s="99" t="s">
        <v>1367</v>
      </c>
      <c r="F309" s="99" t="s">
        <v>31</v>
      </c>
      <c r="G309" s="95" t="s">
        <v>1412</v>
      </c>
      <c r="H309" s="95"/>
    </row>
    <row r="310" spans="1:8" ht="23.25" hidden="1" x14ac:dyDescent="0.35">
      <c r="A310" s="161" t="s">
        <v>311</v>
      </c>
      <c r="B310" s="161" t="s">
        <v>312</v>
      </c>
      <c r="C310" s="154">
        <f>IFERROR(VLOOKUP(A310,'งบทดลอง รพ.'!$A$2:$C$609,3,0),0)</f>
        <v>0</v>
      </c>
      <c r="D310" s="25"/>
      <c r="E310" s="99" t="s">
        <v>1367</v>
      </c>
      <c r="F310" s="99" t="s">
        <v>31</v>
      </c>
      <c r="G310" s="95" t="s">
        <v>1414</v>
      </c>
      <c r="H310" s="95"/>
    </row>
    <row r="311" spans="1:8" ht="23.25" hidden="1" x14ac:dyDescent="0.35">
      <c r="A311" s="161" t="s">
        <v>313</v>
      </c>
      <c r="B311" s="161" t="s">
        <v>314</v>
      </c>
      <c r="C311" s="154">
        <f>IFERROR(VLOOKUP(A311,'งบทดลอง รพ.'!$A$2:$C$609,3,0),0)</f>
        <v>0</v>
      </c>
      <c r="D311" s="25"/>
      <c r="E311" s="99" t="s">
        <v>1367</v>
      </c>
      <c r="F311" s="99" t="s">
        <v>31</v>
      </c>
      <c r="G311" s="95" t="s">
        <v>1414</v>
      </c>
      <c r="H311" s="95"/>
    </row>
    <row r="312" spans="1:8" ht="23.25" hidden="1" x14ac:dyDescent="0.35">
      <c r="A312" s="158" t="s">
        <v>1152</v>
      </c>
      <c r="B312" s="158" t="s">
        <v>1153</v>
      </c>
      <c r="C312" s="154">
        <f>IFERROR(VLOOKUP(A312,'งบทดลอง รพ.'!$A$2:$C$609,3,0),0)</f>
        <v>0</v>
      </c>
      <c r="D312" s="25"/>
      <c r="E312" s="99" t="s">
        <v>1367</v>
      </c>
      <c r="F312" s="99" t="s">
        <v>31</v>
      </c>
      <c r="G312" s="95" t="s">
        <v>1412</v>
      </c>
      <c r="H312" s="95"/>
    </row>
    <row r="313" spans="1:8" ht="23.25" hidden="1" x14ac:dyDescent="0.35">
      <c r="A313" s="161" t="s">
        <v>315</v>
      </c>
      <c r="B313" s="161" t="s">
        <v>301</v>
      </c>
      <c r="C313" s="154">
        <f>IFERROR(VLOOKUP(A313,'งบทดลอง รพ.'!$A$2:$C$609,3,0),0)</f>
        <v>25000</v>
      </c>
      <c r="D313" s="25"/>
      <c r="E313" s="99" t="s">
        <v>1367</v>
      </c>
      <c r="F313" s="99" t="s">
        <v>31</v>
      </c>
      <c r="G313" s="95" t="s">
        <v>1414</v>
      </c>
      <c r="H313" s="95"/>
    </row>
    <row r="314" spans="1:8" ht="23.25" hidden="1" x14ac:dyDescent="0.35">
      <c r="A314" s="158" t="s">
        <v>1154</v>
      </c>
      <c r="B314" s="158" t="s">
        <v>1139</v>
      </c>
      <c r="C314" s="154">
        <f>IFERROR(VLOOKUP(A314,'งบทดลอง รพ.'!$A$2:$C$609,3,0),0)</f>
        <v>0</v>
      </c>
      <c r="D314" s="25"/>
      <c r="E314" s="99" t="s">
        <v>1367</v>
      </c>
      <c r="F314" s="99" t="s">
        <v>31</v>
      </c>
      <c r="G314" s="95" t="s">
        <v>1412</v>
      </c>
      <c r="H314" s="95"/>
    </row>
    <row r="315" spans="1:8" ht="23.25" hidden="1" x14ac:dyDescent="0.35">
      <c r="A315" s="161" t="s">
        <v>316</v>
      </c>
      <c r="B315" s="161" t="s">
        <v>317</v>
      </c>
      <c r="C315" s="154">
        <f>IFERROR(VLOOKUP(A315,'งบทดลอง รพ.'!$A$2:$C$609,3,0),0)</f>
        <v>0</v>
      </c>
      <c r="D315" s="25"/>
      <c r="E315" s="99" t="s">
        <v>1367</v>
      </c>
      <c r="F315" s="99" t="s">
        <v>31</v>
      </c>
      <c r="G315" s="95" t="s">
        <v>1414</v>
      </c>
      <c r="H315" s="95"/>
    </row>
    <row r="316" spans="1:8" ht="23.25" hidden="1" x14ac:dyDescent="0.35">
      <c r="A316" s="161" t="s">
        <v>936</v>
      </c>
      <c r="B316" s="161" t="s">
        <v>937</v>
      </c>
      <c r="C316" s="154">
        <f>IFERROR(VLOOKUP(A316,'งบทดลอง รพ.'!$A$2:$C$609,3,0),0)</f>
        <v>0</v>
      </c>
      <c r="D316" s="25"/>
      <c r="E316" s="99" t="s">
        <v>1367</v>
      </c>
      <c r="F316" s="99" t="s">
        <v>31</v>
      </c>
      <c r="G316" s="95" t="s">
        <v>1414</v>
      </c>
      <c r="H316" s="95"/>
    </row>
    <row r="317" spans="1:8" ht="23.25" hidden="1" x14ac:dyDescent="0.35">
      <c r="A317" s="161" t="s">
        <v>318</v>
      </c>
      <c r="B317" s="161" t="s">
        <v>319</v>
      </c>
      <c r="C317" s="154">
        <f>IFERROR(VLOOKUP(A317,'งบทดลอง รพ.'!$A$2:$C$609,3,0),0)</f>
        <v>0</v>
      </c>
      <c r="D317" s="25"/>
      <c r="E317" s="99" t="s">
        <v>1367</v>
      </c>
      <c r="F317" s="99" t="s">
        <v>31</v>
      </c>
      <c r="G317" s="95" t="s">
        <v>1414</v>
      </c>
      <c r="H317" s="95"/>
    </row>
    <row r="318" spans="1:8" ht="23.25" hidden="1" x14ac:dyDescent="0.35">
      <c r="A318" s="161" t="s">
        <v>320</v>
      </c>
      <c r="B318" s="161" t="s">
        <v>321</v>
      </c>
      <c r="C318" s="154">
        <f>IFERROR(VLOOKUP(A318,'งบทดลอง รพ.'!$A$2:$C$609,3,0),0)</f>
        <v>0</v>
      </c>
      <c r="D318" s="25"/>
      <c r="E318" s="99" t="s">
        <v>1367</v>
      </c>
      <c r="F318" s="99" t="s">
        <v>31</v>
      </c>
      <c r="G318" s="95" t="s">
        <v>1414</v>
      </c>
      <c r="H318" s="95"/>
    </row>
    <row r="319" spans="1:8" ht="23.25" hidden="1" x14ac:dyDescent="0.35">
      <c r="A319" s="161" t="s">
        <v>322</v>
      </c>
      <c r="B319" s="161" t="s">
        <v>323</v>
      </c>
      <c r="C319" s="154">
        <f>IFERROR(VLOOKUP(A319,'งบทดลอง รพ.'!$A$2:$C$609,3,0),0)</f>
        <v>0</v>
      </c>
      <c r="D319" s="25"/>
      <c r="E319" s="99" t="s">
        <v>1367</v>
      </c>
      <c r="F319" s="99" t="s">
        <v>31</v>
      </c>
      <c r="G319" s="95" t="s">
        <v>1414</v>
      </c>
      <c r="H319" s="95"/>
    </row>
    <row r="320" spans="1:8" ht="23.25" hidden="1" x14ac:dyDescent="0.35">
      <c r="A320" s="161" t="s">
        <v>324</v>
      </c>
      <c r="B320" s="161" t="s">
        <v>325</v>
      </c>
      <c r="C320" s="154">
        <f>IFERROR(VLOOKUP(A320,'งบทดลอง รพ.'!$A$2:$C$609,3,0),0)</f>
        <v>43000</v>
      </c>
      <c r="D320" s="25"/>
      <c r="E320" s="99" t="s">
        <v>1367</v>
      </c>
      <c r="F320" s="99" t="s">
        <v>31</v>
      </c>
      <c r="G320" s="95" t="s">
        <v>1414</v>
      </c>
      <c r="H320" s="95"/>
    </row>
    <row r="321" spans="1:8" ht="23.25" hidden="1" x14ac:dyDescent="0.35">
      <c r="A321" s="158" t="s">
        <v>1155</v>
      </c>
      <c r="B321" s="158" t="s">
        <v>1156</v>
      </c>
      <c r="C321" s="154">
        <f>IFERROR(VLOOKUP(A321,'งบทดลอง รพ.'!$A$2:$C$609,3,0),0)</f>
        <v>0</v>
      </c>
      <c r="D321" s="25"/>
      <c r="E321" s="99" t="s">
        <v>1367</v>
      </c>
      <c r="F321" s="99" t="s">
        <v>31</v>
      </c>
      <c r="G321" s="95" t="s">
        <v>1412</v>
      </c>
      <c r="H321" s="95"/>
    </row>
    <row r="322" spans="1:8" ht="23.25" hidden="1" x14ac:dyDescent="0.35">
      <c r="A322" s="158" t="s">
        <v>1157</v>
      </c>
      <c r="B322" s="158" t="s">
        <v>1158</v>
      </c>
      <c r="C322" s="154">
        <f>IFERROR(VLOOKUP(A322,'งบทดลอง รพ.'!$A$2:$C$609,3,0),0)</f>
        <v>0</v>
      </c>
      <c r="D322" s="25"/>
      <c r="E322" s="99" t="s">
        <v>1367</v>
      </c>
      <c r="F322" s="99" t="s">
        <v>31</v>
      </c>
      <c r="G322" s="95" t="s">
        <v>1412</v>
      </c>
      <c r="H322" s="95"/>
    </row>
    <row r="323" spans="1:8" ht="23.25" hidden="1" x14ac:dyDescent="0.35">
      <c r="A323" s="161" t="s">
        <v>326</v>
      </c>
      <c r="B323" s="161" t="s">
        <v>327</v>
      </c>
      <c r="C323" s="154">
        <f>IFERROR(VLOOKUP(A323,'งบทดลอง รพ.'!$A$2:$C$609,3,0),0)</f>
        <v>0</v>
      </c>
      <c r="D323" s="25"/>
      <c r="E323" s="99" t="s">
        <v>1367</v>
      </c>
      <c r="F323" s="99" t="s">
        <v>31</v>
      </c>
      <c r="G323" s="95" t="s">
        <v>1414</v>
      </c>
      <c r="H323" s="95"/>
    </row>
    <row r="324" spans="1:8" ht="23.25" hidden="1" x14ac:dyDescent="0.35">
      <c r="A324" s="161" t="s">
        <v>328</v>
      </c>
      <c r="B324" s="161" t="s">
        <v>329</v>
      </c>
      <c r="C324" s="154">
        <f>IFERROR(VLOOKUP(A324,'งบทดลอง รพ.'!$A$2:$C$609,3,0),0)</f>
        <v>24208</v>
      </c>
      <c r="D324" s="25"/>
      <c r="E324" s="99" t="s">
        <v>1375</v>
      </c>
      <c r="F324" s="99" t="s">
        <v>33</v>
      </c>
      <c r="G324" s="95" t="s">
        <v>1414</v>
      </c>
      <c r="H324" s="95"/>
    </row>
    <row r="325" spans="1:8" ht="23.25" hidden="1" x14ac:dyDescent="0.35">
      <c r="A325" s="161" t="s">
        <v>330</v>
      </c>
      <c r="B325" s="161" t="s">
        <v>331</v>
      </c>
      <c r="C325" s="154">
        <f>IFERROR(VLOOKUP(A325,'งบทดลอง รพ.'!$A$2:$C$609,3,0),0)</f>
        <v>118908</v>
      </c>
      <c r="D325" s="25"/>
      <c r="E325" s="99" t="s">
        <v>1375</v>
      </c>
      <c r="F325" s="99" t="s">
        <v>33</v>
      </c>
      <c r="G325" s="95" t="s">
        <v>1414</v>
      </c>
      <c r="H325" s="95"/>
    </row>
    <row r="326" spans="1:8" ht="23.25" hidden="1" x14ac:dyDescent="0.35">
      <c r="A326" s="161" t="s">
        <v>332</v>
      </c>
      <c r="B326" s="161" t="s">
        <v>333</v>
      </c>
      <c r="C326" s="154">
        <f>IFERROR(VLOOKUP(A326,'งบทดลอง รพ.'!$A$2:$C$609,3,0),0)</f>
        <v>237774</v>
      </c>
      <c r="D326" s="25"/>
      <c r="E326" s="99" t="s">
        <v>1375</v>
      </c>
      <c r="F326" s="99" t="s">
        <v>33</v>
      </c>
      <c r="G326" s="95" t="s">
        <v>1414</v>
      </c>
      <c r="H326" s="95"/>
    </row>
    <row r="327" spans="1:8" ht="23.25" hidden="1" x14ac:dyDescent="0.35">
      <c r="A327" s="158" t="s">
        <v>1159</v>
      </c>
      <c r="B327" s="158" t="s">
        <v>1160</v>
      </c>
      <c r="C327" s="154">
        <f>IFERROR(VLOOKUP(A327,'งบทดลอง รพ.'!$A$2:$C$609,3,0),0)</f>
        <v>0</v>
      </c>
      <c r="D327" s="25"/>
      <c r="E327" s="99" t="s">
        <v>1375</v>
      </c>
      <c r="F327" s="99" t="s">
        <v>33</v>
      </c>
      <c r="G327" s="95" t="s">
        <v>1412</v>
      </c>
      <c r="H327" s="95"/>
    </row>
    <row r="328" spans="1:8" ht="23.25" hidden="1" x14ac:dyDescent="0.35">
      <c r="A328" s="158" t="s">
        <v>1161</v>
      </c>
      <c r="B328" s="158" t="s">
        <v>1162</v>
      </c>
      <c r="C328" s="154">
        <f>IFERROR(VLOOKUP(A328,'งบทดลอง รพ.'!$A$2:$C$609,3,0),0)</f>
        <v>0</v>
      </c>
      <c r="D328" s="25"/>
      <c r="E328" s="99" t="s">
        <v>1375</v>
      </c>
      <c r="F328" s="99" t="s">
        <v>33</v>
      </c>
      <c r="G328" s="95" t="s">
        <v>1412</v>
      </c>
      <c r="H328" s="95"/>
    </row>
    <row r="329" spans="1:8" ht="23.25" hidden="1" x14ac:dyDescent="0.35">
      <c r="A329" s="158" t="s">
        <v>1163</v>
      </c>
      <c r="B329" s="158" t="s">
        <v>1164</v>
      </c>
      <c r="C329" s="154">
        <f>IFERROR(VLOOKUP(A329,'งบทดลอง รพ.'!$A$2:$C$609,3,0),0)</f>
        <v>0</v>
      </c>
      <c r="D329" s="25"/>
      <c r="E329" s="99" t="s">
        <v>1375</v>
      </c>
      <c r="F329" s="99" t="s">
        <v>33</v>
      </c>
      <c r="G329" s="95" t="s">
        <v>1412</v>
      </c>
      <c r="H329" s="95"/>
    </row>
    <row r="330" spans="1:8" ht="23.25" hidden="1" x14ac:dyDescent="0.35">
      <c r="A330" s="161" t="s">
        <v>938</v>
      </c>
      <c r="B330" s="161" t="s">
        <v>399</v>
      </c>
      <c r="C330" s="154">
        <f>IFERROR(VLOOKUP(A330,'งบทดลอง รพ.'!$A$2:$C$609,3,0),0)</f>
        <v>278867.15999999997</v>
      </c>
      <c r="D330" s="25"/>
      <c r="E330" s="99" t="s">
        <v>1387</v>
      </c>
      <c r="F330" s="99" t="s">
        <v>37</v>
      </c>
      <c r="G330" s="95" t="s">
        <v>1414</v>
      </c>
      <c r="H330" s="95"/>
    </row>
    <row r="331" spans="1:8" ht="23.25" hidden="1" x14ac:dyDescent="0.35">
      <c r="A331" s="161" t="s">
        <v>939</v>
      </c>
      <c r="B331" s="161" t="s">
        <v>400</v>
      </c>
      <c r="C331" s="154">
        <f>IFERROR(VLOOKUP(A331,'งบทดลอง รพ.'!$A$2:$C$609,3,0),0)</f>
        <v>0</v>
      </c>
      <c r="D331" s="25"/>
      <c r="E331" s="99" t="s">
        <v>1387</v>
      </c>
      <c r="F331" s="99" t="s">
        <v>37</v>
      </c>
      <c r="G331" s="95" t="s">
        <v>1414</v>
      </c>
      <c r="H331" s="95"/>
    </row>
    <row r="332" spans="1:8" ht="23.25" hidden="1" x14ac:dyDescent="0.35">
      <c r="A332" s="161" t="s">
        <v>940</v>
      </c>
      <c r="B332" s="161" t="s">
        <v>401</v>
      </c>
      <c r="C332" s="154">
        <f>IFERROR(VLOOKUP(A332,'งบทดลอง รพ.'!$A$2:$C$609,3,0),0)</f>
        <v>51074.400000000001</v>
      </c>
      <c r="D332" s="25"/>
      <c r="E332" s="99" t="s">
        <v>1387</v>
      </c>
      <c r="F332" s="99" t="s">
        <v>37</v>
      </c>
      <c r="G332" s="95" t="s">
        <v>1414</v>
      </c>
      <c r="H332" s="95"/>
    </row>
    <row r="333" spans="1:8" ht="23.25" hidden="1" x14ac:dyDescent="0.35">
      <c r="A333" s="161" t="s">
        <v>941</v>
      </c>
      <c r="B333" s="161" t="s">
        <v>402</v>
      </c>
      <c r="C333" s="154">
        <f>IFERROR(VLOOKUP(A333,'งบทดลอง รพ.'!$A$2:$C$609,3,0),0)</f>
        <v>0</v>
      </c>
      <c r="D333" s="25"/>
      <c r="E333" s="99" t="s">
        <v>1387</v>
      </c>
      <c r="F333" s="99" t="s">
        <v>37</v>
      </c>
      <c r="G333" s="95" t="s">
        <v>1414</v>
      </c>
      <c r="H333" s="95"/>
    </row>
    <row r="334" spans="1:8" ht="23.25" hidden="1" x14ac:dyDescent="0.35">
      <c r="A334" s="161" t="s">
        <v>942</v>
      </c>
      <c r="B334" s="161" t="s">
        <v>403</v>
      </c>
      <c r="C334" s="154">
        <f>IFERROR(VLOOKUP(A334,'งบทดลอง รพ.'!$A$2:$C$609,3,0),0)</f>
        <v>280538.18</v>
      </c>
      <c r="D334" s="25"/>
      <c r="E334" s="99" t="s">
        <v>1387</v>
      </c>
      <c r="F334" s="99" t="s">
        <v>37</v>
      </c>
      <c r="G334" s="95" t="s">
        <v>1414</v>
      </c>
      <c r="H334" s="95"/>
    </row>
    <row r="335" spans="1:8" ht="23.25" hidden="1" x14ac:dyDescent="0.35">
      <c r="A335" s="161" t="s">
        <v>943</v>
      </c>
      <c r="B335" s="161" t="s">
        <v>404</v>
      </c>
      <c r="C335" s="154">
        <f>IFERROR(VLOOKUP(A335,'งบทดลอง รพ.'!$A$2:$C$609,3,0),0)</f>
        <v>481982.56</v>
      </c>
      <c r="D335" s="25"/>
      <c r="E335" s="99" t="s">
        <v>1387</v>
      </c>
      <c r="F335" s="99" t="s">
        <v>37</v>
      </c>
      <c r="G335" s="95" t="s">
        <v>1414</v>
      </c>
      <c r="H335" s="95"/>
    </row>
    <row r="336" spans="1:8" ht="23.25" hidden="1" x14ac:dyDescent="0.35">
      <c r="A336" s="161" t="s">
        <v>944</v>
      </c>
      <c r="B336" s="161" t="s">
        <v>409</v>
      </c>
      <c r="C336" s="154">
        <f>IFERROR(VLOOKUP(A336,'งบทดลอง รพ.'!$A$2:$C$609,3,0),0)</f>
        <v>0</v>
      </c>
      <c r="D336" s="25"/>
      <c r="E336" s="99" t="s">
        <v>1387</v>
      </c>
      <c r="F336" s="99" t="s">
        <v>37</v>
      </c>
      <c r="G336" s="95" t="s">
        <v>1414</v>
      </c>
      <c r="H336" s="95"/>
    </row>
    <row r="337" spans="1:8" ht="23.25" hidden="1" x14ac:dyDescent="0.35">
      <c r="A337" s="161" t="s">
        <v>945</v>
      </c>
      <c r="B337" s="161" t="s">
        <v>410</v>
      </c>
      <c r="C337" s="154">
        <f>IFERROR(VLOOKUP(A337,'งบทดลอง รพ.'!$A$2:$C$609,3,0),0)</f>
        <v>32109.57</v>
      </c>
      <c r="D337" s="25"/>
      <c r="E337" s="99" t="s">
        <v>1387</v>
      </c>
      <c r="F337" s="99" t="s">
        <v>37</v>
      </c>
      <c r="G337" s="95" t="s">
        <v>1414</v>
      </c>
      <c r="H337" s="95"/>
    </row>
    <row r="338" spans="1:8" ht="23.25" hidden="1" x14ac:dyDescent="0.35">
      <c r="A338" s="161" t="s">
        <v>946</v>
      </c>
      <c r="B338" s="161" t="s">
        <v>411</v>
      </c>
      <c r="C338" s="154">
        <f>IFERROR(VLOOKUP(A338,'งบทดลอง รพ.'!$A$2:$C$609,3,0),0)</f>
        <v>0</v>
      </c>
      <c r="D338" s="25"/>
      <c r="E338" s="99" t="s">
        <v>1387</v>
      </c>
      <c r="F338" s="99" t="s">
        <v>37</v>
      </c>
      <c r="G338" s="95" t="s">
        <v>1414</v>
      </c>
      <c r="H338" s="95"/>
    </row>
    <row r="339" spans="1:8" ht="23.25" hidden="1" x14ac:dyDescent="0.35">
      <c r="A339" s="161" t="s">
        <v>334</v>
      </c>
      <c r="B339" s="161" t="s">
        <v>335</v>
      </c>
      <c r="C339" s="154">
        <f>IFERROR(VLOOKUP(A339,'งบทดลอง รพ.'!$A$2:$C$609,3,0),0)</f>
        <v>0</v>
      </c>
      <c r="D339" s="25"/>
      <c r="E339" s="99" t="s">
        <v>1377</v>
      </c>
      <c r="F339" s="99" t="s">
        <v>33</v>
      </c>
      <c r="G339" s="95" t="s">
        <v>1414</v>
      </c>
      <c r="H339" s="95"/>
    </row>
    <row r="340" spans="1:8" ht="23.25" hidden="1" x14ac:dyDescent="0.35">
      <c r="A340" s="161" t="s">
        <v>336</v>
      </c>
      <c r="B340" s="161" t="s">
        <v>337</v>
      </c>
      <c r="C340" s="154">
        <f>IFERROR(VLOOKUP(A340,'งบทดลอง รพ.'!$A$2:$C$609,3,0),0)</f>
        <v>0</v>
      </c>
      <c r="D340" s="25"/>
      <c r="E340" s="99" t="s">
        <v>1377</v>
      </c>
      <c r="F340" s="99" t="s">
        <v>33</v>
      </c>
      <c r="G340" s="95" t="s">
        <v>1414</v>
      </c>
      <c r="H340" s="95"/>
    </row>
    <row r="341" spans="1:8" ht="23.25" hidden="1" x14ac:dyDescent="0.35">
      <c r="A341" s="161" t="s">
        <v>338</v>
      </c>
      <c r="B341" s="161" t="s">
        <v>339</v>
      </c>
      <c r="C341" s="154">
        <f>IFERROR(VLOOKUP(A341,'งบทดลอง รพ.'!$A$2:$C$609,3,0),0)</f>
        <v>87950</v>
      </c>
      <c r="D341" s="25"/>
      <c r="E341" s="99" t="s">
        <v>1377</v>
      </c>
      <c r="F341" s="99" t="s">
        <v>33</v>
      </c>
      <c r="G341" s="95" t="s">
        <v>1414</v>
      </c>
      <c r="H341" s="95"/>
    </row>
    <row r="342" spans="1:8" ht="23.25" hidden="1" x14ac:dyDescent="0.35">
      <c r="A342" s="161" t="s">
        <v>340</v>
      </c>
      <c r="B342" s="161" t="s">
        <v>341</v>
      </c>
      <c r="C342" s="154">
        <f>IFERROR(VLOOKUP(A342,'งบทดลอง รพ.'!$A$2:$C$609,3,0),0)</f>
        <v>0</v>
      </c>
      <c r="D342" s="25"/>
      <c r="E342" s="99" t="s">
        <v>1377</v>
      </c>
      <c r="F342" s="99" t="s">
        <v>33</v>
      </c>
      <c r="G342" s="95" t="s">
        <v>1414</v>
      </c>
      <c r="H342" s="95"/>
    </row>
    <row r="343" spans="1:8" ht="23.25" hidden="1" x14ac:dyDescent="0.35">
      <c r="A343" s="161" t="s">
        <v>342</v>
      </c>
      <c r="B343" s="161" t="s">
        <v>343</v>
      </c>
      <c r="C343" s="154">
        <f>IFERROR(VLOOKUP(A343,'งบทดลอง รพ.'!$A$2:$C$609,3,0),0)</f>
        <v>0</v>
      </c>
      <c r="D343" s="25"/>
      <c r="E343" s="99" t="s">
        <v>1377</v>
      </c>
      <c r="F343" s="99" t="s">
        <v>33</v>
      </c>
      <c r="G343" s="95" t="s">
        <v>1414</v>
      </c>
      <c r="H343" s="95"/>
    </row>
    <row r="344" spans="1:8" ht="23.25" hidden="1" x14ac:dyDescent="0.35">
      <c r="A344" s="161" t="s">
        <v>344</v>
      </c>
      <c r="B344" s="161" t="s">
        <v>345</v>
      </c>
      <c r="C344" s="154">
        <f>IFERROR(VLOOKUP(A344,'งบทดลอง รพ.'!$A$2:$C$609,3,0),0)</f>
        <v>9500</v>
      </c>
      <c r="D344" s="25"/>
      <c r="E344" s="99" t="s">
        <v>1377</v>
      </c>
      <c r="F344" s="99" t="s">
        <v>33</v>
      </c>
      <c r="G344" s="95" t="s">
        <v>1414</v>
      </c>
      <c r="H344" s="95"/>
    </row>
    <row r="345" spans="1:8" ht="23.25" hidden="1" x14ac:dyDescent="0.35">
      <c r="A345" s="161" t="s">
        <v>346</v>
      </c>
      <c r="B345" s="161" t="s">
        <v>347</v>
      </c>
      <c r="C345" s="154">
        <f>IFERROR(VLOOKUP(A345,'งบทดลอง รพ.'!$A$2:$C$609,3,0),0)</f>
        <v>0</v>
      </c>
      <c r="D345" s="25"/>
      <c r="E345" s="99" t="s">
        <v>1377</v>
      </c>
      <c r="F345" s="99" t="s">
        <v>33</v>
      </c>
      <c r="G345" s="95" t="s">
        <v>1414</v>
      </c>
      <c r="H345" s="95"/>
    </row>
    <row r="346" spans="1:8" ht="23.25" hidden="1" x14ac:dyDescent="0.35">
      <c r="A346" s="161" t="s">
        <v>348</v>
      </c>
      <c r="B346" s="161" t="s">
        <v>349</v>
      </c>
      <c r="C346" s="154">
        <f>IFERROR(VLOOKUP(A346,'งบทดลอง รพ.'!$A$2:$C$609,3,0),0)</f>
        <v>0</v>
      </c>
      <c r="D346" s="25"/>
      <c r="E346" s="99" t="s">
        <v>1377</v>
      </c>
      <c r="F346" s="99" t="s">
        <v>33</v>
      </c>
      <c r="G346" s="95" t="s">
        <v>1414</v>
      </c>
      <c r="H346" s="95"/>
    </row>
    <row r="347" spans="1:8" ht="23.25" hidden="1" x14ac:dyDescent="0.35">
      <c r="A347" s="161" t="s">
        <v>350</v>
      </c>
      <c r="B347" s="161" t="s">
        <v>351</v>
      </c>
      <c r="C347" s="154">
        <f>IFERROR(VLOOKUP(A347,'งบทดลอง รพ.'!$A$2:$C$609,3,0),0)</f>
        <v>0</v>
      </c>
      <c r="D347" s="25"/>
      <c r="E347" s="99" t="s">
        <v>1379</v>
      </c>
      <c r="F347" s="99" t="s">
        <v>33</v>
      </c>
      <c r="G347" s="95" t="s">
        <v>1414</v>
      </c>
      <c r="H347" s="95"/>
    </row>
    <row r="348" spans="1:8" ht="23.25" hidden="1" x14ac:dyDescent="0.35">
      <c r="A348" s="161" t="s">
        <v>352</v>
      </c>
      <c r="B348" s="161" t="s">
        <v>353</v>
      </c>
      <c r="C348" s="154">
        <f>IFERROR(VLOOKUP(A348,'งบทดลอง รพ.'!$A$2:$C$609,3,0),0)</f>
        <v>0</v>
      </c>
      <c r="D348" s="25"/>
      <c r="E348" s="99" t="s">
        <v>1379</v>
      </c>
      <c r="F348" s="99" t="s">
        <v>33</v>
      </c>
      <c r="G348" s="95" t="s">
        <v>1414</v>
      </c>
      <c r="H348" s="95"/>
    </row>
    <row r="349" spans="1:8" ht="23.25" hidden="1" x14ac:dyDescent="0.35">
      <c r="A349" s="161" t="s">
        <v>354</v>
      </c>
      <c r="B349" s="161" t="s">
        <v>1506</v>
      </c>
      <c r="C349" s="154">
        <f>IFERROR(VLOOKUP(A349,'งบทดลอง รพ.'!$A$2:$C$609,3,0),0)</f>
        <v>0</v>
      </c>
      <c r="D349" s="25"/>
      <c r="E349" s="99" t="s">
        <v>1379</v>
      </c>
      <c r="F349" s="99" t="s">
        <v>33</v>
      </c>
      <c r="G349" s="95" t="s">
        <v>1414</v>
      </c>
      <c r="H349" s="95"/>
    </row>
    <row r="350" spans="1:8" ht="23.25" hidden="1" x14ac:dyDescent="0.35">
      <c r="A350" s="161" t="s">
        <v>355</v>
      </c>
      <c r="B350" s="161" t="s">
        <v>356</v>
      </c>
      <c r="C350" s="154">
        <f>IFERROR(VLOOKUP(A350,'งบทดลอง รพ.'!$A$2:$C$609,3,0),0)</f>
        <v>0</v>
      </c>
      <c r="D350" s="25"/>
      <c r="E350" s="99" t="s">
        <v>1379</v>
      </c>
      <c r="F350" s="99" t="s">
        <v>33</v>
      </c>
      <c r="G350" s="95" t="s">
        <v>1414</v>
      </c>
      <c r="H350" s="95"/>
    </row>
    <row r="351" spans="1:8" ht="23.25" hidden="1" x14ac:dyDescent="0.35">
      <c r="A351" s="161" t="s">
        <v>357</v>
      </c>
      <c r="B351" s="161" t="s">
        <v>358</v>
      </c>
      <c r="C351" s="154">
        <f>IFERROR(VLOOKUP(A351,'งบทดลอง รพ.'!$A$2:$C$609,3,0),0)</f>
        <v>0</v>
      </c>
      <c r="D351" s="25"/>
      <c r="E351" s="99" t="s">
        <v>1379</v>
      </c>
      <c r="F351" s="99" t="s">
        <v>33</v>
      </c>
      <c r="G351" s="95" t="s">
        <v>1414</v>
      </c>
      <c r="H351" s="95"/>
    </row>
    <row r="352" spans="1:8" ht="23.25" hidden="1" x14ac:dyDescent="0.35">
      <c r="A352" s="161" t="s">
        <v>947</v>
      </c>
      <c r="B352" s="161" t="s">
        <v>948</v>
      </c>
      <c r="C352" s="154">
        <f>IFERROR(VLOOKUP(A352,'งบทดลอง รพ.'!$A$2:$C$609,3,0),0)</f>
        <v>13945</v>
      </c>
      <c r="D352" s="25"/>
      <c r="E352" s="99" t="s">
        <v>1387</v>
      </c>
      <c r="F352" s="99" t="s">
        <v>37</v>
      </c>
      <c r="G352" s="95" t="s">
        <v>1414</v>
      </c>
      <c r="H352" s="95"/>
    </row>
    <row r="353" spans="1:8" ht="23.25" hidden="1" x14ac:dyDescent="0.35">
      <c r="A353" s="161" t="s">
        <v>359</v>
      </c>
      <c r="B353" s="161" t="s">
        <v>360</v>
      </c>
      <c r="C353" s="154">
        <f>IFERROR(VLOOKUP(A353,'งบทดลอง รพ.'!$A$2:$C$609,3,0),0)</f>
        <v>0</v>
      </c>
      <c r="D353" s="25"/>
      <c r="E353" s="99" t="s">
        <v>1381</v>
      </c>
      <c r="F353" s="99" t="s">
        <v>33</v>
      </c>
      <c r="G353" s="95" t="s">
        <v>1414</v>
      </c>
      <c r="H353" s="95"/>
    </row>
    <row r="354" spans="1:8" ht="23.25" hidden="1" x14ac:dyDescent="0.35">
      <c r="A354" s="161" t="s">
        <v>361</v>
      </c>
      <c r="B354" s="161" t="s">
        <v>362</v>
      </c>
      <c r="C354" s="154">
        <f>IFERROR(VLOOKUP(A354,'งบทดลอง รพ.'!$A$2:$C$609,3,0),0)</f>
        <v>0</v>
      </c>
      <c r="D354" s="25"/>
      <c r="E354" s="99" t="s">
        <v>1381</v>
      </c>
      <c r="F354" s="99" t="s">
        <v>33</v>
      </c>
      <c r="G354" s="95" t="s">
        <v>1414</v>
      </c>
      <c r="H354" s="95"/>
    </row>
    <row r="355" spans="1:8" ht="23.25" hidden="1" x14ac:dyDescent="0.35">
      <c r="A355" s="161" t="s">
        <v>363</v>
      </c>
      <c r="B355" s="161" t="s">
        <v>364</v>
      </c>
      <c r="C355" s="154">
        <f>IFERROR(VLOOKUP(A355,'งบทดลอง รพ.'!$A$2:$C$609,3,0),0)</f>
        <v>0</v>
      </c>
      <c r="D355" s="25"/>
      <c r="E355" s="99" t="s">
        <v>1381</v>
      </c>
      <c r="F355" s="99" t="s">
        <v>33</v>
      </c>
      <c r="G355" s="95" t="s">
        <v>1414</v>
      </c>
      <c r="H355" s="95"/>
    </row>
    <row r="356" spans="1:8" ht="23.25" hidden="1" x14ac:dyDescent="0.35">
      <c r="A356" s="161" t="s">
        <v>365</v>
      </c>
      <c r="B356" s="161" t="s">
        <v>366</v>
      </c>
      <c r="C356" s="154">
        <f>IFERROR(VLOOKUP(A356,'งบทดลอง รพ.'!$A$2:$C$609,3,0),0)</f>
        <v>0</v>
      </c>
      <c r="D356" s="25"/>
      <c r="E356" s="99" t="s">
        <v>1381</v>
      </c>
      <c r="F356" s="99" t="s">
        <v>33</v>
      </c>
      <c r="G356" s="95" t="s">
        <v>1414</v>
      </c>
      <c r="H356" s="95"/>
    </row>
    <row r="357" spans="1:8" ht="23.25" hidden="1" x14ac:dyDescent="0.35">
      <c r="A357" s="161" t="s">
        <v>367</v>
      </c>
      <c r="B357" s="161" t="s">
        <v>368</v>
      </c>
      <c r="C357" s="154">
        <f>IFERROR(VLOOKUP(A357,'งบทดลอง รพ.'!$A$2:$C$609,3,0),0)</f>
        <v>0</v>
      </c>
      <c r="D357" s="25"/>
      <c r="E357" s="99" t="s">
        <v>1381</v>
      </c>
      <c r="F357" s="99" t="s">
        <v>33</v>
      </c>
      <c r="G357" s="95" t="s">
        <v>1414</v>
      </c>
      <c r="H357" s="95"/>
    </row>
    <row r="358" spans="1:8" ht="23.25" hidden="1" x14ac:dyDescent="0.35">
      <c r="A358" s="161" t="s">
        <v>369</v>
      </c>
      <c r="B358" s="161" t="s">
        <v>370</v>
      </c>
      <c r="C358" s="154">
        <f>IFERROR(VLOOKUP(A358,'งบทดลอง รพ.'!$A$2:$C$609,3,0),0)</f>
        <v>60394.2</v>
      </c>
      <c r="D358" s="25"/>
      <c r="E358" s="99" t="s">
        <v>1381</v>
      </c>
      <c r="F358" s="99" t="s">
        <v>33</v>
      </c>
      <c r="G358" s="95" t="s">
        <v>1414</v>
      </c>
      <c r="H358" s="95"/>
    </row>
    <row r="359" spans="1:8" ht="23.25" hidden="1" x14ac:dyDescent="0.35">
      <c r="A359" s="161" t="s">
        <v>371</v>
      </c>
      <c r="B359" s="161" t="s">
        <v>1507</v>
      </c>
      <c r="C359" s="154">
        <f>IFERROR(VLOOKUP(A359,'งบทดลอง รพ.'!$A$2:$C$609,3,0),0)</f>
        <v>0</v>
      </c>
      <c r="D359" s="25"/>
      <c r="E359" s="99" t="s">
        <v>1383</v>
      </c>
      <c r="F359" s="99" t="s">
        <v>33</v>
      </c>
      <c r="G359" s="95" t="s">
        <v>1414</v>
      </c>
      <c r="H359" s="95"/>
    </row>
    <row r="360" spans="1:8" ht="23.25" hidden="1" x14ac:dyDescent="0.35">
      <c r="A360" s="161" t="s">
        <v>373</v>
      </c>
      <c r="B360" s="161" t="s">
        <v>1508</v>
      </c>
      <c r="C360" s="154">
        <f>IFERROR(VLOOKUP(A360,'งบทดลอง รพ.'!$A$2:$C$609,3,0),0)</f>
        <v>276058.08</v>
      </c>
      <c r="D360" s="25"/>
      <c r="E360" s="99" t="s">
        <v>1381</v>
      </c>
      <c r="F360" s="99" t="s">
        <v>33</v>
      </c>
      <c r="G360" s="95" t="s">
        <v>1414</v>
      </c>
      <c r="H360" s="95"/>
    </row>
    <row r="361" spans="1:8" ht="23.25" hidden="1" x14ac:dyDescent="0.35">
      <c r="A361" s="161" t="s">
        <v>374</v>
      </c>
      <c r="B361" s="161" t="s">
        <v>375</v>
      </c>
      <c r="C361" s="154">
        <f>IFERROR(VLOOKUP(A361,'งบทดลอง รพ.'!$A$2:$C$609,3,0),0)</f>
        <v>442822.32</v>
      </c>
      <c r="D361" s="25"/>
      <c r="E361" s="99" t="s">
        <v>1383</v>
      </c>
      <c r="F361" s="99" t="s">
        <v>33</v>
      </c>
      <c r="G361" s="95" t="s">
        <v>1414</v>
      </c>
      <c r="H361" s="95"/>
    </row>
    <row r="362" spans="1:8" ht="23.25" hidden="1" x14ac:dyDescent="0.35">
      <c r="A362" s="161" t="s">
        <v>376</v>
      </c>
      <c r="B362" s="161" t="s">
        <v>377</v>
      </c>
      <c r="C362" s="154">
        <f>IFERROR(VLOOKUP(A362,'งบทดลอง รพ.'!$A$2:$C$609,3,0),0)</f>
        <v>103900</v>
      </c>
      <c r="D362" s="25"/>
      <c r="E362" s="99" t="s">
        <v>1383</v>
      </c>
      <c r="F362" s="99" t="s">
        <v>33</v>
      </c>
      <c r="G362" s="95" t="s">
        <v>1414</v>
      </c>
      <c r="H362" s="95"/>
    </row>
    <row r="363" spans="1:8" ht="23.25" hidden="1" x14ac:dyDescent="0.35">
      <c r="A363" s="161" t="s">
        <v>378</v>
      </c>
      <c r="B363" s="161" t="s">
        <v>379</v>
      </c>
      <c r="C363" s="154">
        <f>IFERROR(VLOOKUP(A363,'งบทดลอง รพ.'!$A$2:$C$609,3,0),0)</f>
        <v>0</v>
      </c>
      <c r="D363" s="25"/>
      <c r="E363" s="99" t="s">
        <v>1375</v>
      </c>
      <c r="F363" s="99" t="s">
        <v>33</v>
      </c>
      <c r="G363" s="95" t="s">
        <v>1414</v>
      </c>
      <c r="H363" s="95"/>
    </row>
    <row r="364" spans="1:8" ht="23.25" hidden="1" x14ac:dyDescent="0.35">
      <c r="A364" s="161" t="s">
        <v>380</v>
      </c>
      <c r="B364" s="161" t="s">
        <v>381</v>
      </c>
      <c r="C364" s="154">
        <f>IFERROR(VLOOKUP(A364,'งบทดลอง รพ.'!$A$2:$C$609,3,0),0)</f>
        <v>0</v>
      </c>
      <c r="D364" s="25"/>
      <c r="E364" s="99" t="s">
        <v>1375</v>
      </c>
      <c r="F364" s="99" t="s">
        <v>33</v>
      </c>
      <c r="G364" s="95" t="s">
        <v>1414</v>
      </c>
      <c r="H364" s="95"/>
    </row>
    <row r="365" spans="1:8" ht="23.25" hidden="1" x14ac:dyDescent="0.35">
      <c r="A365" s="161" t="s">
        <v>390</v>
      </c>
      <c r="B365" s="161" t="s">
        <v>391</v>
      </c>
      <c r="C365" s="154">
        <f>IFERROR(VLOOKUP(A365,'งบทดลอง รพ.'!$A$2:$C$609,3,0),0)</f>
        <v>716605.08</v>
      </c>
      <c r="D365" s="25"/>
      <c r="E365" s="99" t="s">
        <v>1385</v>
      </c>
      <c r="F365" s="99" t="s">
        <v>35</v>
      </c>
      <c r="G365" s="95" t="s">
        <v>1414</v>
      </c>
      <c r="H365" s="95"/>
    </row>
    <row r="366" spans="1:8" ht="23.25" hidden="1" x14ac:dyDescent="0.35">
      <c r="A366" s="161" t="s">
        <v>392</v>
      </c>
      <c r="B366" s="161" t="s">
        <v>1509</v>
      </c>
      <c r="C366" s="154">
        <f>IFERROR(VLOOKUP(A366,'งบทดลอง รพ.'!$A$2:$C$609,3,0),0)</f>
        <v>0</v>
      </c>
      <c r="D366" s="25"/>
      <c r="E366" s="99" t="s">
        <v>1385</v>
      </c>
      <c r="F366" s="99" t="s">
        <v>35</v>
      </c>
      <c r="G366" s="95" t="s">
        <v>1414</v>
      </c>
      <c r="H366" s="95"/>
    </row>
    <row r="367" spans="1:8" ht="23.25" hidden="1" x14ac:dyDescent="0.35">
      <c r="A367" s="161" t="s">
        <v>393</v>
      </c>
      <c r="B367" s="161" t="s">
        <v>394</v>
      </c>
      <c r="C367" s="154">
        <f>IFERROR(VLOOKUP(A367,'งบทดลอง รพ.'!$A$2:$C$609,3,0),0)</f>
        <v>1284</v>
      </c>
      <c r="D367" s="25"/>
      <c r="E367" s="99" t="s">
        <v>1385</v>
      </c>
      <c r="F367" s="99" t="s">
        <v>35</v>
      </c>
      <c r="G367" s="95" t="s">
        <v>1414</v>
      </c>
      <c r="H367" s="95"/>
    </row>
    <row r="368" spans="1:8" ht="23.25" hidden="1" x14ac:dyDescent="0.35">
      <c r="A368" s="161" t="s">
        <v>395</v>
      </c>
      <c r="B368" s="161" t="s">
        <v>396</v>
      </c>
      <c r="C368" s="154">
        <f>IFERROR(VLOOKUP(A368,'งบทดลอง รพ.'!$A$2:$C$609,3,0),0)</f>
        <v>10590.92</v>
      </c>
      <c r="D368" s="25"/>
      <c r="E368" s="99" t="s">
        <v>1385</v>
      </c>
      <c r="F368" s="99" t="s">
        <v>35</v>
      </c>
      <c r="G368" s="95" t="s">
        <v>1414</v>
      </c>
      <c r="H368" s="95"/>
    </row>
    <row r="369" spans="1:8" ht="23.25" hidden="1" x14ac:dyDescent="0.35">
      <c r="A369" s="161" t="s">
        <v>397</v>
      </c>
      <c r="B369" s="161" t="s">
        <v>398</v>
      </c>
      <c r="C369" s="154">
        <f>IFERROR(VLOOKUP(A369,'งบทดลอง รพ.'!$A$2:$C$609,3,0),0)</f>
        <v>0</v>
      </c>
      <c r="D369" s="25"/>
      <c r="E369" s="99" t="s">
        <v>1385</v>
      </c>
      <c r="F369" s="99" t="s">
        <v>35</v>
      </c>
      <c r="G369" s="95" t="s">
        <v>1414</v>
      </c>
      <c r="H369" s="95"/>
    </row>
    <row r="370" spans="1:8" ht="23.25" hidden="1" x14ac:dyDescent="0.35">
      <c r="A370" s="161" t="s">
        <v>382</v>
      </c>
      <c r="B370" s="161" t="s">
        <v>383</v>
      </c>
      <c r="C370" s="154">
        <f>IFERROR(VLOOKUP(A370,'งบทดลอง รพ.'!$A$2:$C$609,3,0),0)</f>
        <v>0</v>
      </c>
      <c r="D370" s="25"/>
      <c r="E370" s="99" t="s">
        <v>1375</v>
      </c>
      <c r="F370" s="99" t="s">
        <v>33</v>
      </c>
      <c r="G370" s="95" t="s">
        <v>1414</v>
      </c>
      <c r="H370" s="95"/>
    </row>
    <row r="371" spans="1:8" ht="23.25" hidden="1" x14ac:dyDescent="0.35">
      <c r="A371" s="161" t="s">
        <v>384</v>
      </c>
      <c r="B371" s="161" t="s">
        <v>385</v>
      </c>
      <c r="C371" s="154">
        <f>IFERROR(VLOOKUP(A371,'งบทดลอง รพ.'!$A$2:$C$609,3,0),0)</f>
        <v>31214.02</v>
      </c>
      <c r="D371" s="25"/>
      <c r="E371" s="99" t="s">
        <v>1375</v>
      </c>
      <c r="F371" s="99" t="s">
        <v>33</v>
      </c>
      <c r="G371" s="95" t="s">
        <v>1414</v>
      </c>
      <c r="H371" s="95"/>
    </row>
    <row r="372" spans="1:8" ht="23.25" hidden="1" x14ac:dyDescent="0.35">
      <c r="A372" s="161" t="s">
        <v>220</v>
      </c>
      <c r="B372" s="161" t="s">
        <v>221</v>
      </c>
      <c r="C372" s="154">
        <f>IFERROR(VLOOKUP(A372,'งบทดลอง รพ.'!$A$2:$C$609,3,0),0)</f>
        <v>3869684.9</v>
      </c>
      <c r="D372" s="25"/>
      <c r="E372" s="99" t="s">
        <v>1347</v>
      </c>
      <c r="F372" s="99" t="s">
        <v>19</v>
      </c>
      <c r="G372" s="95" t="s">
        <v>1414</v>
      </c>
      <c r="H372" s="95"/>
    </row>
    <row r="373" spans="1:8" ht="23.25" hidden="1" x14ac:dyDescent="0.35">
      <c r="A373" s="161" t="s">
        <v>222</v>
      </c>
      <c r="B373" s="161" t="s">
        <v>1510</v>
      </c>
      <c r="C373" s="154">
        <f>IFERROR(VLOOKUP(A373,'งบทดลอง รพ.'!$A$2:$C$609,3,0),0)</f>
        <v>369428.41000000003</v>
      </c>
      <c r="D373" s="25"/>
      <c r="E373" s="99" t="s">
        <v>1349</v>
      </c>
      <c r="F373" s="99" t="s">
        <v>21</v>
      </c>
      <c r="G373" s="95" t="s">
        <v>1414</v>
      </c>
      <c r="H373" s="95"/>
    </row>
    <row r="374" spans="1:8" ht="23.25" hidden="1" x14ac:dyDescent="0.35">
      <c r="A374" s="161" t="s">
        <v>224</v>
      </c>
      <c r="B374" s="161" t="s">
        <v>1511</v>
      </c>
      <c r="C374" s="154">
        <f>IFERROR(VLOOKUP(A374,'งบทดลอง รพ.'!$A$2:$C$609,3,0),0)</f>
        <v>637005</v>
      </c>
      <c r="D374" s="25"/>
      <c r="E374" s="99" t="s">
        <v>1351</v>
      </c>
      <c r="F374" s="99" t="s">
        <v>21</v>
      </c>
      <c r="G374" s="95" t="s">
        <v>1414</v>
      </c>
      <c r="H374" s="95"/>
    </row>
    <row r="375" spans="1:8" ht="23.25" hidden="1" x14ac:dyDescent="0.35">
      <c r="A375" s="161" t="s">
        <v>227</v>
      </c>
      <c r="B375" s="161" t="s">
        <v>228</v>
      </c>
      <c r="C375" s="154">
        <f>IFERROR(VLOOKUP(A375,'งบทดลอง รพ.'!$A$2:$C$609,3,0),0)</f>
        <v>2712607.6999999997</v>
      </c>
      <c r="D375" s="25"/>
      <c r="E375" s="99" t="s">
        <v>1355</v>
      </c>
      <c r="F375" s="99" t="s">
        <v>23</v>
      </c>
      <c r="G375" s="95" t="s">
        <v>1414</v>
      </c>
      <c r="H375" s="95"/>
    </row>
    <row r="376" spans="1:8" ht="23.25" hidden="1" x14ac:dyDescent="0.35">
      <c r="A376" s="158" t="s">
        <v>1165</v>
      </c>
      <c r="B376" s="158" t="s">
        <v>399</v>
      </c>
      <c r="C376" s="154">
        <f>IFERROR(VLOOKUP(A376,'งบทดลอง รพ.'!$A$2:$C$609,3,0),0)</f>
        <v>0</v>
      </c>
      <c r="D376" s="25"/>
      <c r="E376" s="99" t="s">
        <v>1387</v>
      </c>
      <c r="F376" s="99" t="s">
        <v>37</v>
      </c>
      <c r="G376" s="95" t="s">
        <v>1412</v>
      </c>
      <c r="H376" s="95"/>
    </row>
    <row r="377" spans="1:8" ht="23.25" hidden="1" x14ac:dyDescent="0.35">
      <c r="A377" s="158" t="s">
        <v>1166</v>
      </c>
      <c r="B377" s="158" t="s">
        <v>400</v>
      </c>
      <c r="C377" s="154">
        <f>IFERROR(VLOOKUP(A377,'งบทดลอง รพ.'!$A$2:$C$609,3,0),0)</f>
        <v>0</v>
      </c>
      <c r="D377" s="25"/>
      <c r="E377" s="99" t="s">
        <v>1387</v>
      </c>
      <c r="F377" s="99" t="s">
        <v>37</v>
      </c>
      <c r="G377" s="95" t="s">
        <v>1412</v>
      </c>
      <c r="H377" s="95"/>
    </row>
    <row r="378" spans="1:8" ht="23.25" hidden="1" x14ac:dyDescent="0.35">
      <c r="A378" s="158" t="s">
        <v>1167</v>
      </c>
      <c r="B378" s="158" t="s">
        <v>1168</v>
      </c>
      <c r="C378" s="154">
        <f>IFERROR(VLOOKUP(A378,'งบทดลอง รพ.'!$A$2:$C$609,3,0),0)</f>
        <v>0</v>
      </c>
      <c r="D378" s="25"/>
      <c r="E378" s="99" t="s">
        <v>1387</v>
      </c>
      <c r="F378" s="99" t="s">
        <v>37</v>
      </c>
      <c r="G378" s="95" t="s">
        <v>1412</v>
      </c>
      <c r="H378" s="95"/>
    </row>
    <row r="379" spans="1:8" ht="23.25" hidden="1" x14ac:dyDescent="0.35">
      <c r="A379" s="158" t="s">
        <v>1169</v>
      </c>
      <c r="B379" s="158" t="s">
        <v>401</v>
      </c>
      <c r="C379" s="154">
        <f>IFERROR(VLOOKUP(A379,'งบทดลอง รพ.'!$A$2:$C$609,3,0),0)</f>
        <v>0</v>
      </c>
      <c r="D379" s="25"/>
      <c r="E379" s="99" t="s">
        <v>1387</v>
      </c>
      <c r="F379" s="99" t="s">
        <v>37</v>
      </c>
      <c r="G379" s="95" t="s">
        <v>1412</v>
      </c>
      <c r="H379" s="95"/>
    </row>
    <row r="380" spans="1:8" ht="23.25" hidden="1" x14ac:dyDescent="0.35">
      <c r="A380" s="158" t="s">
        <v>1170</v>
      </c>
      <c r="B380" s="158" t="s">
        <v>402</v>
      </c>
      <c r="C380" s="154">
        <f>IFERROR(VLOOKUP(A380,'งบทดลอง รพ.'!$A$2:$C$609,3,0),0)</f>
        <v>0</v>
      </c>
      <c r="D380" s="25"/>
      <c r="E380" s="99" t="s">
        <v>1387</v>
      </c>
      <c r="F380" s="99" t="s">
        <v>37</v>
      </c>
      <c r="G380" s="95" t="s">
        <v>1412</v>
      </c>
      <c r="H380" s="95"/>
    </row>
    <row r="381" spans="1:8" ht="23.25" hidden="1" x14ac:dyDescent="0.35">
      <c r="A381" s="158" t="s">
        <v>1171</v>
      </c>
      <c r="B381" s="158" t="s">
        <v>1512</v>
      </c>
      <c r="C381" s="154">
        <f>IFERROR(VLOOKUP(A381,'งบทดลอง รพ.'!$A$2:$C$609,3,0),0)</f>
        <v>0</v>
      </c>
      <c r="D381" s="25"/>
      <c r="E381" s="99" t="s">
        <v>1387</v>
      </c>
      <c r="F381" s="99" t="s">
        <v>37</v>
      </c>
      <c r="G381" s="95" t="s">
        <v>1412</v>
      </c>
      <c r="H381" s="95"/>
    </row>
    <row r="382" spans="1:8" ht="23.25" hidden="1" x14ac:dyDescent="0.35">
      <c r="A382" s="158" t="s">
        <v>1172</v>
      </c>
      <c r="B382" s="158" t="s">
        <v>404</v>
      </c>
      <c r="C382" s="154">
        <f>IFERROR(VLOOKUP(A382,'งบทดลอง รพ.'!$A$2:$C$609,3,0),0)</f>
        <v>0</v>
      </c>
      <c r="D382" s="25"/>
      <c r="E382" s="99" t="s">
        <v>1387</v>
      </c>
      <c r="F382" s="99" t="s">
        <v>37</v>
      </c>
      <c r="G382" s="95" t="s">
        <v>1412</v>
      </c>
      <c r="H382" s="95"/>
    </row>
    <row r="383" spans="1:8" ht="23.25" hidden="1" x14ac:dyDescent="0.35">
      <c r="A383" s="161" t="s">
        <v>405</v>
      </c>
      <c r="B383" s="161" t="s">
        <v>406</v>
      </c>
      <c r="C383" s="154">
        <f>IFERROR(VLOOKUP(A383,'งบทดลอง รพ.'!$A$2:$C$609,3,0),0)</f>
        <v>0</v>
      </c>
      <c r="D383" s="25"/>
      <c r="E383" s="99" t="s">
        <v>1387</v>
      </c>
      <c r="F383" s="99" t="s">
        <v>37</v>
      </c>
      <c r="G383" s="95" t="s">
        <v>1414</v>
      </c>
      <c r="H383" s="95"/>
    </row>
    <row r="384" spans="1:8" ht="23.25" hidden="1" x14ac:dyDescent="0.35">
      <c r="A384" s="161" t="s">
        <v>407</v>
      </c>
      <c r="B384" s="161" t="s">
        <v>408</v>
      </c>
      <c r="C384" s="154">
        <f>IFERROR(VLOOKUP(A384,'งบทดลอง รพ.'!$A$2:$C$609,3,0),0)</f>
        <v>67775</v>
      </c>
      <c r="D384" s="25"/>
      <c r="E384" s="99" t="s">
        <v>1387</v>
      </c>
      <c r="F384" s="99" t="s">
        <v>37</v>
      </c>
      <c r="G384" s="95" t="s">
        <v>1414</v>
      </c>
      <c r="H384" s="95"/>
    </row>
    <row r="385" spans="1:8" ht="23.25" hidden="1" x14ac:dyDescent="0.35">
      <c r="A385" s="158" t="s">
        <v>1173</v>
      </c>
      <c r="B385" s="158" t="s">
        <v>409</v>
      </c>
      <c r="C385" s="154">
        <f>IFERROR(VLOOKUP(A385,'งบทดลอง รพ.'!$A$2:$C$609,3,0),0)</f>
        <v>0</v>
      </c>
      <c r="D385" s="25"/>
      <c r="E385" s="99" t="s">
        <v>1387</v>
      </c>
      <c r="F385" s="99" t="s">
        <v>37</v>
      </c>
      <c r="G385" s="95" t="s">
        <v>1412</v>
      </c>
      <c r="H385" s="95"/>
    </row>
    <row r="386" spans="1:8" ht="23.25" hidden="1" x14ac:dyDescent="0.35">
      <c r="A386" s="158" t="s">
        <v>1174</v>
      </c>
      <c r="B386" s="158" t="s">
        <v>410</v>
      </c>
      <c r="C386" s="154">
        <f>IFERROR(VLOOKUP(A386,'งบทดลอง รพ.'!$A$2:$C$609,3,0),0)</f>
        <v>0</v>
      </c>
      <c r="D386" s="25"/>
      <c r="E386" s="99" t="s">
        <v>1387</v>
      </c>
      <c r="F386" s="99" t="s">
        <v>37</v>
      </c>
      <c r="G386" s="95" t="s">
        <v>1412</v>
      </c>
      <c r="H386" s="95"/>
    </row>
    <row r="387" spans="1:8" ht="23.25" hidden="1" x14ac:dyDescent="0.35">
      <c r="A387" s="158" t="s">
        <v>1175</v>
      </c>
      <c r="B387" s="158" t="s">
        <v>411</v>
      </c>
      <c r="C387" s="154">
        <f>IFERROR(VLOOKUP(A387,'งบทดลอง รพ.'!$A$2:$C$609,3,0),0)</f>
        <v>0</v>
      </c>
      <c r="D387" s="25"/>
      <c r="E387" s="99" t="s">
        <v>1387</v>
      </c>
      <c r="F387" s="99" t="s">
        <v>37</v>
      </c>
      <c r="G387" s="95" t="s">
        <v>1412</v>
      </c>
      <c r="H387" s="95"/>
    </row>
    <row r="388" spans="1:8" ht="23.25" hidden="1" x14ac:dyDescent="0.35">
      <c r="A388" s="162" t="s">
        <v>225</v>
      </c>
      <c r="B388" s="162" t="s">
        <v>226</v>
      </c>
      <c r="C388" s="154">
        <f>IFERROR(VLOOKUP(A388,'งบทดลอง รพ.'!$A$2:$C$609,3,0),0)</f>
        <v>154243.07</v>
      </c>
      <c r="D388" s="25"/>
      <c r="E388" s="99" t="s">
        <v>1353</v>
      </c>
      <c r="F388" s="99" t="s">
        <v>732</v>
      </c>
      <c r="G388" s="95" t="s">
        <v>1414</v>
      </c>
      <c r="H388" s="95"/>
    </row>
    <row r="389" spans="1:8" ht="23.25" hidden="1" x14ac:dyDescent="0.35">
      <c r="A389" s="161" t="s">
        <v>949</v>
      </c>
      <c r="B389" s="161" t="s">
        <v>950</v>
      </c>
      <c r="C389" s="154">
        <f>IFERROR(VLOOKUP(A389,'งบทดลอง รพ.'!$A$2:$C$609,3,0),0)</f>
        <v>0</v>
      </c>
      <c r="D389" s="25"/>
      <c r="E389" s="99" t="s">
        <v>1349</v>
      </c>
      <c r="F389" s="99" t="s">
        <v>21</v>
      </c>
      <c r="G389" s="95" t="s">
        <v>1414</v>
      </c>
      <c r="H389" s="95"/>
    </row>
    <row r="390" spans="1:8" ht="23.25" hidden="1" x14ac:dyDescent="0.35">
      <c r="A390" s="161" t="s">
        <v>412</v>
      </c>
      <c r="B390" s="161" t="s">
        <v>1513</v>
      </c>
      <c r="C390" s="154">
        <f>IFERROR(VLOOKUP(A390,'งบทดลอง รพ.'!$A$2:$C$609,3,0),0)</f>
        <v>507610</v>
      </c>
      <c r="D390" s="25"/>
      <c r="E390" s="99" t="s">
        <v>1387</v>
      </c>
      <c r="F390" s="99" t="s">
        <v>37</v>
      </c>
      <c r="G390" s="95" t="s">
        <v>1414</v>
      </c>
      <c r="H390" s="95"/>
    </row>
    <row r="391" spans="1:8" ht="23.25" hidden="1" x14ac:dyDescent="0.35">
      <c r="A391" s="161" t="s">
        <v>386</v>
      </c>
      <c r="B391" s="161" t="s">
        <v>387</v>
      </c>
      <c r="C391" s="154">
        <f>IFERROR(VLOOKUP(A391,'งบทดลอง รพ.'!$A$2:$C$609,3,0),0)</f>
        <v>0</v>
      </c>
      <c r="D391" s="25"/>
      <c r="E391" s="99" t="s">
        <v>1375</v>
      </c>
      <c r="F391" s="99" t="s">
        <v>33</v>
      </c>
      <c r="G391" s="95" t="s">
        <v>1414</v>
      </c>
      <c r="H391" s="95"/>
    </row>
    <row r="392" spans="1:8" ht="23.25" hidden="1" x14ac:dyDescent="0.35">
      <c r="A392" s="161" t="s">
        <v>388</v>
      </c>
      <c r="B392" s="161" t="s">
        <v>389</v>
      </c>
      <c r="C392" s="154">
        <f>IFERROR(VLOOKUP(A392,'งบทดลอง รพ.'!$A$2:$C$609,3,0),0)</f>
        <v>0</v>
      </c>
      <c r="D392" s="25"/>
      <c r="E392" s="99" t="s">
        <v>1375</v>
      </c>
      <c r="F392" s="99" t="s">
        <v>33</v>
      </c>
      <c r="G392" s="95" t="s">
        <v>1414</v>
      </c>
      <c r="H392" s="95"/>
    </row>
    <row r="393" spans="1:8" ht="23.25" hidden="1" x14ac:dyDescent="0.35">
      <c r="A393" s="158" t="s">
        <v>1176</v>
      </c>
      <c r="B393" s="158" t="s">
        <v>1177</v>
      </c>
      <c r="C393" s="154">
        <f>IFERROR(VLOOKUP(A393,'งบทดลอง รพ.'!$A$2:$C$609,3,0),0)</f>
        <v>0</v>
      </c>
      <c r="D393" s="25"/>
      <c r="E393" s="99" t="s">
        <v>1375</v>
      </c>
      <c r="F393" s="99" t="s">
        <v>33</v>
      </c>
      <c r="G393" s="95" t="s">
        <v>1412</v>
      </c>
      <c r="H393" s="95"/>
    </row>
    <row r="394" spans="1:8" ht="23.25" hidden="1" x14ac:dyDescent="0.35">
      <c r="A394" s="161" t="s">
        <v>503</v>
      </c>
      <c r="B394" s="161" t="s">
        <v>1514</v>
      </c>
      <c r="C394" s="154">
        <f>IFERROR(VLOOKUP(A394,'งบทดลอง รพ.'!$A$2:$C$609,3,0),0)</f>
        <v>0</v>
      </c>
      <c r="D394" s="25"/>
      <c r="E394" s="99" t="s">
        <v>1375</v>
      </c>
      <c r="F394" s="99" t="s">
        <v>33</v>
      </c>
      <c r="G394" s="95" t="s">
        <v>1414</v>
      </c>
      <c r="H394" s="95"/>
    </row>
    <row r="395" spans="1:8" ht="23.25" hidden="1" x14ac:dyDescent="0.35">
      <c r="A395" s="161" t="s">
        <v>951</v>
      </c>
      <c r="B395" s="161" t="s">
        <v>952</v>
      </c>
      <c r="C395" s="154">
        <f>IFERROR(VLOOKUP(A395,'งบทดลอง รพ.'!$A$2:$C$609,3,0),0)</f>
        <v>0</v>
      </c>
      <c r="D395" s="25"/>
      <c r="E395" s="99" t="s">
        <v>1375</v>
      </c>
      <c r="F395" s="99" t="s">
        <v>33</v>
      </c>
      <c r="G395" s="95" t="s">
        <v>1414</v>
      </c>
      <c r="H395" s="95"/>
    </row>
    <row r="396" spans="1:8" ht="23.25" hidden="1" x14ac:dyDescent="0.35">
      <c r="A396" s="161" t="s">
        <v>504</v>
      </c>
      <c r="B396" s="161" t="s">
        <v>505</v>
      </c>
      <c r="C396" s="154">
        <f>IFERROR(VLOOKUP(A396,'งบทดลอง รพ.'!$A$2:$C$609,3,0),0)</f>
        <v>0</v>
      </c>
      <c r="D396" s="25"/>
      <c r="E396" s="99" t="s">
        <v>1375</v>
      </c>
      <c r="F396" s="99" t="s">
        <v>33</v>
      </c>
      <c r="G396" s="95" t="s">
        <v>1414</v>
      </c>
      <c r="H396" s="95"/>
    </row>
    <row r="397" spans="1:8" ht="23.25" hidden="1" x14ac:dyDescent="0.35">
      <c r="A397" s="162" t="s">
        <v>953</v>
      </c>
      <c r="B397" s="162" t="s">
        <v>954</v>
      </c>
      <c r="C397" s="154">
        <f>IFERROR(VLOOKUP(A397,'งบทดลอง รพ.'!$A$2:$C$609,3,0),0)</f>
        <v>0</v>
      </c>
      <c r="D397" s="25"/>
      <c r="E397" s="99" t="s">
        <v>1401</v>
      </c>
      <c r="F397" s="99" t="s">
        <v>41</v>
      </c>
      <c r="G397" s="95" t="s">
        <v>1414</v>
      </c>
      <c r="H397" s="95"/>
    </row>
    <row r="398" spans="1:8" ht="23.25" hidden="1" x14ac:dyDescent="0.35">
      <c r="A398" s="161" t="s">
        <v>506</v>
      </c>
      <c r="B398" s="161" t="s">
        <v>507</v>
      </c>
      <c r="C398" s="154">
        <f>IFERROR(VLOOKUP(A398,'งบทดลอง รพ.'!$A$2:$C$609,3,0),0)</f>
        <v>0</v>
      </c>
      <c r="D398" s="25"/>
      <c r="E398" s="99" t="s">
        <v>1375</v>
      </c>
      <c r="F398" s="99" t="s">
        <v>33</v>
      </c>
      <c r="G398" s="95" t="s">
        <v>1414</v>
      </c>
      <c r="H398" s="95"/>
    </row>
    <row r="399" spans="1:8" ht="23.25" hidden="1" x14ac:dyDescent="0.35">
      <c r="A399" s="161" t="s">
        <v>508</v>
      </c>
      <c r="B399" s="161" t="s">
        <v>509</v>
      </c>
      <c r="C399" s="154">
        <f>IFERROR(VLOOKUP(A399,'งบทดลอง รพ.'!$A$2:$C$609,3,0),0)</f>
        <v>0</v>
      </c>
      <c r="D399" s="25"/>
      <c r="E399" s="99" t="s">
        <v>1375</v>
      </c>
      <c r="F399" s="99" t="s">
        <v>33</v>
      </c>
      <c r="G399" s="95" t="s">
        <v>1414</v>
      </c>
      <c r="H399" s="95"/>
    </row>
    <row r="400" spans="1:8" ht="23.25" hidden="1" x14ac:dyDescent="0.35">
      <c r="A400" s="161" t="s">
        <v>510</v>
      </c>
      <c r="B400" s="161" t="s">
        <v>511</v>
      </c>
      <c r="C400" s="154">
        <f>IFERROR(VLOOKUP(A400,'งบทดลอง รพ.'!$A$2:$C$609,3,0),0)</f>
        <v>0</v>
      </c>
      <c r="D400" s="25"/>
      <c r="E400" s="99" t="s">
        <v>1375</v>
      </c>
      <c r="F400" s="99" t="s">
        <v>33</v>
      </c>
      <c r="G400" s="95" t="s">
        <v>1414</v>
      </c>
      <c r="H400" s="95"/>
    </row>
    <row r="401" spans="1:8" ht="23.25" hidden="1" x14ac:dyDescent="0.35">
      <c r="A401" s="162" t="s">
        <v>512</v>
      </c>
      <c r="B401" s="162" t="s">
        <v>1515</v>
      </c>
      <c r="C401" s="154">
        <f>IFERROR(VLOOKUP(A401,'งบทดลอง รพ.'!$A$2:$C$609,3,0),0)</f>
        <v>868600</v>
      </c>
      <c r="D401" s="25"/>
      <c r="E401" s="99" t="s">
        <v>1395</v>
      </c>
      <c r="F401" s="99" t="s">
        <v>41</v>
      </c>
      <c r="G401" s="95" t="s">
        <v>1414</v>
      </c>
      <c r="H401" s="95"/>
    </row>
    <row r="402" spans="1:8" ht="23.25" hidden="1" x14ac:dyDescent="0.35">
      <c r="A402" s="162" t="s">
        <v>513</v>
      </c>
      <c r="B402" s="162" t="s">
        <v>514</v>
      </c>
      <c r="C402" s="154">
        <f>IFERROR(VLOOKUP(A402,'งบทดลอง รพ.'!$A$2:$C$609,3,0),0)</f>
        <v>155510</v>
      </c>
      <c r="D402" s="25"/>
      <c r="E402" s="99" t="s">
        <v>1397</v>
      </c>
      <c r="F402" s="99" t="s">
        <v>41</v>
      </c>
      <c r="G402" s="95" t="s">
        <v>1414</v>
      </c>
      <c r="H402" s="95"/>
    </row>
    <row r="403" spans="1:8" ht="23.25" hidden="1" x14ac:dyDescent="0.35">
      <c r="A403" s="161" t="s">
        <v>955</v>
      </c>
      <c r="B403" s="161" t="s">
        <v>956</v>
      </c>
      <c r="C403" s="154">
        <f>IFERROR(VLOOKUP(A403,'งบทดลอง รพ.'!$A$2:$C$609,3,0),0)</f>
        <v>150000</v>
      </c>
      <c r="D403" s="25"/>
      <c r="E403" s="99" t="s">
        <v>1375</v>
      </c>
      <c r="F403" s="99" t="s">
        <v>33</v>
      </c>
      <c r="G403" s="95" t="s">
        <v>1414</v>
      </c>
      <c r="H403" s="95"/>
    </row>
    <row r="404" spans="1:8" ht="23.25" hidden="1" x14ac:dyDescent="0.35">
      <c r="A404" s="162" t="s">
        <v>515</v>
      </c>
      <c r="B404" s="162" t="s">
        <v>1516</v>
      </c>
      <c r="C404" s="154">
        <f>IFERROR(VLOOKUP(A404,'งบทดลอง รพ.'!$A$2:$C$609,3,0),0)</f>
        <v>3289113.56</v>
      </c>
      <c r="D404" s="25"/>
      <c r="E404" s="99" t="s">
        <v>1399</v>
      </c>
      <c r="F404" s="99" t="s">
        <v>41</v>
      </c>
      <c r="G404" s="95" t="s">
        <v>1414</v>
      </c>
      <c r="H404" s="95"/>
    </row>
    <row r="405" spans="1:8" ht="23.25" hidden="1" x14ac:dyDescent="0.35">
      <c r="A405" s="162" t="s">
        <v>516</v>
      </c>
      <c r="B405" s="162" t="s">
        <v>1517</v>
      </c>
      <c r="C405" s="154">
        <f>IFERROR(VLOOKUP(A405,'งบทดลอง รพ.'!$A$2:$C$609,3,0),0)</f>
        <v>359362</v>
      </c>
      <c r="D405" s="25"/>
      <c r="E405" s="99" t="s">
        <v>1399</v>
      </c>
      <c r="F405" s="99" t="s">
        <v>41</v>
      </c>
      <c r="G405" s="95" t="s">
        <v>1414</v>
      </c>
      <c r="H405" s="95"/>
    </row>
    <row r="406" spans="1:8" ht="23.25" hidden="1" x14ac:dyDescent="0.35">
      <c r="A406" s="159" t="s">
        <v>1178</v>
      </c>
      <c r="B406" s="159" t="s">
        <v>1179</v>
      </c>
      <c r="C406" s="154">
        <f>IFERROR(VLOOKUP(A406,'งบทดลอง รพ.'!$A$2:$C$609,3,0),0)</f>
        <v>0</v>
      </c>
      <c r="D406" s="25"/>
      <c r="E406" s="99" t="s">
        <v>1399</v>
      </c>
      <c r="F406" s="99" t="s">
        <v>41</v>
      </c>
      <c r="G406" s="95" t="s">
        <v>1412</v>
      </c>
      <c r="H406" s="95"/>
    </row>
    <row r="407" spans="1:8" ht="23.25" hidden="1" x14ac:dyDescent="0.35">
      <c r="A407" s="162" t="s">
        <v>957</v>
      </c>
      <c r="B407" s="162" t="s">
        <v>958</v>
      </c>
      <c r="C407" s="154">
        <f>IFERROR(VLOOKUP(A407,'งบทดลอง รพ.'!$A$2:$C$609,3,0),0)</f>
        <v>0</v>
      </c>
      <c r="D407" s="25"/>
      <c r="E407" s="99" t="s">
        <v>1399</v>
      </c>
      <c r="F407" s="99" t="s">
        <v>41</v>
      </c>
      <c r="G407" s="95" t="s">
        <v>1414</v>
      </c>
      <c r="H407" s="95"/>
    </row>
    <row r="408" spans="1:8" ht="23.25" hidden="1" x14ac:dyDescent="0.35">
      <c r="A408" s="162" t="s">
        <v>517</v>
      </c>
      <c r="B408" s="162" t="s">
        <v>518</v>
      </c>
      <c r="C408" s="154">
        <f>IFERROR(VLOOKUP(A408,'งบทดลอง รพ.'!$A$2:$C$609,3,0),0)</f>
        <v>0</v>
      </c>
      <c r="D408" s="25"/>
      <c r="E408" s="99" t="s">
        <v>1395</v>
      </c>
      <c r="F408" s="99" t="s">
        <v>41</v>
      </c>
      <c r="G408" s="95" t="s">
        <v>1414</v>
      </c>
      <c r="H408" s="95"/>
    </row>
    <row r="409" spans="1:8" ht="23.25" hidden="1" x14ac:dyDescent="0.35">
      <c r="A409" s="162" t="s">
        <v>519</v>
      </c>
      <c r="B409" s="162" t="s">
        <v>520</v>
      </c>
      <c r="C409" s="154">
        <f>IFERROR(VLOOKUP(A409,'งบทดลอง รพ.'!$A$2:$C$609,3,0),0)</f>
        <v>0</v>
      </c>
      <c r="D409" s="25"/>
      <c r="E409" s="99" t="s">
        <v>1399</v>
      </c>
      <c r="F409" s="99" t="s">
        <v>41</v>
      </c>
      <c r="G409" s="95" t="s">
        <v>1414</v>
      </c>
      <c r="H409" s="95"/>
    </row>
    <row r="410" spans="1:8" ht="23.25" hidden="1" x14ac:dyDescent="0.35">
      <c r="A410" s="161" t="s">
        <v>959</v>
      </c>
      <c r="B410" s="161" t="s">
        <v>960</v>
      </c>
      <c r="C410" s="154">
        <f>IFERROR(VLOOKUP(A410,'งบทดลอง รพ.'!$A$2:$C$609,3,0),0)</f>
        <v>3954148</v>
      </c>
      <c r="D410" s="25"/>
      <c r="E410" s="99" t="s">
        <v>1359</v>
      </c>
      <c r="F410" s="99" t="s">
        <v>29</v>
      </c>
      <c r="G410" s="95" t="s">
        <v>1414</v>
      </c>
      <c r="H410" s="95"/>
    </row>
    <row r="411" spans="1:8" ht="23.25" hidden="1" x14ac:dyDescent="0.35">
      <c r="A411" s="161" t="s">
        <v>961</v>
      </c>
      <c r="B411" s="161" t="s">
        <v>962</v>
      </c>
      <c r="C411" s="154">
        <f>IFERROR(VLOOKUP(A411,'งบทดลอง รพ.'!$A$2:$C$609,3,0),0)</f>
        <v>0</v>
      </c>
      <c r="D411" s="25"/>
      <c r="E411" s="99" t="s">
        <v>1359</v>
      </c>
      <c r="F411" s="99" t="s">
        <v>29</v>
      </c>
      <c r="G411" s="95" t="s">
        <v>1414</v>
      </c>
      <c r="H411" s="95"/>
    </row>
    <row r="412" spans="1:8" ht="23.25" hidden="1" x14ac:dyDescent="0.35">
      <c r="A412" s="161" t="s">
        <v>963</v>
      </c>
      <c r="B412" s="161" t="s">
        <v>964</v>
      </c>
      <c r="C412" s="154">
        <f>IFERROR(VLOOKUP(A412,'งบทดลอง รพ.'!$A$2:$C$609,3,0),0)</f>
        <v>0</v>
      </c>
      <c r="D412" s="25"/>
      <c r="E412" s="99" t="s">
        <v>1359</v>
      </c>
      <c r="F412" s="99" t="s">
        <v>29</v>
      </c>
      <c r="G412" s="95" t="s">
        <v>1414</v>
      </c>
      <c r="H412" s="95"/>
    </row>
    <row r="413" spans="1:8" ht="23.25" hidden="1" x14ac:dyDescent="0.35">
      <c r="A413" s="161" t="s">
        <v>965</v>
      </c>
      <c r="B413" s="161" t="s">
        <v>966</v>
      </c>
      <c r="C413" s="154">
        <f>IFERROR(VLOOKUP(A413,'งบทดลอง รพ.'!$A$2:$C$609,3,0),0)</f>
        <v>0</v>
      </c>
      <c r="D413" s="25"/>
      <c r="E413" s="99" t="s">
        <v>1359</v>
      </c>
      <c r="F413" s="99" t="s">
        <v>29</v>
      </c>
      <c r="G413" s="95" t="s">
        <v>1414</v>
      </c>
      <c r="H413" s="95"/>
    </row>
    <row r="414" spans="1:8" ht="23.25" hidden="1" x14ac:dyDescent="0.35">
      <c r="A414" s="161" t="s">
        <v>967</v>
      </c>
      <c r="B414" s="161" t="s">
        <v>968</v>
      </c>
      <c r="C414" s="154">
        <f>IFERROR(VLOOKUP(A414,'งบทดลอง รพ.'!$A$2:$C$609,3,0),0)</f>
        <v>0</v>
      </c>
      <c r="D414" s="25"/>
      <c r="E414" s="99" t="s">
        <v>1359</v>
      </c>
      <c r="F414" s="99" t="s">
        <v>29</v>
      </c>
      <c r="G414" s="95" t="s">
        <v>1414</v>
      </c>
      <c r="H414" s="95"/>
    </row>
    <row r="415" spans="1:8" ht="23.25" hidden="1" x14ac:dyDescent="0.35">
      <c r="A415" s="161" t="s">
        <v>969</v>
      </c>
      <c r="B415" s="161" t="s">
        <v>271</v>
      </c>
      <c r="C415" s="154">
        <f>IFERROR(VLOOKUP(A415,'งบทดลอง รพ.'!$A$2:$C$609,3,0),0)</f>
        <v>360000</v>
      </c>
      <c r="D415" s="25"/>
      <c r="E415" s="99" t="s">
        <v>1359</v>
      </c>
      <c r="F415" s="99" t="s">
        <v>29</v>
      </c>
      <c r="G415" s="95" t="s">
        <v>1414</v>
      </c>
      <c r="H415" s="95"/>
    </row>
    <row r="416" spans="1:8" ht="23.25" hidden="1" x14ac:dyDescent="0.35">
      <c r="A416" s="161" t="s">
        <v>970</v>
      </c>
      <c r="B416" s="161" t="s">
        <v>272</v>
      </c>
      <c r="C416" s="154">
        <f>IFERROR(VLOOKUP(A416,'งบทดลอง รพ.'!$A$2:$C$609,3,0),0)</f>
        <v>240000</v>
      </c>
      <c r="D416" s="25"/>
      <c r="E416" s="99" t="s">
        <v>1359</v>
      </c>
      <c r="F416" s="99" t="s">
        <v>29</v>
      </c>
      <c r="G416" s="95" t="s">
        <v>1414</v>
      </c>
      <c r="H416" s="95"/>
    </row>
    <row r="417" spans="1:8" ht="23.25" hidden="1" x14ac:dyDescent="0.35">
      <c r="A417" s="161" t="s">
        <v>971</v>
      </c>
      <c r="B417" s="161" t="s">
        <v>273</v>
      </c>
      <c r="C417" s="154">
        <f>IFERROR(VLOOKUP(A417,'งบทดลอง รพ.'!$A$2:$C$609,3,0),0)</f>
        <v>15000</v>
      </c>
      <c r="D417" s="25"/>
      <c r="E417" s="99" t="s">
        <v>1359</v>
      </c>
      <c r="F417" s="99" t="s">
        <v>29</v>
      </c>
      <c r="G417" s="95" t="s">
        <v>1414</v>
      </c>
      <c r="H417" s="95"/>
    </row>
    <row r="418" spans="1:8" ht="23.25" hidden="1" x14ac:dyDescent="0.35">
      <c r="A418" s="161" t="s">
        <v>972</v>
      </c>
      <c r="B418" s="161" t="s">
        <v>973</v>
      </c>
      <c r="C418" s="154">
        <f>IFERROR(VLOOKUP(A418,'งบทดลอง รพ.'!$A$2:$C$609,3,0),0)</f>
        <v>0</v>
      </c>
      <c r="D418" s="25"/>
      <c r="E418" s="99" t="s">
        <v>1359</v>
      </c>
      <c r="F418" s="99" t="s">
        <v>29</v>
      </c>
      <c r="G418" s="95" t="s">
        <v>1414</v>
      </c>
      <c r="H418" s="95"/>
    </row>
    <row r="419" spans="1:8" ht="23.25" hidden="1" x14ac:dyDescent="0.35">
      <c r="A419" s="161" t="s">
        <v>974</v>
      </c>
      <c r="B419" s="161" t="s">
        <v>276</v>
      </c>
      <c r="C419" s="154">
        <f>IFERROR(VLOOKUP(A419,'งบทดลอง รพ.'!$A$2:$C$609,3,0),0)</f>
        <v>0</v>
      </c>
      <c r="D419" s="25"/>
      <c r="E419" s="99" t="s">
        <v>1359</v>
      </c>
      <c r="F419" s="99" t="s">
        <v>29</v>
      </c>
      <c r="G419" s="95" t="s">
        <v>1414</v>
      </c>
      <c r="H419" s="95"/>
    </row>
    <row r="420" spans="1:8" ht="23.25" hidden="1" x14ac:dyDescent="0.35">
      <c r="A420" s="161" t="s">
        <v>413</v>
      </c>
      <c r="B420" s="161" t="s">
        <v>414</v>
      </c>
      <c r="C420" s="154">
        <f>IFERROR(VLOOKUP(A420,'งบทดลอง รพ.'!$A$2:$C$609,3,0),0)</f>
        <v>38905.89</v>
      </c>
      <c r="D420" s="25"/>
      <c r="E420" s="99" t="s">
        <v>1389</v>
      </c>
      <c r="F420" s="99" t="s">
        <v>39</v>
      </c>
      <c r="G420" s="95" t="s">
        <v>1414</v>
      </c>
      <c r="H420" s="95"/>
    </row>
    <row r="421" spans="1:8" ht="23.25" hidden="1" x14ac:dyDescent="0.35">
      <c r="A421" s="161" t="s">
        <v>415</v>
      </c>
      <c r="B421" s="161" t="s">
        <v>416</v>
      </c>
      <c r="C421" s="154">
        <f>IFERROR(VLOOKUP(A421,'งบทดลอง รพ.'!$A$2:$C$609,3,0),0)</f>
        <v>0</v>
      </c>
      <c r="D421" s="25"/>
      <c r="E421" s="99" t="s">
        <v>1389</v>
      </c>
      <c r="F421" s="99" t="s">
        <v>39</v>
      </c>
      <c r="G421" s="95" t="s">
        <v>1414</v>
      </c>
      <c r="H421" s="95"/>
    </row>
    <row r="422" spans="1:8" ht="23.25" hidden="1" x14ac:dyDescent="0.35">
      <c r="A422" s="161" t="s">
        <v>417</v>
      </c>
      <c r="B422" s="161" t="s">
        <v>418</v>
      </c>
      <c r="C422" s="154">
        <f>IFERROR(VLOOKUP(A422,'งบทดลอง รพ.'!$A$2:$C$609,3,0),0)</f>
        <v>344148.12</v>
      </c>
      <c r="D422" s="25"/>
      <c r="E422" s="99" t="s">
        <v>1389</v>
      </c>
      <c r="F422" s="99" t="s">
        <v>39</v>
      </c>
      <c r="G422" s="95" t="s">
        <v>1414</v>
      </c>
      <c r="H422" s="95"/>
    </row>
    <row r="423" spans="1:8" ht="23.25" hidden="1" x14ac:dyDescent="0.35">
      <c r="A423" s="161" t="s">
        <v>419</v>
      </c>
      <c r="B423" s="161" t="s">
        <v>420</v>
      </c>
      <c r="C423" s="154">
        <f>IFERROR(VLOOKUP(A423,'งบทดลอง รพ.'!$A$2:$C$609,3,0),0)</f>
        <v>22225.52</v>
      </c>
      <c r="D423" s="25"/>
      <c r="E423" s="99" t="s">
        <v>1389</v>
      </c>
      <c r="F423" s="99" t="s">
        <v>39</v>
      </c>
      <c r="G423" s="95" t="s">
        <v>1414</v>
      </c>
      <c r="H423" s="95"/>
    </row>
    <row r="424" spans="1:8" ht="23.25" hidden="1" x14ac:dyDescent="0.35">
      <c r="A424" s="161" t="s">
        <v>421</v>
      </c>
      <c r="B424" s="161" t="s">
        <v>422</v>
      </c>
      <c r="C424" s="154">
        <f>IFERROR(VLOOKUP(A424,'งบทดลอง รพ.'!$A$2:$C$609,3,0),0)</f>
        <v>0</v>
      </c>
      <c r="D424" s="25"/>
      <c r="E424" s="99" t="s">
        <v>1389</v>
      </c>
      <c r="F424" s="99" t="s">
        <v>39</v>
      </c>
      <c r="G424" s="95" t="s">
        <v>1414</v>
      </c>
      <c r="H424" s="95"/>
    </row>
    <row r="425" spans="1:8" ht="23.25" hidden="1" x14ac:dyDescent="0.35">
      <c r="A425" s="161" t="s">
        <v>423</v>
      </c>
      <c r="B425" s="161" t="s">
        <v>424</v>
      </c>
      <c r="C425" s="154">
        <f>IFERROR(VLOOKUP(A425,'งบทดลอง รพ.'!$A$2:$C$609,3,0),0)</f>
        <v>0</v>
      </c>
      <c r="D425" s="25"/>
      <c r="E425" s="99" t="s">
        <v>1389</v>
      </c>
      <c r="F425" s="99" t="s">
        <v>39</v>
      </c>
      <c r="G425" s="95" t="s">
        <v>1414</v>
      </c>
      <c r="H425" s="95"/>
    </row>
    <row r="426" spans="1:8" ht="23.25" hidden="1" x14ac:dyDescent="0.35">
      <c r="A426" s="161" t="s">
        <v>425</v>
      </c>
      <c r="B426" s="161" t="s">
        <v>426</v>
      </c>
      <c r="C426" s="154">
        <f>IFERROR(VLOOKUP(A426,'งบทดลอง รพ.'!$A$2:$C$609,3,0),0)</f>
        <v>0</v>
      </c>
      <c r="D426" s="25"/>
      <c r="E426" s="99" t="s">
        <v>1389</v>
      </c>
      <c r="F426" s="99" t="s">
        <v>39</v>
      </c>
      <c r="G426" s="95" t="s">
        <v>1414</v>
      </c>
      <c r="H426" s="95"/>
    </row>
    <row r="427" spans="1:8" ht="23.25" hidden="1" x14ac:dyDescent="0.35">
      <c r="A427" s="161" t="s">
        <v>427</v>
      </c>
      <c r="B427" s="161" t="s">
        <v>428</v>
      </c>
      <c r="C427" s="154">
        <f>IFERROR(VLOOKUP(A427,'งบทดลอง รพ.'!$A$2:$C$609,3,0),0)</f>
        <v>0</v>
      </c>
      <c r="D427" s="25"/>
      <c r="E427" s="99" t="s">
        <v>1389</v>
      </c>
      <c r="F427" s="99" t="s">
        <v>39</v>
      </c>
      <c r="G427" s="95" t="s">
        <v>1414</v>
      </c>
      <c r="H427" s="95"/>
    </row>
    <row r="428" spans="1:8" ht="23.25" hidden="1" x14ac:dyDescent="0.35">
      <c r="A428" s="161" t="s">
        <v>429</v>
      </c>
      <c r="B428" s="161" t="s">
        <v>430</v>
      </c>
      <c r="C428" s="154">
        <f>IFERROR(VLOOKUP(A428,'งบทดลอง รพ.'!$A$2:$C$609,3,0),0)</f>
        <v>0</v>
      </c>
      <c r="D428" s="25"/>
      <c r="E428" s="99" t="s">
        <v>1389</v>
      </c>
      <c r="F428" s="99" t="s">
        <v>39</v>
      </c>
      <c r="G428" s="95" t="s">
        <v>1414</v>
      </c>
      <c r="H428" s="95"/>
    </row>
    <row r="429" spans="1:8" ht="23.25" hidden="1" x14ac:dyDescent="0.35">
      <c r="A429" s="161" t="s">
        <v>431</v>
      </c>
      <c r="B429" s="161" t="s">
        <v>432</v>
      </c>
      <c r="C429" s="154">
        <f>IFERROR(VLOOKUP(A429,'งบทดลอง รพ.'!$A$2:$C$609,3,0),0)</f>
        <v>1548.7</v>
      </c>
      <c r="D429" s="25"/>
      <c r="E429" s="99" t="s">
        <v>1391</v>
      </c>
      <c r="F429" s="99" t="s">
        <v>39</v>
      </c>
      <c r="G429" s="95" t="s">
        <v>1414</v>
      </c>
      <c r="H429" s="95"/>
    </row>
    <row r="430" spans="1:8" ht="23.25" hidden="1" x14ac:dyDescent="0.35">
      <c r="A430" s="161" t="s">
        <v>433</v>
      </c>
      <c r="B430" s="161" t="s">
        <v>434</v>
      </c>
      <c r="C430" s="154">
        <f>IFERROR(VLOOKUP(A430,'งบทดลอง รพ.'!$A$2:$C$609,3,0),0)</f>
        <v>500865.75</v>
      </c>
      <c r="D430" s="25"/>
      <c r="E430" s="99" t="s">
        <v>1391</v>
      </c>
      <c r="F430" s="99" t="s">
        <v>39</v>
      </c>
      <c r="G430" s="95" t="s">
        <v>1414</v>
      </c>
      <c r="H430" s="95"/>
    </row>
    <row r="431" spans="1:8" ht="23.25" hidden="1" x14ac:dyDescent="0.35">
      <c r="A431" s="161" t="s">
        <v>435</v>
      </c>
      <c r="B431" s="161" t="s">
        <v>436</v>
      </c>
      <c r="C431" s="154">
        <f>IFERROR(VLOOKUP(A431,'งบทดลอง รพ.'!$A$2:$C$609,3,0),0)</f>
        <v>227616.26</v>
      </c>
      <c r="D431" s="25"/>
      <c r="E431" s="99" t="s">
        <v>1391</v>
      </c>
      <c r="F431" s="99" t="s">
        <v>39</v>
      </c>
      <c r="G431" s="95" t="s">
        <v>1414</v>
      </c>
      <c r="H431" s="95"/>
    </row>
    <row r="432" spans="1:8" ht="23.25" hidden="1" x14ac:dyDescent="0.35">
      <c r="A432" s="161" t="s">
        <v>437</v>
      </c>
      <c r="B432" s="161" t="s">
        <v>438</v>
      </c>
      <c r="C432" s="154">
        <f>IFERROR(VLOOKUP(A432,'งบทดลอง รพ.'!$A$2:$C$609,3,0),0)</f>
        <v>0</v>
      </c>
      <c r="D432" s="25"/>
      <c r="E432" s="99" t="s">
        <v>1391</v>
      </c>
      <c r="F432" s="99" t="s">
        <v>39</v>
      </c>
      <c r="G432" s="95" t="s">
        <v>1414</v>
      </c>
      <c r="H432" s="95"/>
    </row>
    <row r="433" spans="1:8" ht="23.25" hidden="1" x14ac:dyDescent="0.35">
      <c r="A433" s="161" t="s">
        <v>439</v>
      </c>
      <c r="B433" s="161" t="s">
        <v>440</v>
      </c>
      <c r="C433" s="154">
        <f>IFERROR(VLOOKUP(A433,'งบทดลอง รพ.'!$A$2:$C$609,3,0),0)</f>
        <v>0</v>
      </c>
      <c r="D433" s="25"/>
      <c r="E433" s="99" t="s">
        <v>1391</v>
      </c>
      <c r="F433" s="99" t="s">
        <v>39</v>
      </c>
      <c r="G433" s="95" t="s">
        <v>1414</v>
      </c>
      <c r="H433" s="95"/>
    </row>
    <row r="434" spans="1:8" ht="23.25" hidden="1" x14ac:dyDescent="0.35">
      <c r="A434" s="161" t="s">
        <v>441</v>
      </c>
      <c r="B434" s="161" t="s">
        <v>442</v>
      </c>
      <c r="C434" s="154">
        <f>IFERROR(VLOOKUP(A434,'งบทดลอง รพ.'!$A$2:$C$609,3,0),0)</f>
        <v>0</v>
      </c>
      <c r="D434" s="25"/>
      <c r="E434" s="99" t="s">
        <v>1391</v>
      </c>
      <c r="F434" s="99" t="s">
        <v>39</v>
      </c>
      <c r="G434" s="95" t="s">
        <v>1414</v>
      </c>
      <c r="H434" s="95"/>
    </row>
    <row r="435" spans="1:8" ht="23.25" hidden="1" x14ac:dyDescent="0.35">
      <c r="A435" s="161" t="s">
        <v>443</v>
      </c>
      <c r="B435" s="161" t="s">
        <v>444</v>
      </c>
      <c r="C435" s="154">
        <f>IFERROR(VLOOKUP(A435,'งบทดลอง รพ.'!$A$2:$C$609,3,0),0)</f>
        <v>419770.33999999997</v>
      </c>
      <c r="D435" s="25"/>
      <c r="E435" s="99" t="s">
        <v>1391</v>
      </c>
      <c r="F435" s="99" t="s">
        <v>39</v>
      </c>
      <c r="G435" s="95" t="s">
        <v>1414</v>
      </c>
      <c r="H435" s="95"/>
    </row>
    <row r="436" spans="1:8" ht="23.25" hidden="1" x14ac:dyDescent="0.35">
      <c r="A436" s="161" t="s">
        <v>445</v>
      </c>
      <c r="B436" s="161" t="s">
        <v>446</v>
      </c>
      <c r="C436" s="154">
        <f>IFERROR(VLOOKUP(A436,'งบทดลอง รพ.'!$A$2:$C$609,3,0),0)</f>
        <v>5885.91</v>
      </c>
      <c r="D436" s="25"/>
      <c r="E436" s="99" t="s">
        <v>1391</v>
      </c>
      <c r="F436" s="99" t="s">
        <v>39</v>
      </c>
      <c r="G436" s="95" t="s">
        <v>1414</v>
      </c>
      <c r="H436" s="95"/>
    </row>
    <row r="437" spans="1:8" ht="23.25" hidden="1" x14ac:dyDescent="0.35">
      <c r="A437" s="161" t="s">
        <v>975</v>
      </c>
      <c r="B437" s="161" t="s">
        <v>976</v>
      </c>
      <c r="C437" s="154">
        <f>IFERROR(VLOOKUP(A437,'งบทดลอง รพ.'!$A$2:$C$609,3,0),0)</f>
        <v>0</v>
      </c>
      <c r="D437" s="25"/>
      <c r="E437" s="99" t="s">
        <v>1391</v>
      </c>
      <c r="F437" s="99" t="s">
        <v>39</v>
      </c>
      <c r="G437" s="95" t="s">
        <v>1414</v>
      </c>
      <c r="H437" s="95"/>
    </row>
    <row r="438" spans="1:8" ht="23.25" hidden="1" x14ac:dyDescent="0.35">
      <c r="A438" s="161" t="s">
        <v>447</v>
      </c>
      <c r="B438" s="161" t="s">
        <v>448</v>
      </c>
      <c r="C438" s="154">
        <f>IFERROR(VLOOKUP(A438,'งบทดลอง รพ.'!$A$2:$C$609,3,0),0)</f>
        <v>0</v>
      </c>
      <c r="D438" s="25"/>
      <c r="E438" s="99" t="s">
        <v>1391</v>
      </c>
      <c r="F438" s="99" t="s">
        <v>39</v>
      </c>
      <c r="G438" s="95" t="s">
        <v>1414</v>
      </c>
      <c r="H438" s="95"/>
    </row>
    <row r="439" spans="1:8" ht="23.25" hidden="1" x14ac:dyDescent="0.35">
      <c r="A439" s="161" t="s">
        <v>977</v>
      </c>
      <c r="B439" s="161" t="s">
        <v>978</v>
      </c>
      <c r="C439" s="154">
        <f>IFERROR(VLOOKUP(A439,'งบทดลอง รพ.'!$A$2:$C$609,3,0),0)</f>
        <v>0</v>
      </c>
      <c r="D439" s="25"/>
      <c r="E439" s="99" t="s">
        <v>1391</v>
      </c>
      <c r="F439" s="99" t="s">
        <v>39</v>
      </c>
      <c r="G439" s="95" t="s">
        <v>1414</v>
      </c>
      <c r="H439" s="95"/>
    </row>
    <row r="440" spans="1:8" ht="23.25" hidden="1" x14ac:dyDescent="0.35">
      <c r="A440" s="161" t="s">
        <v>979</v>
      </c>
      <c r="B440" s="161" t="s">
        <v>980</v>
      </c>
      <c r="C440" s="154">
        <f>IFERROR(VLOOKUP(A440,'งบทดลอง รพ.'!$A$2:$C$609,3,0),0)</f>
        <v>0</v>
      </c>
      <c r="D440" s="25"/>
      <c r="E440" s="99" t="s">
        <v>1391</v>
      </c>
      <c r="F440" s="99" t="s">
        <v>39</v>
      </c>
      <c r="G440" s="95" t="s">
        <v>1414</v>
      </c>
      <c r="H440" s="95"/>
    </row>
    <row r="441" spans="1:8" ht="23.25" hidden="1" x14ac:dyDescent="0.35">
      <c r="A441" s="162" t="s">
        <v>981</v>
      </c>
      <c r="B441" s="162" t="s">
        <v>982</v>
      </c>
      <c r="C441" s="154">
        <f>IFERROR(VLOOKUP(A441,'งบทดลอง รพ.'!$A$2:$C$609,3,0),0)</f>
        <v>0</v>
      </c>
      <c r="E441" s="99" t="s">
        <v>1391</v>
      </c>
      <c r="F441" s="99" t="s">
        <v>39</v>
      </c>
      <c r="G441" s="95" t="s">
        <v>1414</v>
      </c>
      <c r="H441" s="95"/>
    </row>
    <row r="442" spans="1:8" ht="23.25" hidden="1" x14ac:dyDescent="0.35">
      <c r="A442" s="161" t="s">
        <v>449</v>
      </c>
      <c r="B442" s="161" t="s">
        <v>450</v>
      </c>
      <c r="C442" s="154">
        <f>IFERROR(VLOOKUP(A442,'งบทดลอง รพ.'!$A$2:$C$609,3,0),0)</f>
        <v>0</v>
      </c>
      <c r="E442" s="99" t="s">
        <v>1391</v>
      </c>
      <c r="F442" s="99" t="s">
        <v>39</v>
      </c>
      <c r="G442" s="95" t="s">
        <v>1414</v>
      </c>
      <c r="H442" s="95"/>
    </row>
    <row r="443" spans="1:8" ht="23.25" hidden="1" x14ac:dyDescent="0.35">
      <c r="A443" s="161" t="s">
        <v>451</v>
      </c>
      <c r="B443" s="161" t="s">
        <v>452</v>
      </c>
      <c r="C443" s="154">
        <f>IFERROR(VLOOKUP(A443,'งบทดลอง รพ.'!$A$2:$C$609,3,0),0)</f>
        <v>0</v>
      </c>
      <c r="E443" s="99" t="s">
        <v>1393</v>
      </c>
      <c r="F443" s="99" t="s">
        <v>39</v>
      </c>
      <c r="G443" s="95" t="s">
        <v>1414</v>
      </c>
      <c r="H443" s="95"/>
    </row>
    <row r="444" spans="1:8" ht="23.25" hidden="1" x14ac:dyDescent="0.35">
      <c r="A444" s="158" t="s">
        <v>1180</v>
      </c>
      <c r="B444" s="158" t="s">
        <v>1181</v>
      </c>
      <c r="C444" s="154">
        <f>IFERROR(VLOOKUP(A444,'งบทดลอง รพ.'!$A$2:$C$609,3,0),0)</f>
        <v>0</v>
      </c>
      <c r="E444" s="99" t="s">
        <v>1393</v>
      </c>
      <c r="F444" s="99" t="s">
        <v>39</v>
      </c>
      <c r="G444" s="95" t="s">
        <v>1412</v>
      </c>
      <c r="H444" s="95"/>
    </row>
    <row r="445" spans="1:8" ht="23.25" hidden="1" x14ac:dyDescent="0.35">
      <c r="A445" s="161" t="s">
        <v>453</v>
      </c>
      <c r="B445" s="161" t="s">
        <v>454</v>
      </c>
      <c r="C445" s="154">
        <f>IFERROR(VLOOKUP(A445,'งบทดลอง รพ.'!$A$2:$C$609,3,0),0)</f>
        <v>0</v>
      </c>
      <c r="E445" s="99" t="s">
        <v>1393</v>
      </c>
      <c r="F445" s="99" t="s">
        <v>39</v>
      </c>
      <c r="G445" s="95" t="s">
        <v>1414</v>
      </c>
      <c r="H445" s="95"/>
    </row>
    <row r="446" spans="1:8" ht="23.25" hidden="1" x14ac:dyDescent="0.35">
      <c r="A446" s="161" t="s">
        <v>455</v>
      </c>
      <c r="B446" s="161" t="s">
        <v>456</v>
      </c>
      <c r="C446" s="154">
        <f>IFERROR(VLOOKUP(A446,'งบทดลอง รพ.'!$A$2:$C$609,3,0),0)</f>
        <v>0</v>
      </c>
      <c r="E446" s="99" t="s">
        <v>1389</v>
      </c>
      <c r="F446" s="99" t="s">
        <v>39</v>
      </c>
      <c r="G446" s="95" t="s">
        <v>1414</v>
      </c>
      <c r="H446" s="95"/>
    </row>
    <row r="447" spans="1:8" ht="23.25" hidden="1" x14ac:dyDescent="0.35">
      <c r="A447" s="161" t="s">
        <v>457</v>
      </c>
      <c r="B447" s="161" t="s">
        <v>458</v>
      </c>
      <c r="C447" s="154">
        <f>IFERROR(VLOOKUP(A447,'งบทดลอง รพ.'!$A$2:$C$609,3,0),0)</f>
        <v>0</v>
      </c>
      <c r="E447" s="99" t="s">
        <v>1389</v>
      </c>
      <c r="F447" s="99" t="s">
        <v>39</v>
      </c>
      <c r="G447" s="95" t="s">
        <v>1414</v>
      </c>
      <c r="H447" s="95"/>
    </row>
    <row r="448" spans="1:8" ht="23.25" hidden="1" x14ac:dyDescent="0.35">
      <c r="A448" s="161" t="s">
        <v>459</v>
      </c>
      <c r="B448" s="161" t="s">
        <v>460</v>
      </c>
      <c r="C448" s="154">
        <f>IFERROR(VLOOKUP(A448,'งบทดลอง รพ.'!$A$2:$C$609,3,0),0)</f>
        <v>0</v>
      </c>
      <c r="E448" s="99" t="s">
        <v>1389</v>
      </c>
      <c r="F448" s="99" t="s">
        <v>39</v>
      </c>
      <c r="G448" s="95" t="s">
        <v>1414</v>
      </c>
      <c r="H448" s="95"/>
    </row>
    <row r="449" spans="1:8" ht="23.25" hidden="1" x14ac:dyDescent="0.35">
      <c r="A449" s="161" t="s">
        <v>461</v>
      </c>
      <c r="B449" s="161" t="s">
        <v>462</v>
      </c>
      <c r="C449" s="154">
        <f>IFERROR(VLOOKUP(A449,'งบทดลอง รพ.'!$A$2:$C$609,3,0),0)</f>
        <v>52.6</v>
      </c>
      <c r="E449" s="99" t="s">
        <v>1389</v>
      </c>
      <c r="F449" s="99" t="s">
        <v>39</v>
      </c>
      <c r="G449" s="95" t="s">
        <v>1414</v>
      </c>
      <c r="H449" s="95"/>
    </row>
    <row r="450" spans="1:8" ht="23.25" hidden="1" x14ac:dyDescent="0.35">
      <c r="A450" s="161" t="s">
        <v>463</v>
      </c>
      <c r="B450" s="161" t="s">
        <v>464</v>
      </c>
      <c r="C450" s="154">
        <f>IFERROR(VLOOKUP(A450,'งบทดลอง รพ.'!$A$2:$C$609,3,0),0)</f>
        <v>6028.42</v>
      </c>
      <c r="E450" s="99" t="s">
        <v>1389</v>
      </c>
      <c r="F450" s="99" t="s">
        <v>39</v>
      </c>
      <c r="G450" s="95" t="s">
        <v>1414</v>
      </c>
      <c r="H450" s="95"/>
    </row>
    <row r="451" spans="1:8" ht="23.25" hidden="1" x14ac:dyDescent="0.35">
      <c r="A451" s="161" t="s">
        <v>465</v>
      </c>
      <c r="B451" s="161" t="s">
        <v>466</v>
      </c>
      <c r="C451" s="154">
        <f>IFERROR(VLOOKUP(A451,'งบทดลอง รพ.'!$A$2:$C$609,3,0),0)</f>
        <v>0</v>
      </c>
      <c r="E451" s="99" t="s">
        <v>1389</v>
      </c>
      <c r="F451" s="99" t="s">
        <v>39</v>
      </c>
      <c r="G451" s="95" t="s">
        <v>1414</v>
      </c>
      <c r="H451" s="95"/>
    </row>
    <row r="452" spans="1:8" ht="23.25" hidden="1" x14ac:dyDescent="0.35">
      <c r="A452" s="161" t="s">
        <v>467</v>
      </c>
      <c r="B452" s="161" t="s">
        <v>468</v>
      </c>
      <c r="C452" s="154">
        <f>IFERROR(VLOOKUP(A452,'งบทดลอง รพ.'!$A$2:$C$609,3,0),0)</f>
        <v>0</v>
      </c>
      <c r="E452" s="99" t="s">
        <v>1389</v>
      </c>
      <c r="F452" s="99" t="s">
        <v>39</v>
      </c>
      <c r="G452" s="95" t="s">
        <v>1414</v>
      </c>
      <c r="H452" s="95"/>
    </row>
    <row r="453" spans="1:8" ht="23.25" hidden="1" x14ac:dyDescent="0.35">
      <c r="A453" s="161" t="s">
        <v>469</v>
      </c>
      <c r="B453" s="161" t="s">
        <v>470</v>
      </c>
      <c r="C453" s="154">
        <f>IFERROR(VLOOKUP(A453,'งบทดลอง รพ.'!$A$2:$C$609,3,0),0)</f>
        <v>0</v>
      </c>
      <c r="E453" s="99" t="s">
        <v>1389</v>
      </c>
      <c r="F453" s="99" t="s">
        <v>39</v>
      </c>
      <c r="G453" s="95" t="s">
        <v>1414</v>
      </c>
      <c r="H453" s="95"/>
    </row>
    <row r="454" spans="1:8" ht="23.25" hidden="1" x14ac:dyDescent="0.35">
      <c r="A454" s="161" t="s">
        <v>471</v>
      </c>
      <c r="B454" s="161" t="s">
        <v>472</v>
      </c>
      <c r="C454" s="154">
        <f>IFERROR(VLOOKUP(A454,'งบทดลอง รพ.'!$A$2:$C$609,3,0),0)</f>
        <v>0</v>
      </c>
      <c r="E454" s="99" t="s">
        <v>1389</v>
      </c>
      <c r="F454" s="99" t="s">
        <v>39</v>
      </c>
      <c r="G454" s="95" t="s">
        <v>1414</v>
      </c>
      <c r="H454" s="95"/>
    </row>
    <row r="455" spans="1:8" ht="23.25" hidden="1" x14ac:dyDescent="0.35">
      <c r="A455" s="161" t="s">
        <v>473</v>
      </c>
      <c r="B455" s="161" t="s">
        <v>474</v>
      </c>
      <c r="C455" s="154">
        <f>IFERROR(VLOOKUP(A455,'งบทดลอง รพ.'!$A$2:$C$609,3,0),0)</f>
        <v>0</v>
      </c>
      <c r="E455" s="99" t="s">
        <v>1389</v>
      </c>
      <c r="F455" s="99" t="s">
        <v>39</v>
      </c>
      <c r="G455" s="95" t="s">
        <v>1414</v>
      </c>
      <c r="H455" s="95"/>
    </row>
    <row r="456" spans="1:8" ht="23.25" hidden="1" x14ac:dyDescent="0.35">
      <c r="A456" s="161" t="s">
        <v>475</v>
      </c>
      <c r="B456" s="161" t="s">
        <v>476</v>
      </c>
      <c r="C456" s="154">
        <f>IFERROR(VLOOKUP(A456,'งบทดลอง รพ.'!$A$2:$C$609,3,0),0)</f>
        <v>97707.17</v>
      </c>
      <c r="E456" s="99" t="s">
        <v>1391</v>
      </c>
      <c r="F456" s="99" t="s">
        <v>39</v>
      </c>
      <c r="G456" s="95" t="s">
        <v>1414</v>
      </c>
      <c r="H456" s="95"/>
    </row>
    <row r="457" spans="1:8" ht="23.25" hidden="1" x14ac:dyDescent="0.35">
      <c r="A457" s="161" t="s">
        <v>477</v>
      </c>
      <c r="B457" s="161" t="s">
        <v>478</v>
      </c>
      <c r="C457" s="154">
        <f>IFERROR(VLOOKUP(A457,'งบทดลอง รพ.'!$A$2:$C$609,3,0),0)</f>
        <v>3164.29</v>
      </c>
      <c r="E457" s="99" t="s">
        <v>1391</v>
      </c>
      <c r="F457" s="99" t="s">
        <v>39</v>
      </c>
      <c r="G457" s="95" t="s">
        <v>1414</v>
      </c>
      <c r="H457" s="95"/>
    </row>
    <row r="458" spans="1:8" ht="23.25" hidden="1" x14ac:dyDescent="0.35">
      <c r="A458" s="161" t="s">
        <v>479</v>
      </c>
      <c r="B458" s="161" t="s">
        <v>480</v>
      </c>
      <c r="C458" s="154">
        <f>IFERROR(VLOOKUP(A458,'งบทดลอง รพ.'!$A$2:$C$609,3,0),0)</f>
        <v>4460.37</v>
      </c>
      <c r="E458" s="99" t="s">
        <v>1391</v>
      </c>
      <c r="F458" s="99" t="s">
        <v>39</v>
      </c>
      <c r="G458" s="95" t="s">
        <v>1414</v>
      </c>
      <c r="H458" s="95"/>
    </row>
    <row r="459" spans="1:8" ht="23.25" hidden="1" x14ac:dyDescent="0.35">
      <c r="A459" s="161" t="s">
        <v>481</v>
      </c>
      <c r="B459" s="161" t="s">
        <v>482</v>
      </c>
      <c r="C459" s="154">
        <f>IFERROR(VLOOKUP(A459,'งบทดลอง รพ.'!$A$2:$C$609,3,0),0)</f>
        <v>7045.16</v>
      </c>
      <c r="E459" s="99" t="s">
        <v>1391</v>
      </c>
      <c r="F459" s="99" t="s">
        <v>39</v>
      </c>
      <c r="G459" s="95" t="s">
        <v>1414</v>
      </c>
      <c r="H459" s="95"/>
    </row>
    <row r="460" spans="1:8" ht="23.25" hidden="1" x14ac:dyDescent="0.35">
      <c r="A460" s="161" t="s">
        <v>483</v>
      </c>
      <c r="B460" s="161" t="s">
        <v>484</v>
      </c>
      <c r="C460" s="154">
        <f>IFERROR(VLOOKUP(A460,'งบทดลอง รพ.'!$A$2:$C$609,3,0),0)</f>
        <v>0</v>
      </c>
      <c r="E460" s="99" t="s">
        <v>1391</v>
      </c>
      <c r="F460" s="99" t="s">
        <v>39</v>
      </c>
      <c r="G460" s="95" t="s">
        <v>1414</v>
      </c>
      <c r="H460" s="95"/>
    </row>
    <row r="461" spans="1:8" ht="23.25" hidden="1" x14ac:dyDescent="0.35">
      <c r="A461" s="161" t="s">
        <v>485</v>
      </c>
      <c r="B461" s="161" t="s">
        <v>486</v>
      </c>
      <c r="C461" s="154">
        <f>IFERROR(VLOOKUP(A461,'งบทดลอง รพ.'!$A$2:$C$609,3,0),0)</f>
        <v>1842.88</v>
      </c>
      <c r="E461" s="99" t="s">
        <v>1391</v>
      </c>
      <c r="F461" s="99" t="s">
        <v>39</v>
      </c>
      <c r="G461" s="95" t="s">
        <v>1414</v>
      </c>
      <c r="H461" s="95"/>
    </row>
    <row r="462" spans="1:8" ht="23.25" hidden="1" x14ac:dyDescent="0.35">
      <c r="A462" s="161" t="s">
        <v>487</v>
      </c>
      <c r="B462" s="161" t="s">
        <v>488</v>
      </c>
      <c r="C462" s="154">
        <f>IFERROR(VLOOKUP(A462,'งบทดลอง รพ.'!$A$2:$C$609,3,0),0)</f>
        <v>65022.5</v>
      </c>
      <c r="E462" s="99" t="s">
        <v>1391</v>
      </c>
      <c r="F462" s="99" t="s">
        <v>39</v>
      </c>
      <c r="G462" s="95" t="s">
        <v>1414</v>
      </c>
      <c r="H462" s="95"/>
    </row>
    <row r="463" spans="1:8" ht="23.25" hidden="1" x14ac:dyDescent="0.35">
      <c r="A463" s="161" t="s">
        <v>489</v>
      </c>
      <c r="B463" s="161" t="s">
        <v>490</v>
      </c>
      <c r="C463" s="154">
        <f>IFERROR(VLOOKUP(A463,'งบทดลอง รพ.'!$A$2:$C$609,3,0),0)</f>
        <v>221800.35</v>
      </c>
      <c r="E463" s="99" t="s">
        <v>1391</v>
      </c>
      <c r="F463" s="99" t="s">
        <v>39</v>
      </c>
      <c r="G463" s="95" t="s">
        <v>1414</v>
      </c>
      <c r="H463" s="95"/>
    </row>
    <row r="464" spans="1:8" ht="23.25" hidden="1" x14ac:dyDescent="0.35">
      <c r="A464" s="161" t="s">
        <v>491</v>
      </c>
      <c r="B464" s="161" t="s">
        <v>492</v>
      </c>
      <c r="C464" s="154">
        <f>IFERROR(VLOOKUP(A464,'งบทดลอง รพ.'!$A$2:$C$609,3,0),0)</f>
        <v>46003.05</v>
      </c>
      <c r="E464" s="99" t="s">
        <v>1391</v>
      </c>
      <c r="F464" s="99" t="s">
        <v>39</v>
      </c>
      <c r="G464" s="95" t="s">
        <v>1414</v>
      </c>
      <c r="H464" s="95"/>
    </row>
    <row r="465" spans="1:8" ht="23.25" hidden="1" x14ac:dyDescent="0.35">
      <c r="A465" s="161" t="s">
        <v>493</v>
      </c>
      <c r="B465" s="161" t="s">
        <v>494</v>
      </c>
      <c r="C465" s="154">
        <f>IFERROR(VLOOKUP(A465,'งบทดลอง รพ.'!$A$2:$C$609,3,0),0)</f>
        <v>0</v>
      </c>
      <c r="E465" s="99" t="s">
        <v>1391</v>
      </c>
      <c r="F465" s="99" t="s">
        <v>39</v>
      </c>
      <c r="G465" s="95" t="s">
        <v>1414</v>
      </c>
      <c r="H465" s="95"/>
    </row>
    <row r="466" spans="1:8" ht="23.25" hidden="1" x14ac:dyDescent="0.35">
      <c r="A466" s="161" t="s">
        <v>495</v>
      </c>
      <c r="B466" s="161" t="s">
        <v>496</v>
      </c>
      <c r="C466" s="154">
        <f>IFERROR(VLOOKUP(A466,'งบทดลอง รพ.'!$A$2:$C$609,3,0),0)</f>
        <v>0</v>
      </c>
      <c r="E466" s="99" t="s">
        <v>1393</v>
      </c>
      <c r="F466" s="99" t="s">
        <v>39</v>
      </c>
      <c r="G466" s="95" t="s">
        <v>1414</v>
      </c>
      <c r="H466" s="95"/>
    </row>
    <row r="467" spans="1:8" ht="23.25" hidden="1" x14ac:dyDescent="0.35">
      <c r="A467" s="158" t="s">
        <v>1182</v>
      </c>
      <c r="B467" s="158" t="s">
        <v>1183</v>
      </c>
      <c r="C467" s="154">
        <f>IFERROR(VLOOKUP(A467,'งบทดลอง รพ.'!$A$2:$C$609,3,0),0)</f>
        <v>0</v>
      </c>
      <c r="E467" s="99" t="s">
        <v>1393</v>
      </c>
      <c r="F467" s="99" t="s">
        <v>39</v>
      </c>
      <c r="G467" s="95" t="s">
        <v>1412</v>
      </c>
      <c r="H467" s="95"/>
    </row>
    <row r="468" spans="1:8" ht="23.25" hidden="1" x14ac:dyDescent="0.35">
      <c r="A468" s="161" t="s">
        <v>497</v>
      </c>
      <c r="B468" s="161" t="s">
        <v>498</v>
      </c>
      <c r="C468" s="154">
        <f>IFERROR(VLOOKUP(A468,'งบทดลอง รพ.'!$A$2:$C$609,3,0),0)</f>
        <v>0</v>
      </c>
      <c r="E468" s="99" t="s">
        <v>1393</v>
      </c>
      <c r="F468" s="99" t="s">
        <v>39</v>
      </c>
      <c r="G468" s="95" t="s">
        <v>1414</v>
      </c>
      <c r="H468" s="95"/>
    </row>
    <row r="469" spans="1:8" ht="23.25" hidden="1" x14ac:dyDescent="0.35">
      <c r="A469" s="161" t="s">
        <v>499</v>
      </c>
      <c r="B469" s="161" t="s">
        <v>500</v>
      </c>
      <c r="C469" s="154">
        <f>IFERROR(VLOOKUP(A469,'งบทดลอง รพ.'!$A$2:$C$609,3,0),0)</f>
        <v>0</v>
      </c>
      <c r="E469" s="99" t="s">
        <v>1389</v>
      </c>
      <c r="F469" s="99" t="s">
        <v>39</v>
      </c>
      <c r="G469" s="95" t="s">
        <v>1414</v>
      </c>
      <c r="H469" s="95"/>
    </row>
    <row r="470" spans="1:8" ht="23.25" hidden="1" x14ac:dyDescent="0.35">
      <c r="A470" s="161" t="s">
        <v>501</v>
      </c>
      <c r="B470" s="161" t="s">
        <v>502</v>
      </c>
      <c r="C470" s="154">
        <f>IFERROR(VLOOKUP(A470,'งบทดลอง รพ.'!$A$2:$C$609,3,0),0)</f>
        <v>0</v>
      </c>
      <c r="E470" s="99" t="s">
        <v>1389</v>
      </c>
      <c r="F470" s="99" t="s">
        <v>39</v>
      </c>
      <c r="G470" s="95" t="s">
        <v>1414</v>
      </c>
      <c r="H470" s="95"/>
    </row>
    <row r="471" spans="1:8" ht="23.25" hidden="1" x14ac:dyDescent="0.35">
      <c r="A471" s="159" t="s">
        <v>1184</v>
      </c>
      <c r="B471" s="159" t="s">
        <v>1185</v>
      </c>
      <c r="C471" s="154">
        <f>IFERROR(VLOOKUP(A471,'งบทดลอง รพ.'!$A$2:$C$609,3,0),0)</f>
        <v>0</v>
      </c>
      <c r="E471" s="99" t="s">
        <v>1401</v>
      </c>
      <c r="F471" s="99" t="s">
        <v>41</v>
      </c>
      <c r="G471" s="95" t="s">
        <v>1412</v>
      </c>
      <c r="H471" s="95"/>
    </row>
    <row r="472" spans="1:8" ht="23.25" hidden="1" x14ac:dyDescent="0.35">
      <c r="A472" s="159" t="s">
        <v>1186</v>
      </c>
      <c r="B472" s="159" t="s">
        <v>1187</v>
      </c>
      <c r="C472" s="154">
        <f>IFERROR(VLOOKUP(A472,'งบทดลอง รพ.'!$A$2:$C$609,3,0),0)</f>
        <v>0</v>
      </c>
      <c r="E472" s="99" t="s">
        <v>1401</v>
      </c>
      <c r="F472" s="99" t="s">
        <v>41</v>
      </c>
      <c r="G472" s="95" t="s">
        <v>1412</v>
      </c>
      <c r="H472" s="95"/>
    </row>
    <row r="473" spans="1:8" ht="23.25" hidden="1" x14ac:dyDescent="0.35">
      <c r="A473" s="159" t="s">
        <v>1188</v>
      </c>
      <c r="B473" s="159" t="s">
        <v>1189</v>
      </c>
      <c r="C473" s="154">
        <f>IFERROR(VLOOKUP(A473,'งบทดลอง รพ.'!$A$2:$C$609,3,0),0)</f>
        <v>0</v>
      </c>
      <c r="E473" s="99" t="s">
        <v>1401</v>
      </c>
      <c r="F473" s="99" t="s">
        <v>41</v>
      </c>
      <c r="G473" s="95" t="s">
        <v>1412</v>
      </c>
      <c r="H473" s="95"/>
    </row>
    <row r="474" spans="1:8" ht="23.25" hidden="1" x14ac:dyDescent="0.35">
      <c r="A474" s="159" t="s">
        <v>1190</v>
      </c>
      <c r="B474" s="159" t="s">
        <v>1191</v>
      </c>
      <c r="C474" s="154">
        <f>IFERROR(VLOOKUP(A474,'งบทดลอง รพ.'!$A$2:$C$609,3,0),0)</f>
        <v>0</v>
      </c>
      <c r="E474" s="99" t="s">
        <v>1401</v>
      </c>
      <c r="F474" s="99" t="s">
        <v>41</v>
      </c>
      <c r="G474" s="95" t="s">
        <v>1412</v>
      </c>
      <c r="H474" s="95"/>
    </row>
    <row r="475" spans="1:8" ht="23.25" hidden="1" x14ac:dyDescent="0.35">
      <c r="A475" s="159" t="s">
        <v>1192</v>
      </c>
      <c r="B475" s="159" t="s">
        <v>1193</v>
      </c>
      <c r="C475" s="154">
        <f>IFERROR(VLOOKUP(A475,'งบทดลอง รพ.'!$A$2:$C$609,3,0),0)</f>
        <v>0</v>
      </c>
      <c r="E475" s="99" t="s">
        <v>1401</v>
      </c>
      <c r="F475" s="99" t="s">
        <v>41</v>
      </c>
      <c r="G475" s="95" t="s">
        <v>1412</v>
      </c>
      <c r="H475" s="95"/>
    </row>
    <row r="476" spans="1:8" ht="23.25" hidden="1" x14ac:dyDescent="0.35">
      <c r="A476" s="162" t="s">
        <v>521</v>
      </c>
      <c r="B476" s="162" t="s">
        <v>522</v>
      </c>
      <c r="C476" s="154">
        <f>IFERROR(VLOOKUP(A476,'งบทดลอง รพ.'!$A$2:$C$609,3,0),0)</f>
        <v>0</v>
      </c>
      <c r="E476" s="99" t="s">
        <v>1401</v>
      </c>
      <c r="F476" s="99" t="s">
        <v>41</v>
      </c>
      <c r="G476" s="95" t="s">
        <v>1414</v>
      </c>
      <c r="H476" s="95"/>
    </row>
    <row r="477" spans="1:8" ht="23.25" hidden="1" x14ac:dyDescent="0.35">
      <c r="A477" s="162" t="s">
        <v>523</v>
      </c>
      <c r="B477" s="162" t="s">
        <v>524</v>
      </c>
      <c r="C477" s="154">
        <f>IFERROR(VLOOKUP(A477,'งบทดลอง รพ.'!$A$2:$C$609,3,0),0)</f>
        <v>0</v>
      </c>
      <c r="E477" s="99" t="s">
        <v>1401</v>
      </c>
      <c r="F477" s="99" t="s">
        <v>41</v>
      </c>
      <c r="G477" s="95" t="s">
        <v>1414</v>
      </c>
      <c r="H477" s="95"/>
    </row>
    <row r="478" spans="1:8" ht="23.25" hidden="1" x14ac:dyDescent="0.35">
      <c r="A478" s="162" t="s">
        <v>983</v>
      </c>
      <c r="B478" s="162" t="s">
        <v>984</v>
      </c>
      <c r="C478" s="154">
        <f>IFERROR(VLOOKUP(A478,'งบทดลอง รพ.'!$A$2:$C$609,3,0),0)</f>
        <v>0</v>
      </c>
      <c r="E478" s="99" t="s">
        <v>1401</v>
      </c>
      <c r="F478" s="99" t="s">
        <v>41</v>
      </c>
      <c r="G478" s="95" t="s">
        <v>1414</v>
      </c>
      <c r="H478" s="95"/>
    </row>
    <row r="479" spans="1:8" ht="23.25" hidden="1" x14ac:dyDescent="0.35">
      <c r="A479" s="162" t="s">
        <v>525</v>
      </c>
      <c r="B479" s="162" t="s">
        <v>1518</v>
      </c>
      <c r="C479" s="154">
        <f>IFERROR(VLOOKUP(A479,'งบทดลอง รพ.'!$A$2:$C$609,3,0),0)</f>
        <v>0</v>
      </c>
      <c r="E479" s="99" t="s">
        <v>1403</v>
      </c>
      <c r="F479" s="99" t="s">
        <v>734</v>
      </c>
      <c r="G479" s="95" t="s">
        <v>1414</v>
      </c>
      <c r="H479" s="95"/>
    </row>
    <row r="480" spans="1:8" ht="23.25" hidden="1" x14ac:dyDescent="0.35">
      <c r="A480" s="159" t="s">
        <v>1194</v>
      </c>
      <c r="B480" s="159" t="s">
        <v>1195</v>
      </c>
      <c r="C480" s="154">
        <f>IFERROR(VLOOKUP(A480,'งบทดลอง รพ.'!$A$2:$C$609,3,0),0)</f>
        <v>0</v>
      </c>
      <c r="E480" s="99" t="s">
        <v>1403</v>
      </c>
      <c r="F480" s="99" t="s">
        <v>734</v>
      </c>
      <c r="G480" s="95" t="s">
        <v>1412</v>
      </c>
      <c r="H480" s="95"/>
    </row>
    <row r="481" spans="1:8" ht="23.25" hidden="1" x14ac:dyDescent="0.35">
      <c r="A481" s="162" t="s">
        <v>526</v>
      </c>
      <c r="B481" s="162" t="s">
        <v>527</v>
      </c>
      <c r="C481" s="154">
        <f>IFERROR(VLOOKUP(A481,'งบทดลอง รพ.'!$A$2:$C$609,3,0),0)</f>
        <v>0</v>
      </c>
      <c r="E481" s="99" t="s">
        <v>1403</v>
      </c>
      <c r="F481" s="99" t="s">
        <v>734</v>
      </c>
      <c r="G481" s="95" t="s">
        <v>1414</v>
      </c>
      <c r="H481" s="95"/>
    </row>
    <row r="482" spans="1:8" ht="23.25" hidden="1" x14ac:dyDescent="0.35">
      <c r="A482" s="162" t="s">
        <v>528</v>
      </c>
      <c r="B482" s="162" t="s">
        <v>529</v>
      </c>
      <c r="C482" s="154">
        <f>IFERROR(VLOOKUP(A482,'งบทดลอง รพ.'!$A$2:$C$609,3,0),0)</f>
        <v>0</v>
      </c>
      <c r="E482" s="99" t="s">
        <v>1403</v>
      </c>
      <c r="F482" s="99" t="s">
        <v>734</v>
      </c>
      <c r="G482" s="95" t="s">
        <v>1414</v>
      </c>
      <c r="H482" s="95"/>
    </row>
    <row r="483" spans="1:8" ht="23.25" hidden="1" x14ac:dyDescent="0.35">
      <c r="A483" s="159" t="s">
        <v>1196</v>
      </c>
      <c r="B483" s="159" t="s">
        <v>1197</v>
      </c>
      <c r="C483" s="154">
        <f>IFERROR(VLOOKUP(A483,'งบทดลอง รพ.'!$A$2:$C$609,3,0),0)</f>
        <v>0</v>
      </c>
      <c r="E483" s="99" t="s">
        <v>1403</v>
      </c>
      <c r="F483" s="99" t="s">
        <v>734</v>
      </c>
      <c r="G483" s="95" t="s">
        <v>1412</v>
      </c>
      <c r="H483" s="95"/>
    </row>
    <row r="484" spans="1:8" ht="23.25" hidden="1" x14ac:dyDescent="0.35">
      <c r="A484" s="159" t="s">
        <v>1198</v>
      </c>
      <c r="B484" s="159" t="s">
        <v>1199</v>
      </c>
      <c r="C484" s="154">
        <f>IFERROR(VLOOKUP(A484,'งบทดลอง รพ.'!$A$2:$C$609,3,0),0)</f>
        <v>0</v>
      </c>
      <c r="E484" s="99" t="s">
        <v>1403</v>
      </c>
      <c r="F484" s="99" t="s">
        <v>734</v>
      </c>
      <c r="G484" s="95" t="s">
        <v>1412</v>
      </c>
      <c r="H484" s="95"/>
    </row>
    <row r="485" spans="1:8" ht="23.25" hidden="1" x14ac:dyDescent="0.35">
      <c r="A485" s="159" t="s">
        <v>1200</v>
      </c>
      <c r="B485" s="159" t="s">
        <v>1201</v>
      </c>
      <c r="C485" s="154">
        <f>IFERROR(VLOOKUP(A485,'งบทดลอง รพ.'!$A$2:$C$609,3,0),0)</f>
        <v>0</v>
      </c>
      <c r="E485" s="99" t="s">
        <v>1403</v>
      </c>
      <c r="F485" s="99" t="s">
        <v>734</v>
      </c>
      <c r="G485" s="95" t="s">
        <v>1412</v>
      </c>
      <c r="H485" s="95"/>
    </row>
    <row r="486" spans="1:8" ht="23.25" hidden="1" x14ac:dyDescent="0.35">
      <c r="A486" s="159" t="s">
        <v>1202</v>
      </c>
      <c r="B486" s="159" t="s">
        <v>1203</v>
      </c>
      <c r="C486" s="154">
        <f>IFERROR(VLOOKUP(A486,'งบทดลอง รพ.'!$A$2:$C$609,3,0),0)</f>
        <v>0</v>
      </c>
      <c r="E486" s="99" t="s">
        <v>1403</v>
      </c>
      <c r="F486" s="99" t="s">
        <v>734</v>
      </c>
      <c r="G486" s="95" t="s">
        <v>1412</v>
      </c>
      <c r="H486" s="95"/>
    </row>
    <row r="487" spans="1:8" ht="23.25" hidden="1" x14ac:dyDescent="0.35">
      <c r="A487" s="159" t="s">
        <v>1204</v>
      </c>
      <c r="B487" s="159" t="s">
        <v>1205</v>
      </c>
      <c r="C487" s="154">
        <f>IFERROR(VLOOKUP(A487,'งบทดลอง รพ.'!$A$2:$C$609,3,0),0)</f>
        <v>0</v>
      </c>
      <c r="E487" s="99" t="s">
        <v>1403</v>
      </c>
      <c r="F487" s="99" t="s">
        <v>734</v>
      </c>
      <c r="G487" s="95" t="s">
        <v>1412</v>
      </c>
      <c r="H487" s="95"/>
    </row>
    <row r="488" spans="1:8" ht="23.25" hidden="1" x14ac:dyDescent="0.35">
      <c r="A488" s="159" t="s">
        <v>1206</v>
      </c>
      <c r="B488" s="159" t="s">
        <v>1207</v>
      </c>
      <c r="C488" s="154">
        <f>IFERROR(VLOOKUP(A488,'งบทดลอง รพ.'!$A$2:$C$609,3,0),0)</f>
        <v>0</v>
      </c>
      <c r="E488" s="99" t="s">
        <v>1403</v>
      </c>
      <c r="F488" s="99" t="s">
        <v>734</v>
      </c>
      <c r="G488" s="95" t="s">
        <v>1412</v>
      </c>
      <c r="H488" s="95"/>
    </row>
    <row r="489" spans="1:8" ht="23.25" hidden="1" x14ac:dyDescent="0.35">
      <c r="A489" s="159" t="s">
        <v>1208</v>
      </c>
      <c r="B489" s="159" t="s">
        <v>1209</v>
      </c>
      <c r="C489" s="154">
        <f>IFERROR(VLOOKUP(A489,'งบทดลอง รพ.'!$A$2:$C$609,3,0),0)</f>
        <v>0</v>
      </c>
      <c r="E489" s="99" t="s">
        <v>1403</v>
      </c>
      <c r="F489" s="99" t="s">
        <v>734</v>
      </c>
      <c r="G489" s="95" t="s">
        <v>1412</v>
      </c>
      <c r="H489" s="95"/>
    </row>
    <row r="490" spans="1:8" ht="23.25" hidden="1" x14ac:dyDescent="0.35">
      <c r="A490" s="162" t="s">
        <v>530</v>
      </c>
      <c r="B490" s="162" t="s">
        <v>1519</v>
      </c>
      <c r="C490" s="154">
        <f>IFERROR(VLOOKUP(A490,'งบทดลอง รพ.'!$A$2:$C$609,3,0),0)</f>
        <v>0</v>
      </c>
      <c r="E490" s="99" t="s">
        <v>1403</v>
      </c>
      <c r="F490" s="99" t="s">
        <v>734</v>
      </c>
      <c r="G490" s="95" t="s">
        <v>1414</v>
      </c>
      <c r="H490" s="95"/>
    </row>
    <row r="491" spans="1:8" ht="23.25" hidden="1" x14ac:dyDescent="0.35">
      <c r="A491" s="162" t="s">
        <v>531</v>
      </c>
      <c r="B491" s="162" t="s">
        <v>1520</v>
      </c>
      <c r="C491" s="154">
        <f>IFERROR(VLOOKUP(A491,'งบทดลอง รพ.'!$A$2:$C$609,3,0),0)</f>
        <v>0</v>
      </c>
      <c r="E491" s="99" t="s">
        <v>1403</v>
      </c>
      <c r="F491" s="99" t="s">
        <v>734</v>
      </c>
      <c r="G491" s="95" t="s">
        <v>1414</v>
      </c>
      <c r="H491" s="95"/>
    </row>
    <row r="492" spans="1:8" ht="23.25" hidden="1" x14ac:dyDescent="0.35">
      <c r="A492" s="162" t="s">
        <v>985</v>
      </c>
      <c r="B492" s="162" t="s">
        <v>986</v>
      </c>
      <c r="C492" s="154">
        <f>IFERROR(VLOOKUP(A492,'งบทดลอง รพ.'!$A$2:$C$609,3,0),0)</f>
        <v>0</v>
      </c>
      <c r="E492" s="99" t="s">
        <v>1403</v>
      </c>
      <c r="F492" s="99" t="s">
        <v>734</v>
      </c>
      <c r="G492" s="95" t="s">
        <v>1414</v>
      </c>
      <c r="H492" s="95"/>
    </row>
    <row r="493" spans="1:8" ht="23.25" hidden="1" x14ac:dyDescent="0.35">
      <c r="A493" s="162" t="s">
        <v>532</v>
      </c>
      <c r="B493" s="162" t="s">
        <v>1521</v>
      </c>
      <c r="C493" s="154">
        <f>IFERROR(VLOOKUP(A493,'งบทดลอง รพ.'!$A$2:$C$609,3,0),0)</f>
        <v>0</v>
      </c>
      <c r="E493" s="99" t="s">
        <v>1403</v>
      </c>
      <c r="F493" s="99" t="s">
        <v>734</v>
      </c>
      <c r="G493" s="95" t="s">
        <v>1414</v>
      </c>
      <c r="H493" s="95"/>
    </row>
    <row r="494" spans="1:8" ht="23.25" hidden="1" x14ac:dyDescent="0.35">
      <c r="A494" s="162" t="s">
        <v>533</v>
      </c>
      <c r="B494" s="162" t="s">
        <v>1522</v>
      </c>
      <c r="C494" s="154">
        <f>IFERROR(VLOOKUP(A494,'งบทดลอง รพ.'!$A$2:$C$609,3,0),0)</f>
        <v>0</v>
      </c>
      <c r="E494" s="99" t="s">
        <v>1403</v>
      </c>
      <c r="F494" s="99" t="s">
        <v>734</v>
      </c>
      <c r="G494" s="95" t="s">
        <v>1414</v>
      </c>
      <c r="H494" s="95"/>
    </row>
    <row r="495" spans="1:8" ht="23.25" hidden="1" x14ac:dyDescent="0.35">
      <c r="A495" s="159" t="s">
        <v>1210</v>
      </c>
      <c r="B495" s="159" t="s">
        <v>1211</v>
      </c>
      <c r="C495" s="154">
        <f>IFERROR(VLOOKUP(A495,'งบทดลอง รพ.'!$A$2:$C$609,3,0),0)</f>
        <v>0</v>
      </c>
      <c r="E495" s="99" t="s">
        <v>1403</v>
      </c>
      <c r="F495" s="99" t="s">
        <v>734</v>
      </c>
      <c r="G495" s="95" t="s">
        <v>1412</v>
      </c>
      <c r="H495" s="95"/>
    </row>
    <row r="496" spans="1:8" ht="23.25" hidden="1" x14ac:dyDescent="0.35">
      <c r="A496" s="162" t="s">
        <v>534</v>
      </c>
      <c r="B496" s="162" t="s">
        <v>1523</v>
      </c>
      <c r="C496" s="154">
        <f>IFERROR(VLOOKUP(A496,'งบทดลอง รพ.'!$A$2:$C$609,3,0),0)</f>
        <v>0</v>
      </c>
      <c r="E496" s="99" t="s">
        <v>1403</v>
      </c>
      <c r="F496" s="99" t="s">
        <v>734</v>
      </c>
      <c r="G496" s="95" t="s">
        <v>1414</v>
      </c>
      <c r="H496" s="95"/>
    </row>
    <row r="497" spans="1:8" ht="23.25" hidden="1" x14ac:dyDescent="0.35">
      <c r="A497" s="159" t="s">
        <v>1212</v>
      </c>
      <c r="B497" s="159" t="s">
        <v>1213</v>
      </c>
      <c r="C497" s="154">
        <f>IFERROR(VLOOKUP(A497,'งบทดลอง รพ.'!$A$2:$C$609,3,0),0)</f>
        <v>0</v>
      </c>
      <c r="E497" s="99" t="s">
        <v>1403</v>
      </c>
      <c r="F497" s="99" t="s">
        <v>734</v>
      </c>
      <c r="G497" s="95" t="s">
        <v>1412</v>
      </c>
      <c r="H497" s="95"/>
    </row>
    <row r="498" spans="1:8" ht="23.25" hidden="1" x14ac:dyDescent="0.35">
      <c r="A498" s="162" t="s">
        <v>535</v>
      </c>
      <c r="B498" s="162" t="s">
        <v>1524</v>
      </c>
      <c r="C498" s="154">
        <f>IFERROR(VLOOKUP(A498,'งบทดลอง รพ.'!$A$2:$C$609,3,0),0)</f>
        <v>0</v>
      </c>
      <c r="E498" s="99" t="s">
        <v>1403</v>
      </c>
      <c r="F498" s="99" t="s">
        <v>734</v>
      </c>
      <c r="G498" s="95" t="s">
        <v>1414</v>
      </c>
      <c r="H498" s="95"/>
    </row>
    <row r="499" spans="1:8" ht="23.25" hidden="1" x14ac:dyDescent="0.35">
      <c r="A499" s="162" t="s">
        <v>536</v>
      </c>
      <c r="B499" s="162" t="s">
        <v>1525</v>
      </c>
      <c r="C499" s="154">
        <f>IFERROR(VLOOKUP(A499,'งบทดลอง รพ.'!$A$2:$C$609,3,0),0)</f>
        <v>0</v>
      </c>
      <c r="E499" s="99" t="s">
        <v>1403</v>
      </c>
      <c r="F499" s="99" t="s">
        <v>734</v>
      </c>
      <c r="G499" s="95" t="s">
        <v>1414</v>
      </c>
      <c r="H499" s="95"/>
    </row>
    <row r="500" spans="1:8" ht="23.25" hidden="1" x14ac:dyDescent="0.35">
      <c r="A500" s="162" t="s">
        <v>537</v>
      </c>
      <c r="B500" s="162" t="s">
        <v>1526</v>
      </c>
      <c r="C500" s="154">
        <f>IFERROR(VLOOKUP(A500,'งบทดลอง รพ.'!$A$2:$C$609,3,0),0)</f>
        <v>0</v>
      </c>
      <c r="E500" s="99" t="s">
        <v>1403</v>
      </c>
      <c r="F500" s="99" t="s">
        <v>734</v>
      </c>
      <c r="G500" s="95" t="s">
        <v>1414</v>
      </c>
      <c r="H500" s="95"/>
    </row>
    <row r="501" spans="1:8" ht="23.25" hidden="1" x14ac:dyDescent="0.35">
      <c r="A501" s="162" t="s">
        <v>538</v>
      </c>
      <c r="B501" s="162" t="s">
        <v>1527</v>
      </c>
      <c r="C501" s="154">
        <f>IFERROR(VLOOKUP(A501,'งบทดลอง รพ.'!$A$2:$C$609,3,0),0)</f>
        <v>0</v>
      </c>
      <c r="E501" s="99" t="s">
        <v>1403</v>
      </c>
      <c r="F501" s="99" t="s">
        <v>734</v>
      </c>
      <c r="G501" s="95" t="s">
        <v>1414</v>
      </c>
      <c r="H501" s="95"/>
    </row>
    <row r="502" spans="1:8" ht="23.25" hidden="1" x14ac:dyDescent="0.35">
      <c r="A502" s="159" t="s">
        <v>1214</v>
      </c>
      <c r="B502" s="159" t="s">
        <v>1215</v>
      </c>
      <c r="C502" s="154">
        <f>IFERROR(VLOOKUP(A502,'งบทดลอง รพ.'!$A$2:$C$609,3,0),0)</f>
        <v>0</v>
      </c>
      <c r="E502" s="99" t="s">
        <v>1403</v>
      </c>
      <c r="F502" s="99" t="s">
        <v>734</v>
      </c>
      <c r="G502" s="95" t="s">
        <v>1412</v>
      </c>
      <c r="H502" s="95"/>
    </row>
    <row r="503" spans="1:8" ht="23.25" hidden="1" x14ac:dyDescent="0.35">
      <c r="A503" s="159" t="s">
        <v>1216</v>
      </c>
      <c r="B503" s="159" t="s">
        <v>1217</v>
      </c>
      <c r="C503" s="154">
        <f>IFERROR(VLOOKUP(A503,'งบทดลอง รพ.'!$A$2:$C$609,3,0),0)</f>
        <v>0</v>
      </c>
      <c r="E503" s="99" t="s">
        <v>1403</v>
      </c>
      <c r="F503" s="99" t="s">
        <v>734</v>
      </c>
      <c r="G503" s="95" t="s">
        <v>1412</v>
      </c>
      <c r="H503" s="95"/>
    </row>
    <row r="504" spans="1:8" ht="23.25" hidden="1" x14ac:dyDescent="0.35">
      <c r="A504" s="159" t="s">
        <v>1218</v>
      </c>
      <c r="B504" s="159" t="s">
        <v>1219</v>
      </c>
      <c r="C504" s="154">
        <f>IFERROR(VLOOKUP(A504,'งบทดลอง รพ.'!$A$2:$C$609,3,0),0)</f>
        <v>0</v>
      </c>
      <c r="E504" s="99" t="s">
        <v>1403</v>
      </c>
      <c r="F504" s="99" t="s">
        <v>734</v>
      </c>
      <c r="G504" s="95" t="s">
        <v>1412</v>
      </c>
      <c r="H504" s="95"/>
    </row>
    <row r="505" spans="1:8" ht="23.25" hidden="1" x14ac:dyDescent="0.35">
      <c r="A505" s="159" t="s">
        <v>1220</v>
      </c>
      <c r="B505" s="159" t="s">
        <v>1221</v>
      </c>
      <c r="C505" s="154">
        <f>IFERROR(VLOOKUP(A505,'งบทดลอง รพ.'!$A$2:$C$609,3,0),0)</f>
        <v>0</v>
      </c>
      <c r="E505" s="99" t="s">
        <v>1403</v>
      </c>
      <c r="F505" s="99" t="s">
        <v>734</v>
      </c>
      <c r="G505" s="95" t="s">
        <v>1412</v>
      </c>
      <c r="H505" s="95"/>
    </row>
    <row r="506" spans="1:8" ht="23.25" hidden="1" x14ac:dyDescent="0.35">
      <c r="A506" s="159" t="s">
        <v>1222</v>
      </c>
      <c r="B506" s="159" t="s">
        <v>1223</v>
      </c>
      <c r="C506" s="154">
        <f>IFERROR(VLOOKUP(A506,'งบทดลอง รพ.'!$A$2:$C$609,3,0),0)</f>
        <v>0</v>
      </c>
      <c r="E506" s="99" t="s">
        <v>1403</v>
      </c>
      <c r="F506" s="99" t="s">
        <v>734</v>
      </c>
      <c r="G506" s="95" t="s">
        <v>1412</v>
      </c>
      <c r="H506" s="95"/>
    </row>
    <row r="507" spans="1:8" ht="23.25" hidden="1" x14ac:dyDescent="0.35">
      <c r="A507" s="159" t="s">
        <v>1224</v>
      </c>
      <c r="B507" s="159" t="s">
        <v>1225</v>
      </c>
      <c r="C507" s="154">
        <f>IFERROR(VLOOKUP(A507,'งบทดลอง รพ.'!$A$2:$C$609,3,0),0)</f>
        <v>0</v>
      </c>
      <c r="E507" s="99" t="s">
        <v>1403</v>
      </c>
      <c r="F507" s="99" t="s">
        <v>734</v>
      </c>
      <c r="G507" s="95" t="s">
        <v>1412</v>
      </c>
      <c r="H507" s="95"/>
    </row>
    <row r="508" spans="1:8" ht="23.25" hidden="1" x14ac:dyDescent="0.35">
      <c r="A508" s="162" t="s">
        <v>539</v>
      </c>
      <c r="B508" s="162" t="s">
        <v>1528</v>
      </c>
      <c r="C508" s="154">
        <f>IFERROR(VLOOKUP(A508,'งบทดลอง รพ.'!$A$2:$C$609,3,0),0)</f>
        <v>0</v>
      </c>
      <c r="E508" s="99" t="s">
        <v>1403</v>
      </c>
      <c r="F508" s="99" t="s">
        <v>734</v>
      </c>
      <c r="G508" s="95" t="s">
        <v>1414</v>
      </c>
      <c r="H508" s="95"/>
    </row>
    <row r="509" spans="1:8" ht="23.25" hidden="1" x14ac:dyDescent="0.35">
      <c r="A509" s="159" t="s">
        <v>1226</v>
      </c>
      <c r="B509" s="159" t="s">
        <v>1227</v>
      </c>
      <c r="C509" s="154">
        <f>IFERROR(VLOOKUP(A509,'งบทดลอง รพ.'!$A$2:$C$609,3,0),0)</f>
        <v>0</v>
      </c>
      <c r="E509" s="99" t="s">
        <v>1403</v>
      </c>
      <c r="F509" s="99" t="s">
        <v>734</v>
      </c>
      <c r="G509" s="95" t="s">
        <v>1412</v>
      </c>
      <c r="H509" s="95"/>
    </row>
    <row r="510" spans="1:8" ht="23.25" hidden="1" x14ac:dyDescent="0.35">
      <c r="A510" s="159" t="s">
        <v>1228</v>
      </c>
      <c r="B510" s="159" t="s">
        <v>1229</v>
      </c>
      <c r="C510" s="154">
        <f>IFERROR(VLOOKUP(A510,'งบทดลอง รพ.'!$A$2:$C$609,3,0),0)</f>
        <v>0</v>
      </c>
      <c r="E510" s="99" t="s">
        <v>1403</v>
      </c>
      <c r="F510" s="99" t="s">
        <v>734</v>
      </c>
      <c r="G510" s="95" t="s">
        <v>1412</v>
      </c>
      <c r="H510" s="95"/>
    </row>
    <row r="511" spans="1:8" ht="23.25" hidden="1" x14ac:dyDescent="0.35">
      <c r="A511" s="162" t="s">
        <v>540</v>
      </c>
      <c r="B511" s="162" t="s">
        <v>1529</v>
      </c>
      <c r="C511" s="154">
        <f>IFERROR(VLOOKUP(A511,'งบทดลอง รพ.'!$A$2:$C$609,3,0),0)</f>
        <v>0</v>
      </c>
      <c r="E511" s="99" t="s">
        <v>1403</v>
      </c>
      <c r="F511" s="99" t="s">
        <v>734</v>
      </c>
      <c r="G511" s="95" t="s">
        <v>1414</v>
      </c>
      <c r="H511" s="95"/>
    </row>
    <row r="512" spans="1:8" ht="23.25" hidden="1" x14ac:dyDescent="0.35">
      <c r="A512" s="162" t="s">
        <v>541</v>
      </c>
      <c r="B512" s="162" t="s">
        <v>1530</v>
      </c>
      <c r="C512" s="154">
        <f>IFERROR(VLOOKUP(A512,'งบทดลอง รพ.'!$A$2:$C$609,3,0),0)</f>
        <v>0</v>
      </c>
      <c r="E512" s="99" t="s">
        <v>1403</v>
      </c>
      <c r="F512" s="99" t="s">
        <v>734</v>
      </c>
      <c r="G512" s="95" t="s">
        <v>1414</v>
      </c>
      <c r="H512" s="95"/>
    </row>
    <row r="513" spans="1:8" ht="23.25" hidden="1" x14ac:dyDescent="0.35">
      <c r="A513" s="162" t="s">
        <v>542</v>
      </c>
      <c r="B513" s="162" t="s">
        <v>543</v>
      </c>
      <c r="C513" s="154">
        <f>IFERROR(VLOOKUP(A513,'งบทดลอง รพ.'!$A$2:$C$609,3,0),0)</f>
        <v>0</v>
      </c>
      <c r="E513" s="99" t="s">
        <v>1403</v>
      </c>
      <c r="F513" s="99" t="s">
        <v>734</v>
      </c>
      <c r="G513" s="95" t="s">
        <v>1414</v>
      </c>
      <c r="H513" s="95"/>
    </row>
    <row r="514" spans="1:8" ht="23.25" hidden="1" x14ac:dyDescent="0.35">
      <c r="A514" s="159" t="s">
        <v>1230</v>
      </c>
      <c r="B514" s="159" t="s">
        <v>1231</v>
      </c>
      <c r="C514" s="154">
        <f>IFERROR(VLOOKUP(A514,'งบทดลอง รพ.'!$A$2:$C$609,3,0),0)</f>
        <v>0</v>
      </c>
      <c r="E514" s="99" t="s">
        <v>1403</v>
      </c>
      <c r="F514" s="99" t="s">
        <v>734</v>
      </c>
      <c r="G514" s="95" t="s">
        <v>1412</v>
      </c>
      <c r="H514" s="95"/>
    </row>
    <row r="515" spans="1:8" ht="23.25" hidden="1" x14ac:dyDescent="0.35">
      <c r="A515" s="162" t="s">
        <v>544</v>
      </c>
      <c r="B515" s="162" t="s">
        <v>545</v>
      </c>
      <c r="C515" s="154">
        <f>IFERROR(VLOOKUP(A515,'งบทดลอง รพ.'!$A$2:$C$609,3,0),0)</f>
        <v>0</v>
      </c>
      <c r="E515" s="99" t="s">
        <v>1403</v>
      </c>
      <c r="F515" s="99" t="s">
        <v>734</v>
      </c>
      <c r="G515" s="95" t="s">
        <v>1414</v>
      </c>
      <c r="H515" s="95"/>
    </row>
    <row r="516" spans="1:8" ht="23.25" hidden="1" x14ac:dyDescent="0.35">
      <c r="A516" s="159" t="s">
        <v>1232</v>
      </c>
      <c r="B516" s="159" t="s">
        <v>1233</v>
      </c>
      <c r="C516" s="154">
        <f>IFERROR(VLOOKUP(A516,'งบทดลอง รพ.'!$A$2:$C$609,3,0),0)</f>
        <v>0</v>
      </c>
      <c r="E516" s="99" t="s">
        <v>1403</v>
      </c>
      <c r="F516" s="99" t="s">
        <v>734</v>
      </c>
      <c r="G516" s="95" t="s">
        <v>1412</v>
      </c>
      <c r="H516" s="95"/>
    </row>
    <row r="517" spans="1:8" ht="23.25" hidden="1" x14ac:dyDescent="0.35">
      <c r="A517" s="159" t="s">
        <v>1234</v>
      </c>
      <c r="B517" s="159" t="s">
        <v>1235</v>
      </c>
      <c r="C517" s="154">
        <f>IFERROR(VLOOKUP(A517,'งบทดลอง รพ.'!$A$2:$C$609,3,0),0)</f>
        <v>0</v>
      </c>
      <c r="E517" s="99" t="s">
        <v>1403</v>
      </c>
      <c r="F517" s="99" t="s">
        <v>734</v>
      </c>
      <c r="G517" s="95" t="s">
        <v>1412</v>
      </c>
      <c r="H517" s="95"/>
    </row>
    <row r="518" spans="1:8" ht="23.25" hidden="1" x14ac:dyDescent="0.35">
      <c r="A518" s="159" t="s">
        <v>1236</v>
      </c>
      <c r="B518" s="159" t="s">
        <v>1237</v>
      </c>
      <c r="C518" s="154">
        <f>IFERROR(VLOOKUP(A518,'งบทดลอง รพ.'!$A$2:$C$609,3,0),0)</f>
        <v>0</v>
      </c>
      <c r="E518" s="99" t="s">
        <v>1403</v>
      </c>
      <c r="F518" s="99" t="s">
        <v>734</v>
      </c>
      <c r="G518" s="95" t="s">
        <v>1412</v>
      </c>
      <c r="H518" s="95"/>
    </row>
    <row r="519" spans="1:8" ht="23.25" hidden="1" x14ac:dyDescent="0.35">
      <c r="A519" s="159" t="s">
        <v>1238</v>
      </c>
      <c r="B519" s="159" t="s">
        <v>1239</v>
      </c>
      <c r="C519" s="154">
        <f>IFERROR(VLOOKUP(A519,'งบทดลอง รพ.'!$A$2:$C$609,3,0),0)</f>
        <v>0</v>
      </c>
      <c r="E519" s="99" t="s">
        <v>1403</v>
      </c>
      <c r="F519" s="99" t="s">
        <v>734</v>
      </c>
      <c r="G519" s="95" t="s">
        <v>1412</v>
      </c>
      <c r="H519" s="95"/>
    </row>
    <row r="520" spans="1:8" ht="23.25" hidden="1" x14ac:dyDescent="0.35">
      <c r="A520" s="159" t="s">
        <v>1240</v>
      </c>
      <c r="B520" s="159" t="s">
        <v>1241</v>
      </c>
      <c r="C520" s="154">
        <f>IFERROR(VLOOKUP(A520,'งบทดลอง รพ.'!$A$2:$C$609,3,0),0)</f>
        <v>0</v>
      </c>
      <c r="E520" s="99" t="s">
        <v>1403</v>
      </c>
      <c r="F520" s="99" t="s">
        <v>734</v>
      </c>
      <c r="G520" s="95" t="s">
        <v>1412</v>
      </c>
      <c r="H520" s="95"/>
    </row>
    <row r="521" spans="1:8" ht="23.25" hidden="1" x14ac:dyDescent="0.35">
      <c r="A521" s="159" t="s">
        <v>1242</v>
      </c>
      <c r="B521" s="159" t="s">
        <v>1243</v>
      </c>
      <c r="C521" s="154">
        <f>IFERROR(VLOOKUP(A521,'งบทดลอง รพ.'!$A$2:$C$609,3,0),0)</f>
        <v>0</v>
      </c>
      <c r="E521" s="99" t="s">
        <v>1403</v>
      </c>
      <c r="F521" s="99" t="s">
        <v>734</v>
      </c>
      <c r="G521" s="95" t="s">
        <v>1412</v>
      </c>
      <c r="H521" s="95"/>
    </row>
    <row r="522" spans="1:8" ht="23.25" hidden="1" x14ac:dyDescent="0.35">
      <c r="A522" s="159" t="s">
        <v>1244</v>
      </c>
      <c r="B522" s="159" t="s">
        <v>1245</v>
      </c>
      <c r="C522" s="154">
        <f>IFERROR(VLOOKUP(A522,'งบทดลอง รพ.'!$A$2:$C$609,3,0),0)</f>
        <v>0</v>
      </c>
      <c r="E522" s="99" t="s">
        <v>1403</v>
      </c>
      <c r="F522" s="99" t="s">
        <v>734</v>
      </c>
      <c r="G522" s="95" t="s">
        <v>1412</v>
      </c>
      <c r="H522" s="95"/>
    </row>
    <row r="523" spans="1:8" ht="23.25" hidden="1" x14ac:dyDescent="0.35">
      <c r="A523" s="159" t="s">
        <v>1246</v>
      </c>
      <c r="B523" s="159" t="s">
        <v>1247</v>
      </c>
      <c r="C523" s="154">
        <f>IFERROR(VLOOKUP(A523,'งบทดลอง รพ.'!$A$2:$C$609,3,0),0)</f>
        <v>0</v>
      </c>
      <c r="E523" s="99" t="s">
        <v>1403</v>
      </c>
      <c r="F523" s="99" t="s">
        <v>734</v>
      </c>
      <c r="G523" s="95" t="s">
        <v>1412</v>
      </c>
      <c r="H523" s="95"/>
    </row>
    <row r="524" spans="1:8" ht="23.25" hidden="1" x14ac:dyDescent="0.35">
      <c r="A524" s="162" t="s">
        <v>546</v>
      </c>
      <c r="B524" s="162" t="s">
        <v>1531</v>
      </c>
      <c r="C524" s="154">
        <v>159832.66</v>
      </c>
      <c r="E524" s="99" t="s">
        <v>1403</v>
      </c>
      <c r="F524" s="99" t="s">
        <v>734</v>
      </c>
      <c r="G524" s="95" t="s">
        <v>1414</v>
      </c>
      <c r="H524" s="95"/>
    </row>
    <row r="525" spans="1:8" ht="23.25" hidden="1" x14ac:dyDescent="0.35">
      <c r="A525" s="162" t="s">
        <v>547</v>
      </c>
      <c r="B525" s="162" t="s">
        <v>1532</v>
      </c>
      <c r="C525" s="154">
        <f>IFERROR(VLOOKUP(A525,'งบทดลอง รพ.'!$A$2:$C$609,3,0),0)</f>
        <v>0</v>
      </c>
      <c r="E525" s="99" t="s">
        <v>1403</v>
      </c>
      <c r="F525" s="99" t="s">
        <v>734</v>
      </c>
      <c r="G525" s="95" t="s">
        <v>1414</v>
      </c>
      <c r="H525" s="95"/>
    </row>
    <row r="526" spans="1:8" ht="23.25" hidden="1" x14ac:dyDescent="0.35">
      <c r="A526" s="162" t="s">
        <v>987</v>
      </c>
      <c r="B526" s="162" t="s">
        <v>988</v>
      </c>
      <c r="C526" s="154">
        <f>IFERROR(VLOOKUP(A526,'งบทดลอง รพ.'!$A$2:$C$609,3,0),0)</f>
        <v>0</v>
      </c>
      <c r="E526" s="99" t="s">
        <v>1403</v>
      </c>
      <c r="F526" s="99" t="s">
        <v>734</v>
      </c>
      <c r="G526" s="95" t="s">
        <v>1414</v>
      </c>
      <c r="H526" s="95"/>
    </row>
    <row r="527" spans="1:8" ht="23.25" hidden="1" x14ac:dyDescent="0.35">
      <c r="A527" s="159" t="s">
        <v>1248</v>
      </c>
      <c r="B527" s="159" t="s">
        <v>1249</v>
      </c>
      <c r="C527" s="154">
        <f>IFERROR(VLOOKUP(A527,'งบทดลอง รพ.'!$A$2:$C$609,3,0),0)</f>
        <v>0</v>
      </c>
      <c r="E527" s="99" t="s">
        <v>1403</v>
      </c>
      <c r="F527" s="99" t="s">
        <v>734</v>
      </c>
      <c r="G527" s="95" t="s">
        <v>1412</v>
      </c>
      <c r="H527" s="95"/>
    </row>
    <row r="528" spans="1:8" ht="23.25" hidden="1" x14ac:dyDescent="0.35">
      <c r="A528" s="159" t="s">
        <v>1250</v>
      </c>
      <c r="B528" s="159" t="s">
        <v>1251</v>
      </c>
      <c r="C528" s="154">
        <f>IFERROR(VLOOKUP(A528,'งบทดลอง รพ.'!$A$2:$C$609,3,0),0)</f>
        <v>0</v>
      </c>
      <c r="E528" s="99" t="s">
        <v>1403</v>
      </c>
      <c r="F528" s="99" t="s">
        <v>734</v>
      </c>
      <c r="G528" s="95" t="s">
        <v>1412</v>
      </c>
      <c r="H528" s="95"/>
    </row>
    <row r="529" spans="1:8" ht="23.25" hidden="1" x14ac:dyDescent="0.35">
      <c r="A529" s="159" t="s">
        <v>1252</v>
      </c>
      <c r="B529" s="159" t="s">
        <v>1253</v>
      </c>
      <c r="C529" s="154">
        <f>IFERROR(VLOOKUP(A529,'งบทดลอง รพ.'!$A$2:$C$609,3,0),0)</f>
        <v>0</v>
      </c>
      <c r="E529" s="99" t="s">
        <v>1403</v>
      </c>
      <c r="F529" s="99" t="s">
        <v>734</v>
      </c>
      <c r="G529" s="95" t="s">
        <v>1412</v>
      </c>
      <c r="H529" s="95"/>
    </row>
    <row r="530" spans="1:8" ht="23.25" hidden="1" x14ac:dyDescent="0.35">
      <c r="A530" s="162" t="s">
        <v>548</v>
      </c>
      <c r="B530" s="162" t="s">
        <v>1533</v>
      </c>
      <c r="C530" s="154">
        <f>IFERROR(VLOOKUP(A530,'งบทดลอง รพ.'!$A$2:$C$609,3,0),0)</f>
        <v>0</v>
      </c>
      <c r="E530" s="99" t="s">
        <v>1403</v>
      </c>
      <c r="F530" s="99" t="s">
        <v>734</v>
      </c>
      <c r="G530" s="95" t="s">
        <v>1414</v>
      </c>
      <c r="H530" s="95"/>
    </row>
    <row r="531" spans="1:8" ht="23.25" hidden="1" x14ac:dyDescent="0.35">
      <c r="A531" s="162" t="s">
        <v>549</v>
      </c>
      <c r="B531" s="162" t="s">
        <v>1534</v>
      </c>
      <c r="C531" s="154">
        <f>IFERROR(VLOOKUP(A531,'งบทดลอง รพ.'!$A$2:$C$609,3,0),0)</f>
        <v>0</v>
      </c>
      <c r="E531" s="99" t="s">
        <v>1403</v>
      </c>
      <c r="F531" s="99" t="s">
        <v>734</v>
      </c>
      <c r="G531" s="95" t="s">
        <v>1414</v>
      </c>
      <c r="H531" s="95"/>
    </row>
    <row r="532" spans="1:8" ht="23.25" hidden="1" x14ac:dyDescent="0.35">
      <c r="A532" s="162" t="s">
        <v>550</v>
      </c>
      <c r="B532" s="162" t="s">
        <v>1535</v>
      </c>
      <c r="C532" s="154">
        <f>IFERROR(VLOOKUP(A532,'งบทดลอง รพ.'!$A$2:$C$609,3,0),0)</f>
        <v>0</v>
      </c>
      <c r="E532" s="99" t="s">
        <v>1403</v>
      </c>
      <c r="F532" s="99" t="s">
        <v>734</v>
      </c>
      <c r="G532" s="95" t="s">
        <v>1414</v>
      </c>
      <c r="H532" s="95"/>
    </row>
    <row r="533" spans="1:8" ht="23.25" hidden="1" x14ac:dyDescent="0.35">
      <c r="A533" s="162" t="s">
        <v>551</v>
      </c>
      <c r="B533" s="162" t="s">
        <v>1536</v>
      </c>
      <c r="C533" s="154">
        <f>IFERROR(VLOOKUP(A533,'งบทดลอง รพ.'!$A$2:$C$609,3,0),0)</f>
        <v>0</v>
      </c>
      <c r="E533" s="99" t="s">
        <v>1403</v>
      </c>
      <c r="F533" s="99" t="s">
        <v>734</v>
      </c>
      <c r="G533" s="95" t="s">
        <v>1414</v>
      </c>
      <c r="H533" s="95"/>
    </row>
    <row r="534" spans="1:8" ht="23.25" hidden="1" x14ac:dyDescent="0.35">
      <c r="A534" s="162" t="s">
        <v>552</v>
      </c>
      <c r="B534" s="162" t="s">
        <v>1537</v>
      </c>
      <c r="C534" s="154">
        <f>IFERROR(VLOOKUP(A534,'งบทดลอง รพ.'!$A$2:$C$609,3,0),0)</f>
        <v>0</v>
      </c>
      <c r="E534" s="99" t="s">
        <v>1403</v>
      </c>
      <c r="F534" s="99" t="s">
        <v>734</v>
      </c>
      <c r="G534" s="95" t="s">
        <v>1414</v>
      </c>
      <c r="H534" s="95"/>
    </row>
    <row r="535" spans="1:8" ht="23.25" hidden="1" x14ac:dyDescent="0.35">
      <c r="A535" s="162" t="s">
        <v>553</v>
      </c>
      <c r="B535" s="162" t="s">
        <v>1538</v>
      </c>
      <c r="C535" s="154">
        <f>IFERROR(VLOOKUP(A535,'งบทดลอง รพ.'!$A$2:$C$609,3,0),0)</f>
        <v>0</v>
      </c>
      <c r="E535" s="99" t="s">
        <v>1403</v>
      </c>
      <c r="F535" s="99" t="s">
        <v>734</v>
      </c>
      <c r="G535" s="95" t="s">
        <v>1414</v>
      </c>
      <c r="H535" s="95"/>
    </row>
    <row r="536" spans="1:8" ht="23.25" hidden="1" x14ac:dyDescent="0.35">
      <c r="A536" s="159" t="s">
        <v>1254</v>
      </c>
      <c r="B536" s="159" t="s">
        <v>1255</v>
      </c>
      <c r="C536" s="154">
        <f>IFERROR(VLOOKUP(A536,'งบทดลอง รพ.'!$A$2:$C$609,3,0),0)</f>
        <v>0</v>
      </c>
      <c r="E536" s="99" t="s">
        <v>1403</v>
      </c>
      <c r="F536" s="99" t="s">
        <v>734</v>
      </c>
      <c r="G536" s="95" t="s">
        <v>1412</v>
      </c>
      <c r="H536" s="95"/>
    </row>
    <row r="537" spans="1:8" ht="23.25" hidden="1" x14ac:dyDescent="0.35">
      <c r="A537" s="159" t="s">
        <v>1256</v>
      </c>
      <c r="B537" s="159" t="s">
        <v>1257</v>
      </c>
      <c r="C537" s="154">
        <f>IFERROR(VLOOKUP(A537,'งบทดลอง รพ.'!$A$2:$C$609,3,0),0)</f>
        <v>0</v>
      </c>
      <c r="E537" s="99" t="s">
        <v>1403</v>
      </c>
      <c r="F537" s="99" t="s">
        <v>734</v>
      </c>
      <c r="G537" s="95" t="s">
        <v>1412</v>
      </c>
      <c r="H537" s="95"/>
    </row>
    <row r="538" spans="1:8" ht="23.25" hidden="1" x14ac:dyDescent="0.35">
      <c r="A538" s="159" t="s">
        <v>1258</v>
      </c>
      <c r="B538" s="159" t="s">
        <v>1259</v>
      </c>
      <c r="C538" s="154">
        <f>IFERROR(VLOOKUP(A538,'งบทดลอง รพ.'!$A$2:$C$609,3,0),0)</f>
        <v>0</v>
      </c>
      <c r="E538" s="99" t="s">
        <v>1403</v>
      </c>
      <c r="F538" s="99" t="s">
        <v>734</v>
      </c>
      <c r="G538" s="95" t="s">
        <v>1412</v>
      </c>
      <c r="H538" s="95"/>
    </row>
    <row r="539" spans="1:8" ht="23.25" hidden="1" x14ac:dyDescent="0.35">
      <c r="A539" s="159" t="s">
        <v>1260</v>
      </c>
      <c r="B539" s="159" t="s">
        <v>1261</v>
      </c>
      <c r="C539" s="154">
        <f>IFERROR(VLOOKUP(A539,'งบทดลอง รพ.'!$A$2:$C$609,3,0),0)</f>
        <v>0</v>
      </c>
      <c r="E539" s="99" t="s">
        <v>1403</v>
      </c>
      <c r="F539" s="99" t="s">
        <v>734</v>
      </c>
      <c r="G539" s="95" t="s">
        <v>1412</v>
      </c>
      <c r="H539" s="95"/>
    </row>
    <row r="540" spans="1:8" ht="23.25" hidden="1" x14ac:dyDescent="0.35">
      <c r="A540" s="159" t="s">
        <v>1262</v>
      </c>
      <c r="B540" s="159" t="s">
        <v>1263</v>
      </c>
      <c r="C540" s="154">
        <f>IFERROR(VLOOKUP(A540,'งบทดลอง รพ.'!$A$2:$C$609,3,0),0)</f>
        <v>0</v>
      </c>
      <c r="E540" s="99" t="s">
        <v>1403</v>
      </c>
      <c r="F540" s="99" t="s">
        <v>734</v>
      </c>
      <c r="G540" s="95" t="s">
        <v>1412</v>
      </c>
      <c r="H540" s="95"/>
    </row>
    <row r="541" spans="1:8" ht="23.25" hidden="1" x14ac:dyDescent="0.35">
      <c r="A541" s="159" t="s">
        <v>1264</v>
      </c>
      <c r="B541" s="159" t="s">
        <v>1265</v>
      </c>
      <c r="C541" s="154">
        <f>IFERROR(VLOOKUP(A541,'งบทดลอง รพ.'!$A$2:$C$609,3,0),0)</f>
        <v>0</v>
      </c>
      <c r="E541" s="99" t="s">
        <v>1403</v>
      </c>
      <c r="F541" s="99" t="s">
        <v>734</v>
      </c>
      <c r="G541" s="95" t="s">
        <v>1412</v>
      </c>
      <c r="H541" s="95"/>
    </row>
    <row r="542" spans="1:8" ht="23.25" hidden="1" x14ac:dyDescent="0.35">
      <c r="A542" s="159" t="s">
        <v>1266</v>
      </c>
      <c r="B542" s="159" t="s">
        <v>1267</v>
      </c>
      <c r="C542" s="154">
        <f>IFERROR(VLOOKUP(A542,'งบทดลอง รพ.'!$A$2:$C$609,3,0),0)</f>
        <v>0</v>
      </c>
      <c r="E542" s="99" t="s">
        <v>1403</v>
      </c>
      <c r="F542" s="99" t="s">
        <v>734</v>
      </c>
      <c r="G542" s="95" t="s">
        <v>1412</v>
      </c>
      <c r="H542" s="95"/>
    </row>
    <row r="543" spans="1:8" ht="23.25" hidden="1" x14ac:dyDescent="0.35">
      <c r="A543" s="159" t="s">
        <v>1268</v>
      </c>
      <c r="B543" s="159" t="s">
        <v>1269</v>
      </c>
      <c r="C543" s="154">
        <f>IFERROR(VLOOKUP(A543,'งบทดลอง รพ.'!$A$2:$C$609,3,0),0)</f>
        <v>0</v>
      </c>
      <c r="E543" s="99" t="s">
        <v>1403</v>
      </c>
      <c r="F543" s="99" t="s">
        <v>734</v>
      </c>
      <c r="G543" s="95" t="s">
        <v>1412</v>
      </c>
      <c r="H543" s="95"/>
    </row>
    <row r="544" spans="1:8" ht="23.25" hidden="1" x14ac:dyDescent="0.35">
      <c r="A544" s="159" t="s">
        <v>1270</v>
      </c>
      <c r="B544" s="159" t="s">
        <v>1271</v>
      </c>
      <c r="C544" s="154">
        <f>IFERROR(VLOOKUP(A544,'งบทดลอง รพ.'!$A$2:$C$609,3,0),0)</f>
        <v>0</v>
      </c>
      <c r="E544" s="99" t="s">
        <v>1403</v>
      </c>
      <c r="F544" s="99" t="s">
        <v>734</v>
      </c>
      <c r="G544" s="95" t="s">
        <v>1412</v>
      </c>
      <c r="H544" s="95"/>
    </row>
    <row r="545" spans="1:8" ht="23.25" hidden="1" x14ac:dyDescent="0.35">
      <c r="A545" s="159" t="s">
        <v>1272</v>
      </c>
      <c r="B545" s="159" t="s">
        <v>1273</v>
      </c>
      <c r="C545" s="154">
        <f>IFERROR(VLOOKUP(A545,'งบทดลอง รพ.'!$A$2:$C$609,3,0),0)</f>
        <v>0</v>
      </c>
      <c r="E545" s="99" t="s">
        <v>1403</v>
      </c>
      <c r="F545" s="99" t="s">
        <v>734</v>
      </c>
      <c r="G545" s="95" t="s">
        <v>1412</v>
      </c>
      <c r="H545" s="95"/>
    </row>
    <row r="546" spans="1:8" ht="23.25" hidden="1" x14ac:dyDescent="0.35">
      <c r="A546" s="159" t="s">
        <v>1274</v>
      </c>
      <c r="B546" s="159" t="s">
        <v>1275</v>
      </c>
      <c r="C546" s="154">
        <f>IFERROR(VLOOKUP(A546,'งบทดลอง รพ.'!$A$2:$C$609,3,0),0)</f>
        <v>0</v>
      </c>
      <c r="E546" s="99" t="s">
        <v>1403</v>
      </c>
      <c r="F546" s="99" t="s">
        <v>734</v>
      </c>
      <c r="G546" s="95" t="s">
        <v>1412</v>
      </c>
      <c r="H546" s="95"/>
    </row>
    <row r="547" spans="1:8" ht="23.25" hidden="1" x14ac:dyDescent="0.35">
      <c r="A547" s="162" t="s">
        <v>554</v>
      </c>
      <c r="B547" s="162" t="s">
        <v>555</v>
      </c>
      <c r="C547" s="154">
        <f>IFERROR(VLOOKUP(A547,'งบทดลอง รพ.'!$A$2:$C$609,3,0),0)</f>
        <v>0</v>
      </c>
      <c r="E547" s="99" t="s">
        <v>1401</v>
      </c>
      <c r="F547" s="99" t="s">
        <v>41</v>
      </c>
      <c r="G547" s="95" t="s">
        <v>1414</v>
      </c>
      <c r="H547" s="95"/>
    </row>
    <row r="548" spans="1:8" ht="23.25" hidden="1" x14ac:dyDescent="0.35">
      <c r="A548" s="162" t="s">
        <v>556</v>
      </c>
      <c r="B548" s="162" t="s">
        <v>557</v>
      </c>
      <c r="C548" s="154">
        <f>IFERROR(VLOOKUP(A548,'งบทดลอง รพ.'!$A$2:$C$609,3,0),0)</f>
        <v>0</v>
      </c>
      <c r="E548" s="99" t="s">
        <v>1401</v>
      </c>
      <c r="F548" s="99" t="s">
        <v>41</v>
      </c>
      <c r="G548" s="95" t="s">
        <v>1414</v>
      </c>
      <c r="H548" s="95"/>
    </row>
    <row r="549" spans="1:8" ht="23.25" hidden="1" x14ac:dyDescent="0.35">
      <c r="A549" s="162" t="s">
        <v>558</v>
      </c>
      <c r="B549" s="162" t="s">
        <v>559</v>
      </c>
      <c r="C549" s="154">
        <f>IFERROR(VLOOKUP(A549,'งบทดลอง รพ.'!$A$2:$C$609,3,0),0)</f>
        <v>0</v>
      </c>
      <c r="E549" s="99" t="s">
        <v>1401</v>
      </c>
      <c r="F549" s="99" t="s">
        <v>41</v>
      </c>
      <c r="G549" s="95" t="s">
        <v>1414</v>
      </c>
      <c r="H549" s="95"/>
    </row>
    <row r="550" spans="1:8" ht="23.25" hidden="1" x14ac:dyDescent="0.35">
      <c r="A550" s="162" t="s">
        <v>560</v>
      </c>
      <c r="B550" s="162" t="s">
        <v>561</v>
      </c>
      <c r="C550" s="154">
        <f>IFERROR(VLOOKUP(A550,'งบทดลอง รพ.'!$A$2:$C$609,3,0),0)</f>
        <v>0</v>
      </c>
      <c r="E550" s="99" t="s">
        <v>1401</v>
      </c>
      <c r="F550" s="99" t="s">
        <v>41</v>
      </c>
      <c r="G550" s="95" t="s">
        <v>1414</v>
      </c>
      <c r="H550" s="95"/>
    </row>
    <row r="551" spans="1:8" ht="23.25" hidden="1" x14ac:dyDescent="0.35">
      <c r="A551" s="162" t="s">
        <v>562</v>
      </c>
      <c r="B551" s="162" t="s">
        <v>563</v>
      </c>
      <c r="C551" s="154">
        <f>IFERROR(VLOOKUP(A551,'งบทดลอง รพ.'!$A$2:$C$609,3,0),0)</f>
        <v>0</v>
      </c>
      <c r="E551" s="99" t="s">
        <v>1401</v>
      </c>
      <c r="F551" s="99" t="s">
        <v>41</v>
      </c>
      <c r="G551" s="95" t="s">
        <v>1414</v>
      </c>
      <c r="H551" s="95"/>
    </row>
    <row r="552" spans="1:8" ht="23.25" hidden="1" x14ac:dyDescent="0.35">
      <c r="A552" s="162" t="s">
        <v>564</v>
      </c>
      <c r="B552" s="162" t="s">
        <v>565</v>
      </c>
      <c r="C552" s="154">
        <f>IFERROR(VLOOKUP(A552,'งบทดลอง รพ.'!$A$2:$C$609,3,0),0)</f>
        <v>0</v>
      </c>
      <c r="E552" s="99" t="s">
        <v>1401</v>
      </c>
      <c r="F552" s="99" t="s">
        <v>41</v>
      </c>
      <c r="G552" s="95" t="s">
        <v>1414</v>
      </c>
      <c r="H552" s="95"/>
    </row>
    <row r="553" spans="1:8" ht="23.25" hidden="1" x14ac:dyDescent="0.35">
      <c r="A553" s="162" t="s">
        <v>566</v>
      </c>
      <c r="B553" s="162" t="s">
        <v>567</v>
      </c>
      <c r="C553" s="154">
        <f>IFERROR(VLOOKUP(A553,'งบทดลอง รพ.'!$A$2:$C$609,3,0),0)</f>
        <v>0</v>
      </c>
      <c r="E553" s="99" t="s">
        <v>1401</v>
      </c>
      <c r="F553" s="99" t="s">
        <v>41</v>
      </c>
      <c r="G553" s="95" t="s">
        <v>1414</v>
      </c>
      <c r="H553" s="95"/>
    </row>
    <row r="554" spans="1:8" ht="23.25" hidden="1" x14ac:dyDescent="0.35">
      <c r="A554" s="162" t="s">
        <v>568</v>
      </c>
      <c r="B554" s="162" t="s">
        <v>569</v>
      </c>
      <c r="C554" s="154">
        <f>IFERROR(VLOOKUP(A554,'งบทดลอง รพ.'!$A$2:$C$609,3,0),0)</f>
        <v>0</v>
      </c>
      <c r="E554" s="99" t="s">
        <v>1401</v>
      </c>
      <c r="F554" s="99" t="s">
        <v>41</v>
      </c>
      <c r="G554" s="95" t="s">
        <v>1414</v>
      </c>
      <c r="H554" s="95"/>
    </row>
    <row r="555" spans="1:8" ht="23.25" hidden="1" x14ac:dyDescent="0.35">
      <c r="A555" s="162" t="s">
        <v>570</v>
      </c>
      <c r="B555" s="162" t="s">
        <v>571</v>
      </c>
      <c r="C555" s="154">
        <f>IFERROR(VLOOKUP(A555,'งบทดลอง รพ.'!$A$2:$C$609,3,0),0)</f>
        <v>0</v>
      </c>
      <c r="E555" s="99" t="s">
        <v>1401</v>
      </c>
      <c r="F555" s="99" t="s">
        <v>41</v>
      </c>
      <c r="G555" s="95" t="s">
        <v>1414</v>
      </c>
      <c r="H555" s="95"/>
    </row>
    <row r="556" spans="1:8" ht="23.25" hidden="1" x14ac:dyDescent="0.35">
      <c r="A556" s="162" t="s">
        <v>572</v>
      </c>
      <c r="B556" s="162" t="s">
        <v>573</v>
      </c>
      <c r="C556" s="154">
        <f>IFERROR(VLOOKUP(A556,'งบทดลอง รพ.'!$A$2:$C$609,3,0),0)</f>
        <v>0</v>
      </c>
      <c r="E556" s="99" t="s">
        <v>1401</v>
      </c>
      <c r="F556" s="99" t="s">
        <v>41</v>
      </c>
      <c r="G556" s="95" t="s">
        <v>1414</v>
      </c>
      <c r="H556" s="95"/>
    </row>
    <row r="557" spans="1:8" ht="23.25" hidden="1" x14ac:dyDescent="0.35">
      <c r="A557" s="162" t="s">
        <v>574</v>
      </c>
      <c r="B557" s="162" t="s">
        <v>575</v>
      </c>
      <c r="C557" s="154">
        <f>IFERROR(VLOOKUP(A557,'งบทดลอง รพ.'!$A$2:$C$609,3,0),0)</f>
        <v>0</v>
      </c>
      <c r="E557" s="99" t="s">
        <v>1401</v>
      </c>
      <c r="F557" s="99" t="s">
        <v>41</v>
      </c>
      <c r="G557" s="95" t="s">
        <v>1414</v>
      </c>
      <c r="H557" s="95"/>
    </row>
    <row r="558" spans="1:8" ht="23.25" hidden="1" x14ac:dyDescent="0.35">
      <c r="A558" s="162" t="s">
        <v>576</v>
      </c>
      <c r="B558" s="162" t="s">
        <v>577</v>
      </c>
      <c r="C558" s="154">
        <f>IFERROR(VLOOKUP(A558,'งบทดลอง รพ.'!$A$2:$C$609,3,0),0)</f>
        <v>0</v>
      </c>
      <c r="E558" s="99" t="s">
        <v>1401</v>
      </c>
      <c r="F558" s="99" t="s">
        <v>41</v>
      </c>
      <c r="G558" s="95" t="s">
        <v>1414</v>
      </c>
      <c r="H558" s="95"/>
    </row>
    <row r="559" spans="1:8" ht="23.25" hidden="1" x14ac:dyDescent="0.35">
      <c r="A559" s="162" t="s">
        <v>578</v>
      </c>
      <c r="B559" s="162" t="s">
        <v>579</v>
      </c>
      <c r="C559" s="154">
        <f>IFERROR(VLOOKUP(A559,'งบทดลอง รพ.'!$A$2:$C$609,3,0),0)</f>
        <v>0</v>
      </c>
      <c r="E559" s="99" t="s">
        <v>1401</v>
      </c>
      <c r="F559" s="99" t="s">
        <v>41</v>
      </c>
      <c r="G559" s="95" t="s">
        <v>1414</v>
      </c>
      <c r="H559" s="95"/>
    </row>
    <row r="560" spans="1:8" ht="23.25" hidden="1" x14ac:dyDescent="0.35">
      <c r="A560" s="162" t="s">
        <v>580</v>
      </c>
      <c r="B560" s="162" t="s">
        <v>581</v>
      </c>
      <c r="C560" s="154">
        <f>IFERROR(VLOOKUP(A560,'งบทดลอง รพ.'!$A$2:$C$609,3,0),0)</f>
        <v>0</v>
      </c>
      <c r="E560" s="99" t="s">
        <v>1401</v>
      </c>
      <c r="F560" s="99" t="s">
        <v>41</v>
      </c>
      <c r="G560" s="95" t="s">
        <v>1414</v>
      </c>
      <c r="H560" s="95"/>
    </row>
    <row r="561" spans="1:8" ht="23.25" hidden="1" x14ac:dyDescent="0.35">
      <c r="A561" s="162" t="s">
        <v>582</v>
      </c>
      <c r="B561" s="162" t="s">
        <v>583</v>
      </c>
      <c r="C561" s="154">
        <f>IFERROR(VLOOKUP(A561,'งบทดลอง รพ.'!$A$2:$C$609,3,0),0)</f>
        <v>0</v>
      </c>
      <c r="E561" s="99" t="s">
        <v>1401</v>
      </c>
      <c r="F561" s="99" t="s">
        <v>41</v>
      </c>
      <c r="G561" s="95" t="s">
        <v>1414</v>
      </c>
      <c r="H561" s="95"/>
    </row>
    <row r="562" spans="1:8" ht="23.25" hidden="1" x14ac:dyDescent="0.35">
      <c r="A562" s="159" t="s">
        <v>1276</v>
      </c>
      <c r="B562" s="159" t="s">
        <v>1277</v>
      </c>
      <c r="C562" s="154">
        <f>IFERROR(VLOOKUP(A562,'งบทดลอง รพ.'!$A$2:$C$609,3,0),0)</f>
        <v>0</v>
      </c>
      <c r="E562" s="99" t="s">
        <v>1401</v>
      </c>
      <c r="F562" s="99" t="s">
        <v>41</v>
      </c>
      <c r="G562" s="95" t="s">
        <v>1412</v>
      </c>
      <c r="H562" s="95"/>
    </row>
    <row r="563" spans="1:8" ht="23.25" hidden="1" x14ac:dyDescent="0.35">
      <c r="A563" s="159" t="s">
        <v>1278</v>
      </c>
      <c r="B563" s="159" t="s">
        <v>1279</v>
      </c>
      <c r="C563" s="154">
        <f>IFERROR(VLOOKUP(A563,'งบทดลอง รพ.'!$A$2:$C$609,3,0),0)</f>
        <v>0</v>
      </c>
      <c r="E563" s="99" t="s">
        <v>1401</v>
      </c>
      <c r="F563" s="99" t="s">
        <v>41</v>
      </c>
      <c r="G563" s="95" t="s">
        <v>1412</v>
      </c>
      <c r="H563" s="95"/>
    </row>
    <row r="564" spans="1:8" ht="23.25" hidden="1" x14ac:dyDescent="0.35">
      <c r="A564" s="159" t="s">
        <v>1280</v>
      </c>
      <c r="B564" s="159" t="s">
        <v>1281</v>
      </c>
      <c r="C564" s="154">
        <f>IFERROR(VLOOKUP(A564,'งบทดลอง รพ.'!$A$2:$C$609,3,0),0)</f>
        <v>0</v>
      </c>
      <c r="E564" s="99" t="s">
        <v>1401</v>
      </c>
      <c r="F564" s="99" t="s">
        <v>41</v>
      </c>
      <c r="G564" s="95" t="s">
        <v>1412</v>
      </c>
      <c r="H564" s="95"/>
    </row>
    <row r="565" spans="1:8" ht="23.25" hidden="1" x14ac:dyDescent="0.35">
      <c r="A565" s="162" t="s">
        <v>584</v>
      </c>
      <c r="B565" s="162" t="s">
        <v>585</v>
      </c>
      <c r="C565" s="154">
        <f>IFERROR(VLOOKUP(A565,'งบทดลอง รพ.'!$A$2:$C$609,3,0),0)</f>
        <v>0</v>
      </c>
      <c r="E565" s="99" t="s">
        <v>1401</v>
      </c>
      <c r="F565" s="99" t="s">
        <v>41</v>
      </c>
      <c r="G565" s="95" t="s">
        <v>1414</v>
      </c>
      <c r="H565" s="95"/>
    </row>
    <row r="566" spans="1:8" ht="23.25" hidden="1" x14ac:dyDescent="0.35">
      <c r="A566" s="162" t="s">
        <v>586</v>
      </c>
      <c r="B566" s="162" t="s">
        <v>587</v>
      </c>
      <c r="C566" s="154">
        <f>IFERROR(VLOOKUP(A566,'งบทดลอง รพ.'!$A$2:$C$609,3,0),0)</f>
        <v>0</v>
      </c>
      <c r="E566" s="99" t="s">
        <v>1401</v>
      </c>
      <c r="F566" s="99" t="s">
        <v>41</v>
      </c>
      <c r="G566" s="95" t="s">
        <v>1414</v>
      </c>
      <c r="H566" s="95"/>
    </row>
    <row r="567" spans="1:8" ht="23.25" hidden="1" x14ac:dyDescent="0.35">
      <c r="A567" s="159" t="s">
        <v>1282</v>
      </c>
      <c r="B567" s="159" t="s">
        <v>1283</v>
      </c>
      <c r="C567" s="154">
        <f>IFERROR(VLOOKUP(A567,'งบทดลอง รพ.'!$A$2:$C$609,3,0),0)</f>
        <v>0</v>
      </c>
      <c r="E567" s="99" t="s">
        <v>1401</v>
      </c>
      <c r="F567" s="99" t="s">
        <v>41</v>
      </c>
      <c r="G567" s="95" t="s">
        <v>1412</v>
      </c>
      <c r="H567" s="95"/>
    </row>
    <row r="568" spans="1:8" ht="23.25" hidden="1" x14ac:dyDescent="0.35">
      <c r="A568" s="162" t="s">
        <v>588</v>
      </c>
      <c r="B568" s="162" t="s">
        <v>589</v>
      </c>
      <c r="C568" s="154">
        <f>IFERROR(VLOOKUP(A568,'งบทดลอง รพ.'!$A$2:$C$609,3,0),0)</f>
        <v>0</v>
      </c>
      <c r="E568" s="99" t="s">
        <v>1401</v>
      </c>
      <c r="F568" s="99" t="s">
        <v>41</v>
      </c>
      <c r="G568" s="95" t="s">
        <v>1414</v>
      </c>
      <c r="H568" s="95"/>
    </row>
    <row r="569" spans="1:8" ht="23.25" hidden="1" x14ac:dyDescent="0.35">
      <c r="A569" s="162" t="s">
        <v>590</v>
      </c>
      <c r="B569" s="162" t="s">
        <v>591</v>
      </c>
      <c r="C569" s="154">
        <f>IFERROR(VLOOKUP(A569,'งบทดลอง รพ.'!$A$2:$C$609,3,0),0)</f>
        <v>0</v>
      </c>
      <c r="E569" s="99" t="s">
        <v>1401</v>
      </c>
      <c r="F569" s="99" t="s">
        <v>41</v>
      </c>
      <c r="G569" s="95" t="s">
        <v>1414</v>
      </c>
      <c r="H569" s="95"/>
    </row>
    <row r="570" spans="1:8" ht="23.25" hidden="1" x14ac:dyDescent="0.35">
      <c r="A570" s="162" t="s">
        <v>592</v>
      </c>
      <c r="B570" s="162" t="s">
        <v>593</v>
      </c>
      <c r="C570" s="154">
        <f>IFERROR(VLOOKUP(A570,'งบทดลอง รพ.'!$A$2:$C$609,3,0),0)</f>
        <v>0</v>
      </c>
      <c r="E570" s="99" t="s">
        <v>1401</v>
      </c>
      <c r="F570" s="99" t="s">
        <v>41</v>
      </c>
      <c r="G570" s="95" t="s">
        <v>1414</v>
      </c>
      <c r="H570" s="95"/>
    </row>
    <row r="571" spans="1:8" ht="23.25" hidden="1" x14ac:dyDescent="0.35">
      <c r="A571" s="162" t="s">
        <v>989</v>
      </c>
      <c r="B571" s="162" t="s">
        <v>990</v>
      </c>
      <c r="C571" s="154">
        <f>IFERROR(VLOOKUP(A571,'งบทดลอง รพ.'!$A$2:$C$609,3,0),0)</f>
        <v>0</v>
      </c>
      <c r="E571" s="99" t="s">
        <v>1401</v>
      </c>
      <c r="F571" s="99" t="s">
        <v>41</v>
      </c>
      <c r="G571" s="95" t="s">
        <v>1414</v>
      </c>
      <c r="H571" s="95"/>
    </row>
    <row r="572" spans="1:8" ht="23.25" hidden="1" x14ac:dyDescent="0.35">
      <c r="A572" s="162" t="s">
        <v>991</v>
      </c>
      <c r="B572" s="162" t="s">
        <v>992</v>
      </c>
      <c r="C572" s="154">
        <f>IFERROR(VLOOKUP(A572,'งบทดลอง รพ.'!$A$2:$C$609,3,0),0)</f>
        <v>0</v>
      </c>
      <c r="E572" s="99" t="s">
        <v>1401</v>
      </c>
      <c r="F572" s="99" t="s">
        <v>41</v>
      </c>
      <c r="G572" s="95" t="s">
        <v>1414</v>
      </c>
      <c r="H572" s="95"/>
    </row>
    <row r="573" spans="1:8" ht="23.25" hidden="1" x14ac:dyDescent="0.35">
      <c r="A573" s="162" t="s">
        <v>993</v>
      </c>
      <c r="B573" s="162" t="s">
        <v>994</v>
      </c>
      <c r="C573" s="154">
        <f>IFERROR(VLOOKUP(A573,'งบทดลอง รพ.'!$A$2:$C$609,3,0),0)</f>
        <v>0</v>
      </c>
      <c r="E573" s="99" t="s">
        <v>1401</v>
      </c>
      <c r="F573" s="99" t="s">
        <v>41</v>
      </c>
      <c r="G573" s="95" t="s">
        <v>1414</v>
      </c>
      <c r="H573" s="95"/>
    </row>
    <row r="574" spans="1:8" ht="23.25" hidden="1" x14ac:dyDescent="0.35">
      <c r="A574" s="162" t="s">
        <v>594</v>
      </c>
      <c r="B574" s="162" t="s">
        <v>1539</v>
      </c>
      <c r="C574" s="154">
        <f>IFERROR(VLOOKUP(A574,'งบทดลอง รพ.'!$A$2:$C$609,3,0),0)</f>
        <v>0</v>
      </c>
      <c r="E574" s="99" t="s">
        <v>1401</v>
      </c>
      <c r="F574" s="99" t="s">
        <v>41</v>
      </c>
      <c r="G574" s="95" t="s">
        <v>1414</v>
      </c>
      <c r="H574" s="95"/>
    </row>
    <row r="575" spans="1:8" ht="23.25" hidden="1" x14ac:dyDescent="0.35">
      <c r="A575" s="162" t="s">
        <v>995</v>
      </c>
      <c r="B575" s="162" t="s">
        <v>996</v>
      </c>
      <c r="C575" s="154">
        <f>IFERROR(VLOOKUP(A575,'งบทดลอง รพ.'!$A$2:$C$609,3,0),0)</f>
        <v>0</v>
      </c>
      <c r="E575" s="99" t="s">
        <v>1401</v>
      </c>
      <c r="F575" s="99" t="s">
        <v>41</v>
      </c>
      <c r="G575" s="95" t="s">
        <v>1414</v>
      </c>
      <c r="H575" s="95"/>
    </row>
    <row r="576" spans="1:8" ht="23.25" hidden="1" x14ac:dyDescent="0.35">
      <c r="A576" s="162" t="s">
        <v>997</v>
      </c>
      <c r="B576" s="162" t="s">
        <v>998</v>
      </c>
      <c r="C576" s="154">
        <f>IFERROR(VLOOKUP(A576,'งบทดลอง รพ.'!$A$2:$C$609,3,0),0)</f>
        <v>0</v>
      </c>
      <c r="E576" s="99" t="s">
        <v>1401</v>
      </c>
      <c r="F576" s="99" t="s">
        <v>41</v>
      </c>
      <c r="G576" s="95" t="s">
        <v>1414</v>
      </c>
      <c r="H576" s="95"/>
    </row>
    <row r="577" spans="1:8" ht="23.25" hidden="1" x14ac:dyDescent="0.35">
      <c r="A577" s="162" t="s">
        <v>595</v>
      </c>
      <c r="B577" s="162" t="s">
        <v>1540</v>
      </c>
      <c r="C577" s="154">
        <f>IFERROR(VLOOKUP(A577,'งบทดลอง รพ.'!$A$2:$C$609,3,0),0)</f>
        <v>0</v>
      </c>
      <c r="E577" s="99" t="s">
        <v>1401</v>
      </c>
      <c r="F577" s="99" t="s">
        <v>41</v>
      </c>
      <c r="G577" s="95" t="s">
        <v>1414</v>
      </c>
      <c r="H577" s="95"/>
    </row>
    <row r="578" spans="1:8" ht="23.25" hidden="1" x14ac:dyDescent="0.35">
      <c r="A578" s="159" t="s">
        <v>1284</v>
      </c>
      <c r="B578" s="159" t="s">
        <v>1285</v>
      </c>
      <c r="C578" s="154">
        <f>IFERROR(VLOOKUP(A578,'งบทดลอง รพ.'!$A$2:$C$609,3,0),0)</f>
        <v>0</v>
      </c>
      <c r="E578" s="99" t="s">
        <v>1401</v>
      </c>
      <c r="F578" s="99" t="s">
        <v>41</v>
      </c>
      <c r="G578" s="95" t="s">
        <v>1412</v>
      </c>
      <c r="H578" s="95"/>
    </row>
    <row r="579" spans="1:8" ht="23.25" hidden="1" x14ac:dyDescent="0.35">
      <c r="A579" s="159" t="s">
        <v>1286</v>
      </c>
      <c r="B579" s="159" t="s">
        <v>1287</v>
      </c>
      <c r="C579" s="154">
        <f>IFERROR(VLOOKUP(A579,'งบทดลอง รพ.'!$A$2:$C$609,3,0),0)</f>
        <v>0</v>
      </c>
      <c r="E579" s="99" t="s">
        <v>1401</v>
      </c>
      <c r="F579" s="99" t="s">
        <v>41</v>
      </c>
      <c r="G579" s="95" t="s">
        <v>1412</v>
      </c>
      <c r="H579" s="95"/>
    </row>
    <row r="580" spans="1:8" ht="23.25" hidden="1" x14ac:dyDescent="0.35">
      <c r="A580" s="159" t="s">
        <v>1288</v>
      </c>
      <c r="B580" s="159" t="s">
        <v>1289</v>
      </c>
      <c r="C580" s="154">
        <f>IFERROR(VLOOKUP(A580,'งบทดลอง รพ.'!$A$2:$C$609,3,0),0)</f>
        <v>0</v>
      </c>
      <c r="E580" s="99" t="s">
        <v>1401</v>
      </c>
      <c r="F580" s="99" t="s">
        <v>41</v>
      </c>
      <c r="G580" s="95" t="s">
        <v>1412</v>
      </c>
      <c r="H580" s="95"/>
    </row>
    <row r="581" spans="1:8" ht="23.25" hidden="1" x14ac:dyDescent="0.35">
      <c r="A581" s="159" t="s">
        <v>1290</v>
      </c>
      <c r="B581" s="159" t="s">
        <v>1291</v>
      </c>
      <c r="C581" s="154">
        <f>IFERROR(VLOOKUP(A581,'งบทดลอง รพ.'!$A$2:$C$609,3,0),0)</f>
        <v>0</v>
      </c>
      <c r="E581" s="99" t="s">
        <v>1401</v>
      </c>
      <c r="F581" s="99" t="s">
        <v>41</v>
      </c>
      <c r="G581" s="95" t="s">
        <v>1412</v>
      </c>
      <c r="H581" s="95"/>
    </row>
    <row r="582" spans="1:8" ht="23.25" hidden="1" x14ac:dyDescent="0.35">
      <c r="A582" s="159" t="s">
        <v>1292</v>
      </c>
      <c r="B582" s="159" t="s">
        <v>1293</v>
      </c>
      <c r="C582" s="154">
        <f>IFERROR(VLOOKUP(A582,'งบทดลอง รพ.'!$A$2:$C$609,3,0),0)</f>
        <v>0</v>
      </c>
      <c r="E582" s="99" t="s">
        <v>1401</v>
      </c>
      <c r="F582" s="99" t="s">
        <v>41</v>
      </c>
      <c r="G582" s="95" t="s">
        <v>1412</v>
      </c>
      <c r="H582" s="95"/>
    </row>
    <row r="583" spans="1:8" ht="23.25" hidden="1" x14ac:dyDescent="0.35">
      <c r="A583" s="159" t="s">
        <v>1294</v>
      </c>
      <c r="B583" s="159" t="s">
        <v>596</v>
      </c>
      <c r="C583" s="154">
        <f>IFERROR(VLOOKUP(A583,'งบทดลอง รพ.'!$A$2:$C$609,3,0),0)</f>
        <v>0</v>
      </c>
      <c r="E583" s="99" t="s">
        <v>1401</v>
      </c>
      <c r="F583" s="99" t="s">
        <v>41</v>
      </c>
      <c r="G583" s="95" t="s">
        <v>1412</v>
      </c>
      <c r="H583" s="95"/>
    </row>
    <row r="584" spans="1:8" ht="23.25" hidden="1" x14ac:dyDescent="0.35">
      <c r="A584" s="162" t="s">
        <v>999</v>
      </c>
      <c r="B584" s="162" t="s">
        <v>596</v>
      </c>
      <c r="C584" s="154">
        <f>IFERROR(VLOOKUP(A584,'งบทดลอง รพ.'!$A$2:$C$609,3,0),0)</f>
        <v>0</v>
      </c>
      <c r="E584" s="99" t="s">
        <v>1401</v>
      </c>
      <c r="F584" s="99" t="s">
        <v>41</v>
      </c>
      <c r="G584" s="95" t="s">
        <v>1414</v>
      </c>
      <c r="H584" s="95"/>
    </row>
    <row r="585" spans="1:8" ht="23.25" hidden="1" x14ac:dyDescent="0.35">
      <c r="A585" s="162" t="s">
        <v>597</v>
      </c>
      <c r="B585" s="162" t="s">
        <v>598</v>
      </c>
      <c r="C585" s="154">
        <f>IFERROR(VLOOKUP(A585,'งบทดลอง รพ.'!$A$2:$C$609,3,0),0)</f>
        <v>0</v>
      </c>
      <c r="E585" s="99" t="s">
        <v>1401</v>
      </c>
      <c r="F585" s="99" t="s">
        <v>41</v>
      </c>
      <c r="G585" s="95" t="s">
        <v>1414</v>
      </c>
      <c r="H585" s="95"/>
    </row>
    <row r="586" spans="1:8" ht="23.25" hidden="1" x14ac:dyDescent="0.35">
      <c r="A586" s="162" t="s">
        <v>599</v>
      </c>
      <c r="B586" s="162" t="s">
        <v>600</v>
      </c>
      <c r="C586" s="154">
        <f>IFERROR(VLOOKUP(A586,'งบทดลอง รพ.'!$A$2:$C$609,3,0),0)</f>
        <v>0</v>
      </c>
      <c r="E586" s="99" t="s">
        <v>1401</v>
      </c>
      <c r="F586" s="99" t="s">
        <v>41</v>
      </c>
      <c r="G586" s="95" t="s">
        <v>1414</v>
      </c>
      <c r="H586" s="95"/>
    </row>
    <row r="587" spans="1:8" ht="23.25" hidden="1" x14ac:dyDescent="0.35">
      <c r="A587" s="159" t="s">
        <v>1295</v>
      </c>
      <c r="B587" s="159" t="s">
        <v>1296</v>
      </c>
      <c r="C587" s="154">
        <f>IFERROR(VLOOKUP(A587,'งบทดลอง รพ.'!$A$2:$C$609,3,0),0)</f>
        <v>0</v>
      </c>
      <c r="E587" s="99" t="s">
        <v>1401</v>
      </c>
      <c r="F587" s="99" t="s">
        <v>41</v>
      </c>
      <c r="G587" s="95" t="s">
        <v>1412</v>
      </c>
      <c r="H587" s="95"/>
    </row>
    <row r="588" spans="1:8" ht="23.25" hidden="1" x14ac:dyDescent="0.35">
      <c r="A588" s="162" t="s">
        <v>601</v>
      </c>
      <c r="B588" s="162" t="s">
        <v>602</v>
      </c>
      <c r="C588" s="154">
        <f>IFERROR(VLOOKUP(A588,'งบทดลอง รพ.'!$A$2:$C$609,3,0),0)</f>
        <v>0</v>
      </c>
      <c r="E588" s="99" t="s">
        <v>1401</v>
      </c>
      <c r="F588" s="99" t="s">
        <v>41</v>
      </c>
      <c r="G588" s="95" t="s">
        <v>1414</v>
      </c>
      <c r="H588" s="95"/>
    </row>
    <row r="589" spans="1:8" ht="23.25" hidden="1" x14ac:dyDescent="0.35">
      <c r="A589" s="162" t="s">
        <v>603</v>
      </c>
      <c r="B589" s="162" t="s">
        <v>604</v>
      </c>
      <c r="C589" s="154">
        <f>IFERROR(VLOOKUP(A589,'งบทดลอง รพ.'!$A$2:$C$609,3,0),0)</f>
        <v>90</v>
      </c>
      <c r="E589" s="99" t="s">
        <v>1401</v>
      </c>
      <c r="F589" s="99" t="s">
        <v>41</v>
      </c>
      <c r="G589" s="95" t="s">
        <v>1414</v>
      </c>
      <c r="H589" s="95"/>
    </row>
    <row r="590" spans="1:8" ht="23.25" hidden="1" x14ac:dyDescent="0.35">
      <c r="A590" s="162" t="s">
        <v>605</v>
      </c>
      <c r="B590" s="162" t="s">
        <v>1541</v>
      </c>
      <c r="C590" s="154">
        <f>IFERROR(VLOOKUP(A590,'งบทดลอง รพ.'!$A$2:$C$609,3,0),0)</f>
        <v>0</v>
      </c>
      <c r="E590" s="99" t="s">
        <v>1401</v>
      </c>
      <c r="F590" s="99" t="s">
        <v>41</v>
      </c>
      <c r="G590" s="95" t="s">
        <v>1414</v>
      </c>
      <c r="H590" s="95"/>
    </row>
    <row r="591" spans="1:8" ht="23.25" hidden="1" x14ac:dyDescent="0.35">
      <c r="A591" s="162" t="s">
        <v>606</v>
      </c>
      <c r="B591" s="162" t="s">
        <v>1542</v>
      </c>
      <c r="C591" s="154">
        <f>IFERROR(VLOOKUP(A591,'งบทดลอง รพ.'!$A$2:$C$609,3,0),0)</f>
        <v>0</v>
      </c>
      <c r="E591" s="99" t="s">
        <v>1401</v>
      </c>
      <c r="F591" s="99" t="s">
        <v>41</v>
      </c>
      <c r="G591" s="95" t="s">
        <v>1414</v>
      </c>
      <c r="H591" s="95"/>
    </row>
    <row r="592" spans="1:8" ht="23.25" hidden="1" x14ac:dyDescent="0.35">
      <c r="A592" s="162" t="s">
        <v>607</v>
      </c>
      <c r="B592" s="162" t="s">
        <v>608</v>
      </c>
      <c r="C592" s="154">
        <f>IFERROR(VLOOKUP(A592,'งบทดลอง รพ.'!$A$2:$C$609,3,0),0)</f>
        <v>0</v>
      </c>
      <c r="E592" s="99" t="s">
        <v>1401</v>
      </c>
      <c r="F592" s="99" t="s">
        <v>41</v>
      </c>
      <c r="G592" s="95" t="s">
        <v>1414</v>
      </c>
      <c r="H592" s="95"/>
    </row>
    <row r="593" spans="1:8" ht="23.25" hidden="1" x14ac:dyDescent="0.35">
      <c r="A593" s="162" t="s">
        <v>609</v>
      </c>
      <c r="B593" s="162" t="s">
        <v>610</v>
      </c>
      <c r="C593" s="154">
        <f>IFERROR(VLOOKUP(A593,'งบทดลอง รพ.'!$A$2:$C$609,3,0),0)</f>
        <v>0</v>
      </c>
      <c r="E593" s="99" t="s">
        <v>1401</v>
      </c>
      <c r="F593" s="99" t="s">
        <v>41</v>
      </c>
      <c r="G593" s="95" t="s">
        <v>1414</v>
      </c>
      <c r="H593" s="95"/>
    </row>
    <row r="594" spans="1:8" ht="23.25" hidden="1" x14ac:dyDescent="0.35">
      <c r="A594" s="162" t="s">
        <v>611</v>
      </c>
      <c r="B594" s="162" t="s">
        <v>612</v>
      </c>
      <c r="C594" s="154">
        <f>IFERROR(VLOOKUP(A594,'งบทดลอง รพ.'!$A$2:$C$609,3,0),0)</f>
        <v>0</v>
      </c>
      <c r="E594" s="99" t="s">
        <v>1401</v>
      </c>
      <c r="F594" s="99" t="s">
        <v>41</v>
      </c>
      <c r="G594" s="95" t="s">
        <v>1414</v>
      </c>
      <c r="H594" s="95"/>
    </row>
    <row r="595" spans="1:8" ht="23.25" hidden="1" x14ac:dyDescent="0.35">
      <c r="A595" s="162" t="s">
        <v>613</v>
      </c>
      <c r="B595" s="162" t="s">
        <v>614</v>
      </c>
      <c r="C595" s="154">
        <f>IFERROR(VLOOKUP(A595,'งบทดลอง รพ.'!$A$2:$C$609,3,0),0)</f>
        <v>0</v>
      </c>
      <c r="E595" s="99" t="s">
        <v>1401</v>
      </c>
      <c r="F595" s="99" t="s">
        <v>41</v>
      </c>
      <c r="G595" s="95" t="s">
        <v>1414</v>
      </c>
      <c r="H595" s="95"/>
    </row>
    <row r="596" spans="1:8" ht="23.25" hidden="1" x14ac:dyDescent="0.35">
      <c r="A596" s="162" t="s">
        <v>615</v>
      </c>
      <c r="B596" s="162" t="s">
        <v>616</v>
      </c>
      <c r="C596" s="154">
        <f>IFERROR(VLOOKUP(A596,'งบทดลอง รพ.'!$A$2:$C$609,3,0),0)</f>
        <v>0</v>
      </c>
      <c r="E596" s="99" t="s">
        <v>1401</v>
      </c>
      <c r="F596" s="99" t="s">
        <v>41</v>
      </c>
      <c r="G596" s="95" t="s">
        <v>1414</v>
      </c>
      <c r="H596" s="95"/>
    </row>
    <row r="597" spans="1:8" ht="23.25" hidden="1" x14ac:dyDescent="0.35">
      <c r="A597" s="162" t="s">
        <v>617</v>
      </c>
      <c r="B597" s="162" t="s">
        <v>618</v>
      </c>
      <c r="C597" s="154">
        <f>IFERROR(VLOOKUP(A597,'งบทดลอง รพ.'!$A$2:$C$609,3,0),0)</f>
        <v>0</v>
      </c>
      <c r="E597" s="99" t="s">
        <v>1401</v>
      </c>
      <c r="F597" s="99" t="s">
        <v>41</v>
      </c>
      <c r="G597" s="95" t="s">
        <v>1414</v>
      </c>
      <c r="H597" s="95"/>
    </row>
    <row r="598" spans="1:8" ht="23.25" hidden="1" x14ac:dyDescent="0.35">
      <c r="A598" s="162" t="s">
        <v>619</v>
      </c>
      <c r="B598" s="162" t="s">
        <v>620</v>
      </c>
      <c r="C598" s="154">
        <f>IFERROR(VLOOKUP(A598,'งบทดลอง รพ.'!$A$2:$C$609,3,0),0)</f>
        <v>0</v>
      </c>
      <c r="E598" s="99" t="s">
        <v>1401</v>
      </c>
      <c r="F598" s="99" t="s">
        <v>41</v>
      </c>
      <c r="G598" s="95" t="s">
        <v>1414</v>
      </c>
      <c r="H598" s="95"/>
    </row>
    <row r="599" spans="1:8" ht="23.25" hidden="1" x14ac:dyDescent="0.35">
      <c r="A599" s="162" t="s">
        <v>621</v>
      </c>
      <c r="B599" s="162" t="s">
        <v>622</v>
      </c>
      <c r="C599" s="154">
        <f>IFERROR(VLOOKUP(A599,'งบทดลอง รพ.'!$A$2:$C$609,3,0),0)</f>
        <v>0</v>
      </c>
      <c r="E599" s="99" t="s">
        <v>1401</v>
      </c>
      <c r="F599" s="99" t="s">
        <v>41</v>
      </c>
      <c r="G599" s="95" t="s">
        <v>1414</v>
      </c>
      <c r="H599" s="95"/>
    </row>
  </sheetData>
  <autoFilter ref="A2:G599">
    <filterColumn colId="4">
      <filters>
        <filter val="43010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12"/>
  <sheetViews>
    <sheetView topLeftCell="A102" workbookViewId="0">
      <selection activeCell="C116" sqref="C116"/>
    </sheetView>
  </sheetViews>
  <sheetFormatPr defaultRowHeight="14.25" x14ac:dyDescent="0.2"/>
  <cols>
    <col min="1" max="1" width="16" style="361" customWidth="1"/>
    <col min="2" max="2" width="78" style="361" customWidth="1"/>
    <col min="3" max="3" width="16.625" style="374" bestFit="1" customWidth="1"/>
    <col min="4" max="4" width="5.75" style="374" customWidth="1"/>
    <col min="5" max="5" width="4.25" style="361" customWidth="1"/>
    <col min="6" max="6" width="15.125" style="361" customWidth="1"/>
    <col min="7" max="7" width="17.375" style="361" bestFit="1" customWidth="1"/>
    <col min="8" max="16384" width="9" style="361"/>
  </cols>
  <sheetData>
    <row r="1" spans="1:4" x14ac:dyDescent="0.2">
      <c r="A1" s="361" t="s">
        <v>1897</v>
      </c>
      <c r="B1" s="361" t="s">
        <v>1898</v>
      </c>
      <c r="C1" s="375" t="s">
        <v>707</v>
      </c>
      <c r="D1" s="377"/>
    </row>
    <row r="2" spans="1:4" x14ac:dyDescent="0.2">
      <c r="A2" s="361" t="s">
        <v>1703</v>
      </c>
      <c r="B2" s="361" t="s">
        <v>1704</v>
      </c>
      <c r="C2" s="362">
        <v>0</v>
      </c>
      <c r="D2" s="362"/>
    </row>
    <row r="3" spans="1:4" x14ac:dyDescent="0.2">
      <c r="A3" s="361" t="s">
        <v>1705</v>
      </c>
      <c r="B3" s="361" t="s">
        <v>1706</v>
      </c>
      <c r="C3" s="362">
        <v>0</v>
      </c>
      <c r="D3" s="362"/>
    </row>
    <row r="4" spans="1:4" x14ac:dyDescent="0.2">
      <c r="A4" s="361" t="s">
        <v>1707</v>
      </c>
      <c r="B4" s="361" t="s">
        <v>1708</v>
      </c>
      <c r="C4" s="362">
        <v>2381.2800000000002</v>
      </c>
      <c r="D4" s="362"/>
    </row>
    <row r="5" spans="1:4" x14ac:dyDescent="0.2">
      <c r="A5" s="361" t="s">
        <v>1709</v>
      </c>
      <c r="B5" s="361" t="s">
        <v>1710</v>
      </c>
      <c r="C5" s="362">
        <v>1154190.48</v>
      </c>
      <c r="D5" s="362"/>
    </row>
    <row r="6" spans="1:4" x14ac:dyDescent="0.2">
      <c r="A6" s="361" t="s">
        <v>1711</v>
      </c>
      <c r="B6" s="361" t="s">
        <v>1712</v>
      </c>
      <c r="C6" s="362">
        <v>1106070.32</v>
      </c>
      <c r="D6" s="362"/>
    </row>
    <row r="7" spans="1:4" x14ac:dyDescent="0.2">
      <c r="A7" s="361" t="s">
        <v>1713</v>
      </c>
      <c r="B7" s="361" t="s">
        <v>1714</v>
      </c>
      <c r="C7" s="362">
        <v>2583446</v>
      </c>
      <c r="D7" s="362"/>
    </row>
    <row r="8" spans="1:4" x14ac:dyDescent="0.2">
      <c r="A8" s="361" t="s">
        <v>1715</v>
      </c>
      <c r="B8" s="361" t="s">
        <v>1716</v>
      </c>
      <c r="C8" s="362">
        <v>54000</v>
      </c>
      <c r="D8" s="362"/>
    </row>
    <row r="9" spans="1:4" x14ac:dyDescent="0.2">
      <c r="A9" s="361" t="s">
        <v>1717</v>
      </c>
      <c r="B9" s="361" t="s">
        <v>1718</v>
      </c>
      <c r="C9" s="362">
        <v>1785791.15</v>
      </c>
      <c r="D9" s="362"/>
    </row>
    <row r="10" spans="1:4" x14ac:dyDescent="0.2">
      <c r="A10" s="361" t="s">
        <v>1719</v>
      </c>
      <c r="B10" s="361" t="s">
        <v>1720</v>
      </c>
      <c r="C10" s="362">
        <v>54000</v>
      </c>
      <c r="D10" s="362"/>
    </row>
    <row r="11" spans="1:4" x14ac:dyDescent="0.2">
      <c r="A11" s="361" t="s">
        <v>1721</v>
      </c>
      <c r="B11" s="361" t="s">
        <v>1722</v>
      </c>
      <c r="C11" s="362">
        <v>0</v>
      </c>
      <c r="D11" s="362"/>
    </row>
    <row r="12" spans="1:4" x14ac:dyDescent="0.2">
      <c r="A12" s="361" t="s">
        <v>1899</v>
      </c>
      <c r="B12" s="361" t="s">
        <v>1723</v>
      </c>
      <c r="C12" s="362">
        <v>22058</v>
      </c>
      <c r="D12" s="362"/>
    </row>
    <row r="13" spans="1:4" x14ac:dyDescent="0.2">
      <c r="A13" s="361" t="s">
        <v>1724</v>
      </c>
      <c r="B13" s="361" t="s">
        <v>1725</v>
      </c>
      <c r="C13" s="362">
        <v>110987.58</v>
      </c>
      <c r="D13" s="362"/>
    </row>
    <row r="14" spans="1:4" x14ac:dyDescent="0.2">
      <c r="A14" s="361" t="s">
        <v>1726</v>
      </c>
      <c r="B14" s="361" t="s">
        <v>1727</v>
      </c>
      <c r="C14" s="362">
        <v>4940</v>
      </c>
      <c r="D14" s="362"/>
    </row>
    <row r="15" spans="1:4" x14ac:dyDescent="0.2">
      <c r="A15" s="361" t="s">
        <v>1728</v>
      </c>
      <c r="B15" s="361" t="s">
        <v>1729</v>
      </c>
      <c r="C15" s="362">
        <v>121956.47</v>
      </c>
      <c r="D15" s="362"/>
    </row>
    <row r="16" spans="1:4" x14ac:dyDescent="0.2">
      <c r="A16" s="361" t="s">
        <v>1730</v>
      </c>
      <c r="B16" s="361" t="s">
        <v>1731</v>
      </c>
      <c r="C16" s="362">
        <v>0</v>
      </c>
      <c r="D16" s="362"/>
    </row>
    <row r="17" spans="1:4" x14ac:dyDescent="0.2">
      <c r="A17" s="361" t="s">
        <v>1732</v>
      </c>
      <c r="B17" s="361" t="s">
        <v>623</v>
      </c>
      <c r="C17" s="362">
        <v>1124337.99</v>
      </c>
      <c r="D17" s="362"/>
    </row>
    <row r="18" spans="1:4" x14ac:dyDescent="0.2">
      <c r="A18" s="361" t="s">
        <v>1733</v>
      </c>
      <c r="B18" s="361" t="s">
        <v>1734</v>
      </c>
      <c r="C18" s="362">
        <v>192637.82</v>
      </c>
      <c r="D18" s="362"/>
    </row>
    <row r="19" spans="1:4" x14ac:dyDescent="0.2">
      <c r="A19" s="361" t="s">
        <v>1735</v>
      </c>
      <c r="B19" s="361" t="s">
        <v>1736</v>
      </c>
      <c r="C19" s="362">
        <v>0</v>
      </c>
      <c r="D19" s="362"/>
    </row>
    <row r="20" spans="1:4" x14ac:dyDescent="0.2">
      <c r="A20" s="361" t="s">
        <v>1737</v>
      </c>
      <c r="B20" s="361" t="s">
        <v>1738</v>
      </c>
      <c r="C20" s="362">
        <v>230531.02</v>
      </c>
      <c r="D20" s="362"/>
    </row>
    <row r="21" spans="1:4" x14ac:dyDescent="0.2">
      <c r="A21" s="361" t="s">
        <v>1739</v>
      </c>
      <c r="B21" s="361" t="s">
        <v>1740</v>
      </c>
      <c r="C21" s="362">
        <v>142028.37</v>
      </c>
      <c r="D21" s="362"/>
    </row>
    <row r="22" spans="1:4" x14ac:dyDescent="0.2">
      <c r="A22" s="361" t="s">
        <v>1741</v>
      </c>
      <c r="B22" s="361" t="s">
        <v>624</v>
      </c>
      <c r="C22" s="362">
        <v>113525.84</v>
      </c>
      <c r="D22" s="362"/>
    </row>
    <row r="23" spans="1:4" x14ac:dyDescent="0.2">
      <c r="A23" s="361" t="s">
        <v>1742</v>
      </c>
      <c r="B23" s="361" t="s">
        <v>626</v>
      </c>
      <c r="C23" s="362">
        <v>0</v>
      </c>
      <c r="D23" s="362"/>
    </row>
    <row r="24" spans="1:4" x14ac:dyDescent="0.2">
      <c r="A24" s="361" t="s">
        <v>1743</v>
      </c>
      <c r="B24" s="361" t="s">
        <v>627</v>
      </c>
      <c r="C24" s="362">
        <v>0</v>
      </c>
      <c r="D24" s="362"/>
    </row>
    <row r="25" spans="1:4" x14ac:dyDescent="0.2">
      <c r="A25" s="361" t="s">
        <v>1744</v>
      </c>
      <c r="B25" s="361" t="s">
        <v>629</v>
      </c>
      <c r="C25" s="362">
        <v>51581.82</v>
      </c>
      <c r="D25" s="362"/>
    </row>
    <row r="26" spans="1:4" x14ac:dyDescent="0.2">
      <c r="A26" s="361" t="s">
        <v>1745</v>
      </c>
      <c r="B26" s="361" t="s">
        <v>630</v>
      </c>
      <c r="C26" s="362">
        <v>175587.76</v>
      </c>
      <c r="D26" s="362"/>
    </row>
    <row r="27" spans="1:4" x14ac:dyDescent="0.2">
      <c r="A27" s="361" t="s">
        <v>1746</v>
      </c>
      <c r="B27" s="361" t="s">
        <v>632</v>
      </c>
      <c r="C27" s="362">
        <v>0</v>
      </c>
      <c r="D27" s="362"/>
    </row>
    <row r="28" spans="1:4" x14ac:dyDescent="0.2">
      <c r="A28" s="361" t="s">
        <v>1747</v>
      </c>
      <c r="B28" s="361" t="s">
        <v>634</v>
      </c>
      <c r="C28" s="362">
        <v>0</v>
      </c>
      <c r="D28" s="362"/>
    </row>
    <row r="29" spans="1:4" x14ac:dyDescent="0.2">
      <c r="A29" s="361" t="s">
        <v>1748</v>
      </c>
      <c r="B29" s="361" t="s">
        <v>1749</v>
      </c>
      <c r="C29" s="362">
        <v>1059751</v>
      </c>
      <c r="D29" s="362"/>
    </row>
    <row r="30" spans="1:4" x14ac:dyDescent="0.2">
      <c r="A30" s="361" t="s">
        <v>1750</v>
      </c>
      <c r="B30" s="361" t="s">
        <v>1751</v>
      </c>
      <c r="C30" s="362">
        <f>3600.25+120201.78</f>
        <v>123802.03</v>
      </c>
      <c r="D30" s="362"/>
    </row>
    <row r="31" spans="1:4" x14ac:dyDescent="0.2">
      <c r="A31" s="361" t="s">
        <v>1752</v>
      </c>
      <c r="B31" s="361" t="s">
        <v>1753</v>
      </c>
      <c r="C31" s="362">
        <v>9374190</v>
      </c>
      <c r="D31" s="362"/>
    </row>
    <row r="32" spans="1:4" x14ac:dyDescent="0.2">
      <c r="A32" s="361" t="s">
        <v>1754</v>
      </c>
      <c r="B32" s="361" t="s">
        <v>1755</v>
      </c>
      <c r="C32" s="362">
        <f>31846.54+1153316.06</f>
        <v>1185162.6000000001</v>
      </c>
      <c r="D32" s="362"/>
    </row>
    <row r="33" spans="1:4" x14ac:dyDescent="0.2">
      <c r="A33" s="361" t="s">
        <v>1756</v>
      </c>
      <c r="B33" s="361" t="s">
        <v>1757</v>
      </c>
      <c r="C33" s="362">
        <v>363239</v>
      </c>
      <c r="D33" s="362"/>
    </row>
    <row r="34" spans="1:4" x14ac:dyDescent="0.2">
      <c r="A34" s="361" t="s">
        <v>1758</v>
      </c>
      <c r="B34" s="361" t="s">
        <v>1759</v>
      </c>
      <c r="C34" s="362">
        <f>2056.69+68666.91</f>
        <v>70723.600000000006</v>
      </c>
      <c r="D34" s="362"/>
    </row>
    <row r="35" spans="1:4" x14ac:dyDescent="0.2">
      <c r="A35" s="361" t="s">
        <v>1760</v>
      </c>
      <c r="B35" s="361" t="s">
        <v>1761</v>
      </c>
      <c r="C35" s="362">
        <v>40000</v>
      </c>
      <c r="D35" s="362"/>
    </row>
    <row r="36" spans="1:4" x14ac:dyDescent="0.2">
      <c r="A36" s="361" t="s">
        <v>1762</v>
      </c>
      <c r="B36" s="361" t="s">
        <v>1763</v>
      </c>
      <c r="C36" s="362">
        <v>98525</v>
      </c>
      <c r="D36" s="362"/>
    </row>
    <row r="37" spans="1:4" x14ac:dyDescent="0.2">
      <c r="A37" s="361" t="s">
        <v>1764</v>
      </c>
      <c r="B37" s="361" t="s">
        <v>1765</v>
      </c>
      <c r="C37" s="362">
        <f>26.3+26.3</f>
        <v>52.6</v>
      </c>
      <c r="D37" s="362"/>
    </row>
    <row r="38" spans="1:4" x14ac:dyDescent="0.2">
      <c r="A38" s="361" t="s">
        <v>1766</v>
      </c>
      <c r="B38" s="361" t="s">
        <v>1767</v>
      </c>
      <c r="C38" s="362">
        <f>557.86+10887.13</f>
        <v>11444.99</v>
      </c>
      <c r="D38" s="362"/>
    </row>
    <row r="39" spans="1:4" x14ac:dyDescent="0.2">
      <c r="A39" s="361" t="s">
        <v>1768</v>
      </c>
      <c r="B39" s="361" t="s">
        <v>1769</v>
      </c>
      <c r="C39" s="362">
        <v>13500</v>
      </c>
      <c r="D39" s="362"/>
    </row>
    <row r="40" spans="1:4" x14ac:dyDescent="0.2">
      <c r="A40" s="361" t="s">
        <v>1770</v>
      </c>
      <c r="B40" s="361" t="s">
        <v>1771</v>
      </c>
      <c r="C40" s="362">
        <f>143.32+8187.24</f>
        <v>8330.56</v>
      </c>
      <c r="D40" s="362"/>
    </row>
    <row r="41" spans="1:4" x14ac:dyDescent="0.2">
      <c r="A41" s="361" t="s">
        <v>1772</v>
      </c>
      <c r="B41" s="361" t="s">
        <v>1773</v>
      </c>
      <c r="C41" s="362">
        <v>2728600</v>
      </c>
      <c r="D41" s="362"/>
    </row>
    <row r="42" spans="1:4" x14ac:dyDescent="0.2">
      <c r="A42" s="361" t="s">
        <v>1774</v>
      </c>
      <c r="B42" s="361" t="s">
        <v>1775</v>
      </c>
      <c r="C42" s="362">
        <f>46348.77+2566929.41</f>
        <v>2613278.1800000002</v>
      </c>
      <c r="D42" s="362"/>
    </row>
    <row r="43" spans="1:4" x14ac:dyDescent="0.2">
      <c r="A43" s="361" t="s">
        <v>1776</v>
      </c>
      <c r="B43" s="361" t="s">
        <v>1777</v>
      </c>
      <c r="C43" s="362">
        <v>1240000</v>
      </c>
      <c r="D43" s="362"/>
    </row>
    <row r="44" spans="1:4" x14ac:dyDescent="0.2">
      <c r="A44" s="361" t="s">
        <v>1778</v>
      </c>
      <c r="B44" s="361" t="s">
        <v>1779</v>
      </c>
      <c r="C44" s="362">
        <f>21063+775254.17</f>
        <v>796317.17</v>
      </c>
      <c r="D44" s="362"/>
    </row>
    <row r="45" spans="1:4" x14ac:dyDescent="0.2">
      <c r="A45" s="361" t="s">
        <v>1780</v>
      </c>
      <c r="B45" s="361" t="s">
        <v>1781</v>
      </c>
      <c r="C45" s="362">
        <v>3201570</v>
      </c>
      <c r="D45" s="362"/>
    </row>
    <row r="46" spans="1:4" x14ac:dyDescent="0.2">
      <c r="A46" s="361" t="s">
        <v>1782</v>
      </c>
      <c r="B46" s="361" t="s">
        <v>1783</v>
      </c>
      <c r="C46" s="362">
        <f>38844.42+1740344.34</f>
        <v>1779188.76</v>
      </c>
      <c r="D46" s="362"/>
    </row>
    <row r="47" spans="1:4" x14ac:dyDescent="0.2">
      <c r="A47" s="361" t="s">
        <v>1784</v>
      </c>
      <c r="B47" s="361" t="s">
        <v>1785</v>
      </c>
      <c r="C47" s="362">
        <v>19240</v>
      </c>
      <c r="D47" s="362"/>
    </row>
    <row r="48" spans="1:4" x14ac:dyDescent="0.2">
      <c r="A48" s="361" t="s">
        <v>1786</v>
      </c>
      <c r="B48" s="361" t="s">
        <v>1787</v>
      </c>
      <c r="C48" s="362">
        <f>544.67+6729.26</f>
        <v>7273.93</v>
      </c>
      <c r="D48" s="362"/>
    </row>
    <row r="49" spans="1:4" x14ac:dyDescent="0.2">
      <c r="A49" s="361" t="s">
        <v>1788</v>
      </c>
      <c r="B49" s="361" t="s">
        <v>1789</v>
      </c>
      <c r="C49" s="362">
        <v>13500</v>
      </c>
      <c r="D49" s="362"/>
    </row>
    <row r="50" spans="1:4" x14ac:dyDescent="0.2">
      <c r="A50" s="361" t="s">
        <v>1790</v>
      </c>
      <c r="B50" s="361" t="s">
        <v>1791</v>
      </c>
      <c r="C50" s="362">
        <v>13499</v>
      </c>
      <c r="D50" s="362"/>
    </row>
    <row r="51" spans="1:4" x14ac:dyDescent="0.2">
      <c r="A51" s="361" t="s">
        <v>1792</v>
      </c>
      <c r="B51" s="361" t="s">
        <v>1793</v>
      </c>
      <c r="C51" s="362">
        <v>1073700</v>
      </c>
      <c r="D51" s="362"/>
    </row>
    <row r="52" spans="1:4" x14ac:dyDescent="0.2">
      <c r="A52" s="361" t="s">
        <v>1794</v>
      </c>
      <c r="B52" s="361" t="s">
        <v>1795</v>
      </c>
      <c r="C52" s="362">
        <v>33000</v>
      </c>
      <c r="D52" s="362"/>
    </row>
    <row r="53" spans="1:4" x14ac:dyDescent="0.2">
      <c r="A53" s="361" t="s">
        <v>1796</v>
      </c>
      <c r="B53" s="361" t="s">
        <v>1797</v>
      </c>
      <c r="C53" s="362">
        <v>60100</v>
      </c>
      <c r="D53" s="362"/>
    </row>
    <row r="54" spans="1:4" x14ac:dyDescent="0.2">
      <c r="A54" s="361" t="s">
        <v>1798</v>
      </c>
      <c r="B54" s="361" t="s">
        <v>1799</v>
      </c>
      <c r="C54" s="362">
        <v>204880</v>
      </c>
      <c r="D54" s="362"/>
    </row>
    <row r="55" spans="1:4" x14ac:dyDescent="0.2">
      <c r="A55" s="361" t="s">
        <v>1800</v>
      </c>
      <c r="B55" s="361" t="s">
        <v>1801</v>
      </c>
      <c r="C55" s="362">
        <v>6900</v>
      </c>
      <c r="D55" s="362"/>
    </row>
    <row r="56" spans="1:4" x14ac:dyDescent="0.2">
      <c r="A56" s="361" t="s">
        <v>1802</v>
      </c>
      <c r="B56" s="361" t="s">
        <v>1803</v>
      </c>
      <c r="C56" s="362">
        <v>1059120</v>
      </c>
      <c r="D56" s="362"/>
    </row>
    <row r="57" spans="1:4" x14ac:dyDescent="0.2">
      <c r="A57" s="361" t="s">
        <v>1804</v>
      </c>
      <c r="B57" s="361" t="s">
        <v>1805</v>
      </c>
      <c r="C57" s="362">
        <v>1099050</v>
      </c>
      <c r="D57" s="362"/>
    </row>
    <row r="58" spans="1:4" x14ac:dyDescent="0.2">
      <c r="A58" s="361" t="s">
        <v>1806</v>
      </c>
      <c r="B58" s="361" t="s">
        <v>1807</v>
      </c>
      <c r="C58" s="362">
        <v>329080</v>
      </c>
      <c r="D58" s="362"/>
    </row>
    <row r="59" spans="1:4" x14ac:dyDescent="0.2">
      <c r="A59" s="361" t="s">
        <v>1808</v>
      </c>
      <c r="B59" s="361" t="s">
        <v>1809</v>
      </c>
      <c r="C59" s="362">
        <f>11134.2+219333.74</f>
        <v>230467.94</v>
      </c>
      <c r="D59" s="362"/>
    </row>
    <row r="60" spans="1:4" x14ac:dyDescent="0.2">
      <c r="A60" s="361" t="s">
        <v>1810</v>
      </c>
      <c r="B60" s="361" t="s">
        <v>1811</v>
      </c>
      <c r="C60" s="362">
        <f>560.53+2603.76</f>
        <v>3164.29</v>
      </c>
      <c r="D60" s="362"/>
    </row>
    <row r="61" spans="1:4" x14ac:dyDescent="0.2">
      <c r="A61" s="361" t="s">
        <v>1812</v>
      </c>
      <c r="B61" s="361" t="s">
        <v>1813</v>
      </c>
      <c r="C61" s="362">
        <f>434.82+4025.55</f>
        <v>4460.37</v>
      </c>
      <c r="D61" s="362"/>
    </row>
    <row r="62" spans="1:4" x14ac:dyDescent="0.2">
      <c r="A62" s="361" t="s">
        <v>1814</v>
      </c>
      <c r="B62" s="361" t="s">
        <v>1815</v>
      </c>
      <c r="C62" s="362">
        <f>2577.44+12026.52</f>
        <v>14603.960000000001</v>
      </c>
      <c r="D62" s="362"/>
    </row>
    <row r="63" spans="1:4" x14ac:dyDescent="0.2">
      <c r="A63" s="361" t="s">
        <v>1816</v>
      </c>
      <c r="B63" s="361" t="s">
        <v>1817</v>
      </c>
      <c r="C63" s="362">
        <f>292.97+1549.91</f>
        <v>1842.88</v>
      </c>
      <c r="D63" s="362"/>
    </row>
    <row r="64" spans="1:4" x14ac:dyDescent="0.2">
      <c r="A64" s="361" t="s">
        <v>1818</v>
      </c>
      <c r="B64" s="361" t="s">
        <v>1819</v>
      </c>
      <c r="C64" s="362">
        <f>12815.11+145011.59</f>
        <v>157826.70000000001</v>
      </c>
      <c r="D64" s="362"/>
    </row>
    <row r="65" spans="1:4" x14ac:dyDescent="0.2">
      <c r="A65" s="361" t="s">
        <v>1820</v>
      </c>
      <c r="B65" s="361" t="s">
        <v>1821</v>
      </c>
      <c r="C65" s="362">
        <f>24472.72+407375.47</f>
        <v>431848.18999999994</v>
      </c>
      <c r="D65" s="362"/>
    </row>
    <row r="66" spans="1:4" x14ac:dyDescent="0.2">
      <c r="A66" s="361" t="s">
        <v>1822</v>
      </c>
      <c r="B66" s="361" t="s">
        <v>1823</v>
      </c>
      <c r="C66" s="362">
        <f>6636.73+63253.64</f>
        <v>69890.37</v>
      </c>
      <c r="D66" s="362"/>
    </row>
    <row r="67" spans="1:4" x14ac:dyDescent="0.2">
      <c r="A67" s="361" t="s">
        <v>1824</v>
      </c>
      <c r="B67" s="361" t="s">
        <v>1825</v>
      </c>
      <c r="C67" s="362">
        <v>1816494.64</v>
      </c>
      <c r="D67" s="362"/>
    </row>
    <row r="68" spans="1:4" x14ac:dyDescent="0.2">
      <c r="A68" s="361" t="s">
        <v>1826</v>
      </c>
      <c r="B68" s="361" t="s">
        <v>1827</v>
      </c>
      <c r="C68" s="362">
        <v>157665.1</v>
      </c>
      <c r="D68" s="362"/>
    </row>
    <row r="69" spans="1:4" x14ac:dyDescent="0.2">
      <c r="A69" s="361" t="s">
        <v>1828</v>
      </c>
      <c r="B69" s="361" t="s">
        <v>1829</v>
      </c>
      <c r="C69" s="362">
        <f>522215+233002.4</f>
        <v>755217.4</v>
      </c>
      <c r="D69" s="362"/>
    </row>
    <row r="70" spans="1:4" x14ac:dyDescent="0.2">
      <c r="A70" s="361" t="s">
        <v>1830</v>
      </c>
      <c r="B70" s="361" t="s">
        <v>1831</v>
      </c>
      <c r="C70" s="362">
        <v>858324.67</v>
      </c>
      <c r="D70" s="362"/>
    </row>
    <row r="71" spans="1:4" x14ac:dyDescent="0.2">
      <c r="A71" s="361" t="s">
        <v>1832</v>
      </c>
      <c r="B71" s="361" t="s">
        <v>1833</v>
      </c>
      <c r="C71" s="362">
        <v>216362.25</v>
      </c>
      <c r="D71" s="362"/>
    </row>
    <row r="72" spans="1:4" x14ac:dyDescent="0.2">
      <c r="A72" s="361" t="s">
        <v>1834</v>
      </c>
      <c r="B72" s="361" t="s">
        <v>1835</v>
      </c>
      <c r="C72" s="362">
        <v>1277400</v>
      </c>
      <c r="D72" s="362"/>
    </row>
    <row r="73" spans="1:4" x14ac:dyDescent="0.2">
      <c r="A73" s="361" t="s">
        <v>1836</v>
      </c>
      <c r="B73" s="361" t="s">
        <v>1837</v>
      </c>
      <c r="C73" s="362">
        <v>0</v>
      </c>
      <c r="D73" s="362"/>
    </row>
    <row r="74" spans="1:4" x14ac:dyDescent="0.2">
      <c r="A74" s="361" t="s">
        <v>1838</v>
      </c>
      <c r="B74" s="361" t="s">
        <v>1839</v>
      </c>
      <c r="C74" s="362">
        <v>240625.34</v>
      </c>
      <c r="D74" s="362"/>
    </row>
    <row r="75" spans="1:4" x14ac:dyDescent="0.2">
      <c r="A75" s="361" t="s">
        <v>1840</v>
      </c>
      <c r="B75" s="361" t="s">
        <v>1841</v>
      </c>
      <c r="C75" s="362">
        <v>87249.01</v>
      </c>
      <c r="D75" s="362"/>
    </row>
    <row r="76" spans="1:4" x14ac:dyDescent="0.2">
      <c r="A76" s="361" t="s">
        <v>1842</v>
      </c>
      <c r="B76" s="361" t="s">
        <v>1843</v>
      </c>
      <c r="C76" s="362">
        <v>19767</v>
      </c>
      <c r="D76" s="362"/>
    </row>
    <row r="77" spans="1:4" x14ac:dyDescent="0.2">
      <c r="A77" s="361" t="s">
        <v>1844</v>
      </c>
      <c r="B77" s="361" t="s">
        <v>1845</v>
      </c>
      <c r="C77" s="362">
        <v>83900</v>
      </c>
      <c r="D77" s="362"/>
    </row>
    <row r="78" spans="1:4" x14ac:dyDescent="0.2">
      <c r="A78" s="361" t="s">
        <v>1846</v>
      </c>
      <c r="B78" s="361" t="s">
        <v>1847</v>
      </c>
      <c r="C78" s="362">
        <f>2902102+43462</f>
        <v>2945564</v>
      </c>
      <c r="D78" s="362"/>
    </row>
    <row r="79" spans="1:4" x14ac:dyDescent="0.2">
      <c r="A79" s="361" t="s">
        <v>1848</v>
      </c>
      <c r="B79" s="361" t="s">
        <v>1849</v>
      </c>
      <c r="C79" s="362">
        <v>756980.56</v>
      </c>
      <c r="D79" s="362"/>
    </row>
    <row r="80" spans="1:4" x14ac:dyDescent="0.2">
      <c r="A80" s="361" t="s">
        <v>1850</v>
      </c>
      <c r="B80" s="361" t="s">
        <v>1851</v>
      </c>
      <c r="C80" s="362">
        <v>6189</v>
      </c>
      <c r="D80" s="362"/>
    </row>
    <row r="81" spans="1:4" x14ac:dyDescent="0.2">
      <c r="A81" s="361" t="s">
        <v>1852</v>
      </c>
      <c r="B81" s="361" t="s">
        <v>1853</v>
      </c>
      <c r="C81" s="362">
        <v>0</v>
      </c>
      <c r="D81" s="362"/>
    </row>
    <row r="82" spans="1:4" x14ac:dyDescent="0.2">
      <c r="A82" s="361" t="s">
        <v>1854</v>
      </c>
      <c r="B82" s="361" t="s">
        <v>1855</v>
      </c>
      <c r="C82" s="362">
        <v>0</v>
      </c>
      <c r="D82" s="362"/>
    </row>
    <row r="83" spans="1:4" x14ac:dyDescent="0.2">
      <c r="A83" s="361" t="s">
        <v>1856</v>
      </c>
      <c r="B83" s="361" t="s">
        <v>1857</v>
      </c>
      <c r="C83" s="362">
        <v>50000</v>
      </c>
      <c r="D83" s="362"/>
    </row>
    <row r="84" spans="1:4" x14ac:dyDescent="0.2">
      <c r="A84" s="361" t="s">
        <v>1858</v>
      </c>
      <c r="B84" s="361" t="s">
        <v>1859</v>
      </c>
      <c r="C84" s="362">
        <v>0</v>
      </c>
      <c r="D84" s="362"/>
    </row>
    <row r="85" spans="1:4" x14ac:dyDescent="0.2">
      <c r="A85" s="361" t="s">
        <v>1860</v>
      </c>
      <c r="B85" s="361" t="s">
        <v>1861</v>
      </c>
      <c r="C85" s="362">
        <v>84000</v>
      </c>
      <c r="D85" s="362"/>
    </row>
    <row r="86" spans="1:4" x14ac:dyDescent="0.2">
      <c r="A86" s="361" t="s">
        <v>1862</v>
      </c>
      <c r="B86" s="361" t="s">
        <v>1863</v>
      </c>
      <c r="C86" s="362">
        <v>737128</v>
      </c>
      <c r="D86" s="362"/>
    </row>
    <row r="87" spans="1:4" x14ac:dyDescent="0.2">
      <c r="A87" s="361" t="s">
        <v>1864</v>
      </c>
      <c r="B87" s="361" t="s">
        <v>1865</v>
      </c>
      <c r="C87" s="362">
        <v>54853.25</v>
      </c>
      <c r="D87" s="362"/>
    </row>
    <row r="88" spans="1:4" x14ac:dyDescent="0.2">
      <c r="A88" s="361" t="s">
        <v>1866</v>
      </c>
      <c r="B88" s="361" t="s">
        <v>1867</v>
      </c>
      <c r="C88" s="362">
        <v>90</v>
      </c>
      <c r="D88" s="362"/>
    </row>
    <row r="89" spans="1:4" x14ac:dyDescent="0.2">
      <c r="A89" s="361" t="s">
        <v>1868</v>
      </c>
      <c r="B89" s="361" t="s">
        <v>1869</v>
      </c>
      <c r="C89" s="362">
        <v>27000</v>
      </c>
      <c r="D89" s="362"/>
    </row>
    <row r="90" spans="1:4" x14ac:dyDescent="0.2">
      <c r="A90" s="361" t="s">
        <v>1870</v>
      </c>
      <c r="B90" s="361" t="s">
        <v>1871</v>
      </c>
      <c r="C90" s="362">
        <v>23026.74</v>
      </c>
      <c r="D90" s="362"/>
    </row>
    <row r="91" spans="1:4" x14ac:dyDescent="0.2">
      <c r="A91" s="361" t="s">
        <v>1872</v>
      </c>
      <c r="B91" s="361" t="s">
        <v>1873</v>
      </c>
      <c r="C91" s="362">
        <v>0</v>
      </c>
      <c r="D91" s="362"/>
    </row>
    <row r="92" spans="1:4" x14ac:dyDescent="0.2">
      <c r="A92" s="361" t="s">
        <v>1874</v>
      </c>
      <c r="B92" s="361" t="s">
        <v>1875</v>
      </c>
      <c r="C92" s="362">
        <v>0</v>
      </c>
      <c r="D92" s="362"/>
    </row>
    <row r="93" spans="1:4" x14ac:dyDescent="0.2">
      <c r="A93" s="361" t="s">
        <v>1876</v>
      </c>
      <c r="B93" s="361" t="s">
        <v>1877</v>
      </c>
      <c r="C93" s="362">
        <v>0</v>
      </c>
      <c r="D93" s="362"/>
    </row>
    <row r="94" spans="1:4" x14ac:dyDescent="0.2">
      <c r="A94" s="361" t="s">
        <v>1878</v>
      </c>
      <c r="B94" s="361" t="s">
        <v>1879</v>
      </c>
      <c r="C94" s="362">
        <v>689965.98</v>
      </c>
      <c r="D94" s="362"/>
    </row>
    <row r="95" spans="1:4" x14ac:dyDescent="0.2">
      <c r="A95" s="361" t="s">
        <v>1880</v>
      </c>
      <c r="B95" s="361" t="s">
        <v>1881</v>
      </c>
      <c r="C95" s="362">
        <v>1520733</v>
      </c>
      <c r="D95" s="362"/>
    </row>
    <row r="96" spans="1:4" x14ac:dyDescent="0.2">
      <c r="A96" s="361" t="s">
        <v>1882</v>
      </c>
      <c r="B96" s="361" t="s">
        <v>1883</v>
      </c>
      <c r="C96" s="362">
        <v>1012404.03</v>
      </c>
      <c r="D96" s="362"/>
    </row>
    <row r="97" spans="1:9" x14ac:dyDescent="0.2">
      <c r="A97" s="361" t="s">
        <v>1884</v>
      </c>
      <c r="B97" s="361" t="s">
        <v>1885</v>
      </c>
      <c r="C97" s="362">
        <v>0</v>
      </c>
      <c r="D97" s="362"/>
    </row>
    <row r="98" spans="1:9" x14ac:dyDescent="0.2">
      <c r="A98" s="361" t="s">
        <v>1886</v>
      </c>
      <c r="B98" s="361" t="s">
        <v>1887</v>
      </c>
      <c r="C98" s="362">
        <v>0</v>
      </c>
      <c r="D98" s="362"/>
    </row>
    <row r="99" spans="1:9" x14ac:dyDescent="0.2">
      <c r="A99" s="361" t="s">
        <v>1888</v>
      </c>
      <c r="B99" s="361" t="s">
        <v>1889</v>
      </c>
      <c r="C99" s="362">
        <v>2615703.91</v>
      </c>
      <c r="D99" s="362"/>
    </row>
    <row r="100" spans="1:9" x14ac:dyDescent="0.2">
      <c r="A100" s="361" t="s">
        <v>1890</v>
      </c>
      <c r="B100" s="361" t="s">
        <v>1891</v>
      </c>
      <c r="C100" s="362">
        <v>129935</v>
      </c>
      <c r="D100" s="362"/>
    </row>
    <row r="101" spans="1:9" x14ac:dyDescent="0.2">
      <c r="A101" s="361" t="s">
        <v>1892</v>
      </c>
      <c r="B101" s="361" t="s">
        <v>1893</v>
      </c>
      <c r="C101" s="362">
        <v>16796</v>
      </c>
      <c r="D101" s="362"/>
    </row>
    <row r="102" spans="1:9" x14ac:dyDescent="0.2">
      <c r="A102" s="361" t="s">
        <v>1894</v>
      </c>
      <c r="B102" s="361" t="s">
        <v>1895</v>
      </c>
      <c r="C102" s="362">
        <v>17265082.100000001</v>
      </c>
      <c r="D102" s="362"/>
    </row>
    <row r="103" spans="1:9" s="363" customFormat="1" x14ac:dyDescent="0.2">
      <c r="A103" s="363" t="s">
        <v>846</v>
      </c>
      <c r="B103" s="363" t="s">
        <v>847</v>
      </c>
      <c r="C103" s="364">
        <f>5750+16500+7000</f>
        <v>29250</v>
      </c>
      <c r="D103" s="364"/>
      <c r="E103" s="364"/>
      <c r="F103" s="364"/>
      <c r="G103" s="364"/>
      <c r="H103" s="364"/>
      <c r="I103" s="364"/>
    </row>
    <row r="104" spans="1:9" s="406" customFormat="1" x14ac:dyDescent="0.2">
      <c r="A104" s="406" t="s">
        <v>76</v>
      </c>
      <c r="B104" s="406" t="s">
        <v>1417</v>
      </c>
      <c r="C104" s="407"/>
      <c r="D104" s="407"/>
    </row>
    <row r="105" spans="1:9" x14ac:dyDescent="0.2">
      <c r="A105" s="361" t="s">
        <v>128</v>
      </c>
      <c r="B105" s="361" t="s">
        <v>1419</v>
      </c>
      <c r="C105" s="413">
        <v>691297.98</v>
      </c>
      <c r="D105" s="362"/>
    </row>
    <row r="106" spans="1:9" s="363" customFormat="1" x14ac:dyDescent="0.2">
      <c r="A106" s="363" t="s">
        <v>85</v>
      </c>
      <c r="B106" s="363" t="s">
        <v>1421</v>
      </c>
      <c r="C106" s="364">
        <f>165903.47+730000</f>
        <v>895903.47</v>
      </c>
      <c r="D106" s="364"/>
      <c r="F106" s="364"/>
    </row>
    <row r="107" spans="1:9" s="374" customFormat="1" x14ac:dyDescent="0.2">
      <c r="A107" s="221" t="s">
        <v>86</v>
      </c>
      <c r="B107" s="221" t="s">
        <v>1910</v>
      </c>
      <c r="C107" s="362">
        <v>12000</v>
      </c>
      <c r="D107" s="362"/>
    </row>
    <row r="108" spans="1:9" s="374" customFormat="1" x14ac:dyDescent="0.2">
      <c r="A108" t="s">
        <v>78</v>
      </c>
      <c r="B108" t="s">
        <v>1911</v>
      </c>
      <c r="C108" s="362">
        <v>159832.66</v>
      </c>
      <c r="D108" s="362"/>
    </row>
    <row r="109" spans="1:9" x14ac:dyDescent="0.2">
      <c r="A109" s="361" t="s">
        <v>130</v>
      </c>
      <c r="B109" s="361" t="s">
        <v>1423</v>
      </c>
      <c r="C109" s="362">
        <v>20010.689999999999</v>
      </c>
      <c r="D109" s="362"/>
    </row>
    <row r="110" spans="1:9" x14ac:dyDescent="0.2">
      <c r="A110" s="361" t="s">
        <v>45</v>
      </c>
      <c r="B110" s="361" t="s">
        <v>1427</v>
      </c>
      <c r="C110" s="413">
        <v>12462273.609999999</v>
      </c>
      <c r="D110" s="362"/>
      <c r="F110" s="361">
        <v>6859280.6699999999</v>
      </c>
      <c r="G110" s="365">
        <f>+(F110/5)*12</f>
        <v>16462273.608000001</v>
      </c>
    </row>
    <row r="111" spans="1:9" x14ac:dyDescent="0.2">
      <c r="A111" s="361" t="s">
        <v>46</v>
      </c>
      <c r="B111" s="361" t="s">
        <v>1909</v>
      </c>
      <c r="C111" s="362">
        <v>1584000</v>
      </c>
      <c r="D111" s="362"/>
    </row>
    <row r="112" spans="1:9" x14ac:dyDescent="0.2">
      <c r="A112" s="361" t="s">
        <v>47</v>
      </c>
      <c r="B112" s="361" t="s">
        <v>1429</v>
      </c>
      <c r="C112" s="362">
        <v>36574</v>
      </c>
      <c r="D112" s="362"/>
      <c r="F112" s="361">
        <v>32037816.560000002</v>
      </c>
      <c r="G112" s="365"/>
    </row>
    <row r="113" spans="1:7" x14ac:dyDescent="0.2">
      <c r="A113" s="361" t="s">
        <v>49</v>
      </c>
      <c r="B113" s="361" t="s">
        <v>1912</v>
      </c>
      <c r="C113" s="362">
        <v>2523</v>
      </c>
      <c r="D113" s="362"/>
      <c r="G113" s="365"/>
    </row>
    <row r="114" spans="1:7" s="366" customFormat="1" x14ac:dyDescent="0.2">
      <c r="A114" s="366" t="s">
        <v>215</v>
      </c>
      <c r="B114" s="366" t="s">
        <v>216</v>
      </c>
      <c r="C114" s="367">
        <v>3081926.94</v>
      </c>
      <c r="D114" s="367"/>
      <c r="G114" s="368"/>
    </row>
    <row r="115" spans="1:7" s="369" customFormat="1" x14ac:dyDescent="0.2">
      <c r="A115" s="369" t="s">
        <v>50</v>
      </c>
      <c r="B115" s="369" t="s">
        <v>1432</v>
      </c>
      <c r="C115" s="416">
        <f>9248633.42-3816042.02</f>
        <v>5432591.4000000004</v>
      </c>
      <c r="D115" s="370"/>
      <c r="F115" s="371">
        <f>+F112-C110</f>
        <v>19575542.950000003</v>
      </c>
      <c r="G115" s="371"/>
    </row>
    <row r="116" spans="1:7" s="369" customFormat="1" x14ac:dyDescent="0.2">
      <c r="A116" s="369" t="s">
        <v>52</v>
      </c>
      <c r="B116" s="369" t="s">
        <v>1434</v>
      </c>
      <c r="C116" s="370">
        <v>3048542.26</v>
      </c>
      <c r="D116" s="370"/>
      <c r="F116" s="370"/>
      <c r="G116" s="371"/>
    </row>
    <row r="117" spans="1:7" x14ac:dyDescent="0.2">
      <c r="A117" s="361" t="s">
        <v>53</v>
      </c>
      <c r="B117" s="361" t="s">
        <v>54</v>
      </c>
      <c r="C117" s="362">
        <v>621900.48</v>
      </c>
      <c r="D117" s="362"/>
      <c r="F117" s="376"/>
      <c r="G117" s="365"/>
    </row>
    <row r="118" spans="1:7" x14ac:dyDescent="0.2">
      <c r="A118" s="361" t="s">
        <v>55</v>
      </c>
      <c r="B118" s="361" t="s">
        <v>1435</v>
      </c>
      <c r="C118" s="362">
        <v>205200</v>
      </c>
      <c r="D118" s="362"/>
      <c r="F118" s="372"/>
      <c r="G118" s="373"/>
    </row>
    <row r="119" spans="1:7" x14ac:dyDescent="0.2">
      <c r="A119" s="361" t="s">
        <v>56</v>
      </c>
      <c r="B119" s="361" t="s">
        <v>1896</v>
      </c>
      <c r="C119" s="362">
        <v>271813.2</v>
      </c>
      <c r="D119" s="362"/>
      <c r="F119" s="372">
        <f>+C121+C115+C116</f>
        <v>20068401.060000002</v>
      </c>
      <c r="G119" s="372"/>
    </row>
    <row r="120" spans="1:7" x14ac:dyDescent="0.2">
      <c r="A120" s="361" t="s">
        <v>61</v>
      </c>
      <c r="B120" s="361" t="s">
        <v>1439</v>
      </c>
      <c r="C120" s="362">
        <v>2656</v>
      </c>
      <c r="D120" s="362"/>
      <c r="F120" s="365">
        <v>32448388.079999998</v>
      </c>
      <c r="G120" s="365">
        <f>+F120-F119</f>
        <v>12379987.019999996</v>
      </c>
    </row>
    <row r="121" spans="1:7" s="363" customFormat="1" x14ac:dyDescent="0.2">
      <c r="A121" s="363" t="s">
        <v>66</v>
      </c>
      <c r="B121" s="363" t="s">
        <v>67</v>
      </c>
      <c r="C121" s="364">
        <v>11587267.4</v>
      </c>
      <c r="D121" s="364"/>
      <c r="F121" s="364"/>
    </row>
    <row r="122" spans="1:7" x14ac:dyDescent="0.2">
      <c r="A122" s="361" t="s">
        <v>93</v>
      </c>
      <c r="B122" s="361" t="s">
        <v>1451</v>
      </c>
      <c r="C122" s="362">
        <f>276325.16+25000</f>
        <v>301325.15999999997</v>
      </c>
      <c r="D122" s="362"/>
      <c r="F122" s="372"/>
      <c r="G122" s="365"/>
    </row>
    <row r="123" spans="1:7" x14ac:dyDescent="0.2">
      <c r="A123" s="361" t="s">
        <v>97</v>
      </c>
      <c r="B123" s="361" t="s">
        <v>98</v>
      </c>
      <c r="C123" s="362">
        <v>7321.28</v>
      </c>
      <c r="D123" s="362"/>
    </row>
    <row r="124" spans="1:7" x14ac:dyDescent="0.2">
      <c r="A124" s="361" t="s">
        <v>103</v>
      </c>
      <c r="B124" s="361" t="s">
        <v>1457</v>
      </c>
      <c r="C124" s="362">
        <v>237.69</v>
      </c>
      <c r="D124" s="362"/>
    </row>
    <row r="125" spans="1:7" x14ac:dyDescent="0.2">
      <c r="A125" s="361" t="s">
        <v>174</v>
      </c>
      <c r="B125" s="361" t="s">
        <v>1474</v>
      </c>
      <c r="C125" s="362">
        <v>10000</v>
      </c>
      <c r="D125" s="362"/>
    </row>
    <row r="126" spans="1:7" s="410" customFormat="1" x14ac:dyDescent="0.2">
      <c r="A126" s="410" t="s">
        <v>904</v>
      </c>
      <c r="B126" s="410" t="s">
        <v>905</v>
      </c>
      <c r="C126" s="411">
        <v>153900</v>
      </c>
      <c r="D126" s="411"/>
    </row>
    <row r="127" spans="1:7" s="410" customFormat="1" x14ac:dyDescent="0.2">
      <c r="A127" s="410" t="s">
        <v>175</v>
      </c>
      <c r="B127" s="410" t="s">
        <v>1475</v>
      </c>
      <c r="C127" s="411">
        <v>53022.7</v>
      </c>
      <c r="D127" s="411"/>
    </row>
    <row r="128" spans="1:7" s="412" customFormat="1" x14ac:dyDescent="0.2">
      <c r="A128" s="412" t="s">
        <v>143</v>
      </c>
      <c r="B128" s="412" t="s">
        <v>1476</v>
      </c>
      <c r="C128" s="413">
        <v>5912678.8600000003</v>
      </c>
      <c r="D128" s="413"/>
    </row>
    <row r="129" spans="1:6" s="412" customFormat="1" x14ac:dyDescent="0.2">
      <c r="A129" s="412" t="s">
        <v>183</v>
      </c>
      <c r="B129" s="412" t="s">
        <v>1481</v>
      </c>
      <c r="C129" s="413">
        <v>265443.90000000002</v>
      </c>
      <c r="D129" s="413"/>
    </row>
    <row r="130" spans="1:6" x14ac:dyDescent="0.2">
      <c r="A130" s="361" t="s">
        <v>186</v>
      </c>
      <c r="B130" s="361" t="s">
        <v>1484</v>
      </c>
      <c r="C130" s="362">
        <v>0</v>
      </c>
      <c r="D130" s="362"/>
    </row>
    <row r="131" spans="1:6" s="412" customFormat="1" x14ac:dyDescent="0.2">
      <c r="A131" s="412" t="s">
        <v>197</v>
      </c>
      <c r="B131" s="412" t="s">
        <v>198</v>
      </c>
      <c r="C131" s="413">
        <v>10000</v>
      </c>
      <c r="D131" s="413"/>
    </row>
    <row r="132" spans="1:6" x14ac:dyDescent="0.2">
      <c r="A132" s="361" t="s">
        <v>201</v>
      </c>
      <c r="B132" s="361" t="s">
        <v>1485</v>
      </c>
      <c r="C132" s="362">
        <v>0</v>
      </c>
      <c r="D132" s="362"/>
    </row>
    <row r="133" spans="1:6" x14ac:dyDescent="0.2">
      <c r="A133" s="361" t="s">
        <v>205</v>
      </c>
      <c r="B133" s="361" t="s">
        <v>206</v>
      </c>
      <c r="C133" s="362">
        <v>4500</v>
      </c>
      <c r="D133" s="362"/>
    </row>
    <row r="134" spans="1:6" s="363" customFormat="1" x14ac:dyDescent="0.2">
      <c r="A134" s="363" t="s">
        <v>207</v>
      </c>
      <c r="B134" s="363" t="s">
        <v>1487</v>
      </c>
      <c r="C134" s="364">
        <v>746717</v>
      </c>
      <c r="D134" s="364"/>
      <c r="F134" s="364">
        <f>+C148+129717+30000</f>
        <v>776717</v>
      </c>
    </row>
    <row r="135" spans="1:6" x14ac:dyDescent="0.2">
      <c r="A135" s="361" t="s">
        <v>211</v>
      </c>
      <c r="B135" s="361" t="s">
        <v>212</v>
      </c>
      <c r="C135" s="362">
        <v>210125</v>
      </c>
      <c r="D135" s="362"/>
      <c r="F135" s="361">
        <f>32000+178125</f>
        <v>210125</v>
      </c>
    </row>
    <row r="136" spans="1:6" x14ac:dyDescent="0.2">
      <c r="A136" s="361" t="s">
        <v>213</v>
      </c>
      <c r="B136" s="361" t="s">
        <v>214</v>
      </c>
      <c r="C136" s="362">
        <v>276809.53999999998</v>
      </c>
      <c r="D136" s="362"/>
    </row>
    <row r="137" spans="1:6" x14ac:dyDescent="0.2">
      <c r="A137" s="361" t="s">
        <v>231</v>
      </c>
      <c r="B137" s="361" t="s">
        <v>232</v>
      </c>
      <c r="C137" s="362">
        <v>5578158.7000000002</v>
      </c>
      <c r="D137" s="362"/>
    </row>
    <row r="138" spans="1:6" x14ac:dyDescent="0.2">
      <c r="A138" s="361" t="s">
        <v>235</v>
      </c>
      <c r="B138" s="361" t="s">
        <v>236</v>
      </c>
      <c r="C138" s="362">
        <v>94500</v>
      </c>
      <c r="D138" s="362"/>
    </row>
    <row r="139" spans="1:6" s="369" customFormat="1" x14ac:dyDescent="0.2">
      <c r="A139" s="369" t="s">
        <v>261</v>
      </c>
      <c r="B139" s="369" t="s">
        <v>262</v>
      </c>
      <c r="C139" s="370">
        <f>1916732+55645</f>
        <v>1972377</v>
      </c>
      <c r="D139" s="370"/>
    </row>
    <row r="140" spans="1:6" s="369" customFormat="1" x14ac:dyDescent="0.2">
      <c r="A140" s="369" t="s">
        <v>263</v>
      </c>
      <c r="B140" s="369" t="s">
        <v>264</v>
      </c>
      <c r="C140" s="370">
        <f>62400+1094502</f>
        <v>1156902</v>
      </c>
      <c r="D140" s="370"/>
    </row>
    <row r="141" spans="1:6" s="369" customFormat="1" x14ac:dyDescent="0.2">
      <c r="A141" s="369" t="s">
        <v>265</v>
      </c>
      <c r="B141" s="369" t="s">
        <v>1489</v>
      </c>
      <c r="C141" s="370">
        <v>193404</v>
      </c>
      <c r="D141" s="370"/>
    </row>
    <row r="142" spans="1:6" s="387" customFormat="1" x14ac:dyDescent="0.2">
      <c r="A142" s="360" t="s">
        <v>922</v>
      </c>
      <c r="B142" s="360" t="s">
        <v>1554</v>
      </c>
      <c r="C142" s="385">
        <v>389376</v>
      </c>
      <c r="D142" s="386"/>
    </row>
    <row r="143" spans="1:6" x14ac:dyDescent="0.2">
      <c r="A143" s="361" t="s">
        <v>254</v>
      </c>
      <c r="B143" s="361" t="s">
        <v>1491</v>
      </c>
      <c r="C143" s="362">
        <v>209880</v>
      </c>
      <c r="D143" s="362"/>
    </row>
    <row r="144" spans="1:6" x14ac:dyDescent="0.2">
      <c r="A144" s="361" t="s">
        <v>255</v>
      </c>
      <c r="B144" s="361" t="s">
        <v>1492</v>
      </c>
      <c r="C144" s="362">
        <v>30140.16</v>
      </c>
      <c r="D144" s="362"/>
    </row>
    <row r="145" spans="1:7" s="380" customFormat="1" x14ac:dyDescent="0.2">
      <c r="A145" s="380" t="s">
        <v>289</v>
      </c>
      <c r="B145" s="380" t="s">
        <v>290</v>
      </c>
      <c r="C145" s="381">
        <v>106177.56</v>
      </c>
      <c r="D145" s="381"/>
    </row>
    <row r="146" spans="1:7" s="380" customFormat="1" x14ac:dyDescent="0.2">
      <c r="A146" s="380" t="s">
        <v>291</v>
      </c>
      <c r="B146" s="380" t="s">
        <v>292</v>
      </c>
      <c r="C146" s="381">
        <v>159266.34</v>
      </c>
      <c r="D146" s="381"/>
    </row>
    <row r="147" spans="1:7" s="363" customFormat="1" x14ac:dyDescent="0.2">
      <c r="A147" s="363" t="s">
        <v>295</v>
      </c>
      <c r="B147" s="363" t="s">
        <v>1498</v>
      </c>
      <c r="C147" s="364">
        <f>106507+155015+11400</f>
        <v>272922</v>
      </c>
      <c r="D147" s="364"/>
    </row>
    <row r="148" spans="1:7" x14ac:dyDescent="0.2">
      <c r="A148" s="361" t="s">
        <v>274</v>
      </c>
      <c r="B148" s="361" t="s">
        <v>275</v>
      </c>
      <c r="C148" s="362">
        <v>617000</v>
      </c>
      <c r="D148" s="362"/>
      <c r="F148" s="361">
        <f>54000+59000+54000+53500+53500</f>
        <v>274000</v>
      </c>
      <c r="G148" s="361">
        <f>49000*7</f>
        <v>343000</v>
      </c>
    </row>
    <row r="149" spans="1:7" s="363" customFormat="1" x14ac:dyDescent="0.2">
      <c r="A149" s="327" t="s">
        <v>277</v>
      </c>
      <c r="B149" s="327" t="s">
        <v>278</v>
      </c>
      <c r="C149" s="408">
        <v>85000</v>
      </c>
      <c r="D149" s="364"/>
      <c r="F149" s="363">
        <f>5000*5</f>
        <v>25000</v>
      </c>
      <c r="G149" s="363">
        <f>10000*6</f>
        <v>60000</v>
      </c>
    </row>
    <row r="150" spans="1:7" x14ac:dyDescent="0.2">
      <c r="A150" s="361" t="s">
        <v>281</v>
      </c>
      <c r="B150" s="361" t="s">
        <v>282</v>
      </c>
      <c r="C150" s="362">
        <v>0</v>
      </c>
      <c r="D150" s="362"/>
    </row>
    <row r="151" spans="1:7" s="363" customFormat="1" x14ac:dyDescent="0.2">
      <c r="A151" s="363" t="s">
        <v>924</v>
      </c>
      <c r="B151" s="363" t="s">
        <v>925</v>
      </c>
      <c r="C151" s="364">
        <f>134900*12</f>
        <v>1618800</v>
      </c>
      <c r="D151" s="364"/>
    </row>
    <row r="152" spans="1:7" s="382" customFormat="1" x14ac:dyDescent="0.2">
      <c r="A152" s="382" t="s">
        <v>315</v>
      </c>
      <c r="B152" s="382" t="s">
        <v>301</v>
      </c>
      <c r="C152" s="383">
        <v>25000</v>
      </c>
      <c r="D152" s="383"/>
    </row>
    <row r="153" spans="1:7" s="382" customFormat="1" x14ac:dyDescent="0.2">
      <c r="A153" t="s">
        <v>302</v>
      </c>
      <c r="B153" t="s">
        <v>303</v>
      </c>
      <c r="C153" s="343">
        <v>174925</v>
      </c>
      <c r="D153" s="383"/>
    </row>
    <row r="154" spans="1:7" s="382" customFormat="1" x14ac:dyDescent="0.2">
      <c r="A154" s="382" t="s">
        <v>316</v>
      </c>
      <c r="B154" s="382" t="s">
        <v>317</v>
      </c>
      <c r="C154" s="383"/>
      <c r="D154" s="383"/>
    </row>
    <row r="155" spans="1:7" s="374" customFormat="1" x14ac:dyDescent="0.2">
      <c r="A155" s="374" t="s">
        <v>324</v>
      </c>
      <c r="B155" s="374" t="s">
        <v>325</v>
      </c>
      <c r="C155" s="362">
        <v>43000</v>
      </c>
      <c r="D155" s="362"/>
    </row>
    <row r="156" spans="1:7" s="378" customFormat="1" x14ac:dyDescent="0.2">
      <c r="A156" s="378" t="s">
        <v>328</v>
      </c>
      <c r="B156" s="378" t="s">
        <v>329</v>
      </c>
      <c r="C156" s="379">
        <v>24208</v>
      </c>
      <c r="D156" s="379"/>
    </row>
    <row r="157" spans="1:7" s="378" customFormat="1" x14ac:dyDescent="0.2">
      <c r="A157" s="378" t="s">
        <v>330</v>
      </c>
      <c r="B157" s="378" t="s">
        <v>331</v>
      </c>
      <c r="C157" s="379">
        <v>118908</v>
      </c>
      <c r="D157" s="379"/>
    </row>
    <row r="158" spans="1:7" s="378" customFormat="1" x14ac:dyDescent="0.2">
      <c r="A158" s="378" t="s">
        <v>332</v>
      </c>
      <c r="B158" s="378" t="s">
        <v>333</v>
      </c>
      <c r="C158" s="379">
        <v>237774</v>
      </c>
      <c r="D158" s="379"/>
    </row>
    <row r="159" spans="1:7" x14ac:dyDescent="0.2">
      <c r="A159" s="361" t="s">
        <v>938</v>
      </c>
      <c r="B159" s="361" t="s">
        <v>399</v>
      </c>
      <c r="C159" s="362">
        <v>278867.15999999997</v>
      </c>
      <c r="D159" s="362"/>
    </row>
    <row r="160" spans="1:7" x14ac:dyDescent="0.2">
      <c r="A160" s="361" t="s">
        <v>940</v>
      </c>
      <c r="B160" s="361" t="s">
        <v>401</v>
      </c>
      <c r="C160" s="362">
        <v>51074.400000000001</v>
      </c>
      <c r="D160" s="362"/>
    </row>
    <row r="161" spans="1:7" x14ac:dyDescent="0.2">
      <c r="A161" s="361" t="s">
        <v>942</v>
      </c>
      <c r="B161" s="361" t="s">
        <v>403</v>
      </c>
      <c r="C161" s="362">
        <v>280538.18</v>
      </c>
      <c r="D161" s="362"/>
    </row>
    <row r="162" spans="1:7" x14ac:dyDescent="0.2">
      <c r="A162" s="361" t="s">
        <v>943</v>
      </c>
      <c r="B162" s="361" t="s">
        <v>404</v>
      </c>
      <c r="C162" s="362">
        <v>481982.56</v>
      </c>
      <c r="D162" s="362"/>
    </row>
    <row r="163" spans="1:7" x14ac:dyDescent="0.2">
      <c r="A163" s="361" t="s">
        <v>945</v>
      </c>
      <c r="B163" s="361" t="s">
        <v>410</v>
      </c>
      <c r="C163" s="362">
        <f>19767.27+12342.3</f>
        <v>32109.57</v>
      </c>
      <c r="D163" s="362"/>
    </row>
    <row r="164" spans="1:7" x14ac:dyDescent="0.2">
      <c r="A164" s="361" t="s">
        <v>338</v>
      </c>
      <c r="B164" s="361" t="s">
        <v>339</v>
      </c>
      <c r="C164" s="362">
        <v>87950</v>
      </c>
      <c r="D164" s="362"/>
    </row>
    <row r="165" spans="1:7" x14ac:dyDescent="0.2">
      <c r="A165" s="361" t="s">
        <v>344</v>
      </c>
      <c r="B165" s="361" t="s">
        <v>345</v>
      </c>
      <c r="C165" s="362">
        <v>9500</v>
      </c>
      <c r="D165" s="362"/>
    </row>
    <row r="166" spans="1:7" x14ac:dyDescent="0.2">
      <c r="A166" s="361" t="s">
        <v>947</v>
      </c>
      <c r="B166" s="361" t="s">
        <v>948</v>
      </c>
      <c r="C166" s="362">
        <v>13945</v>
      </c>
      <c r="D166" s="362"/>
    </row>
    <row r="167" spans="1:7" s="378" customFormat="1" x14ac:dyDescent="0.2">
      <c r="A167" s="378" t="s">
        <v>369</v>
      </c>
      <c r="B167" s="378" t="s">
        <v>370</v>
      </c>
      <c r="C167" s="379">
        <v>60394.2</v>
      </c>
      <c r="D167" s="379"/>
    </row>
    <row r="168" spans="1:7" x14ac:dyDescent="0.2">
      <c r="A168" s="361" t="s">
        <v>371</v>
      </c>
      <c r="B168" s="361" t="s">
        <v>1507</v>
      </c>
      <c r="C168" s="362">
        <v>0</v>
      </c>
      <c r="D168" s="362"/>
    </row>
    <row r="169" spans="1:7" s="378" customFormat="1" x14ac:dyDescent="0.2">
      <c r="A169" s="378" t="s">
        <v>373</v>
      </c>
      <c r="B169" s="378" t="s">
        <v>1508</v>
      </c>
      <c r="C169" s="379">
        <v>276058.08</v>
      </c>
      <c r="D169" s="379"/>
    </row>
    <row r="170" spans="1:7" s="378" customFormat="1" x14ac:dyDescent="0.2">
      <c r="A170" s="378" t="s">
        <v>374</v>
      </c>
      <c r="B170" s="378" t="s">
        <v>375</v>
      </c>
      <c r="C170" s="379">
        <f>431690.4+11131.92</f>
        <v>442822.32</v>
      </c>
      <c r="D170" s="379"/>
    </row>
    <row r="171" spans="1:7" x14ac:dyDescent="0.2">
      <c r="A171" s="361" t="s">
        <v>376</v>
      </c>
      <c r="B171" s="361" t="s">
        <v>377</v>
      </c>
      <c r="C171" s="362">
        <v>103900</v>
      </c>
      <c r="D171" s="362"/>
    </row>
    <row r="172" spans="1:7" x14ac:dyDescent="0.2">
      <c r="A172" s="361" t="s">
        <v>390</v>
      </c>
      <c r="B172" s="361" t="s">
        <v>391</v>
      </c>
      <c r="C172" s="362">
        <f>517925.88+140000+58679.2</f>
        <v>716605.08</v>
      </c>
      <c r="D172" s="362"/>
      <c r="F172" s="372">
        <f>+C172</f>
        <v>716605.08</v>
      </c>
    </row>
    <row r="173" spans="1:7" x14ac:dyDescent="0.2">
      <c r="A173" s="361" t="s">
        <v>393</v>
      </c>
      <c r="B173" s="361" t="s">
        <v>394</v>
      </c>
      <c r="C173" s="362">
        <v>1284</v>
      </c>
      <c r="D173" s="362"/>
      <c r="F173" s="372">
        <f t="shared" ref="F173:F174" si="0">+C173</f>
        <v>1284</v>
      </c>
    </row>
    <row r="174" spans="1:7" x14ac:dyDescent="0.2">
      <c r="A174" s="361" t="s">
        <v>395</v>
      </c>
      <c r="B174" s="361" t="s">
        <v>396</v>
      </c>
      <c r="C174" s="362">
        <v>10590.92</v>
      </c>
      <c r="D174" s="362"/>
      <c r="F174" s="372">
        <f t="shared" si="0"/>
        <v>10590.92</v>
      </c>
    </row>
    <row r="175" spans="1:7" x14ac:dyDescent="0.2">
      <c r="A175" s="361" t="s">
        <v>384</v>
      </c>
      <c r="B175" s="361" t="s">
        <v>385</v>
      </c>
      <c r="C175" s="362">
        <v>31214.02</v>
      </c>
      <c r="D175" s="362"/>
    </row>
    <row r="176" spans="1:7" x14ac:dyDescent="0.2">
      <c r="A176" s="361" t="s">
        <v>220</v>
      </c>
      <c r="B176" s="361" t="s">
        <v>221</v>
      </c>
      <c r="C176" s="362">
        <v>3869684.9</v>
      </c>
      <c r="D176" s="362"/>
      <c r="F176" s="372">
        <f>SUM(F172:F175)</f>
        <v>728480</v>
      </c>
      <c r="G176" s="365"/>
    </row>
    <row r="177" spans="1:8" x14ac:dyDescent="0.2">
      <c r="A177" s="361" t="s">
        <v>222</v>
      </c>
      <c r="B177" s="361" t="s">
        <v>1510</v>
      </c>
      <c r="C177" s="362">
        <f>583527.68-114099.27-100000</f>
        <v>369428.41000000003</v>
      </c>
      <c r="D177" s="362"/>
      <c r="G177" s="373"/>
    </row>
    <row r="178" spans="1:8" x14ac:dyDescent="0.2">
      <c r="A178" s="361" t="s">
        <v>224</v>
      </c>
      <c r="B178" s="361" t="s">
        <v>1511</v>
      </c>
      <c r="C178" s="362">
        <f>657005-20000</f>
        <v>637005</v>
      </c>
      <c r="D178" s="362"/>
    </row>
    <row r="179" spans="1:8" s="382" customFormat="1" x14ac:dyDescent="0.2">
      <c r="A179" s="382" t="s">
        <v>227</v>
      </c>
      <c r="B179" s="382" t="s">
        <v>228</v>
      </c>
      <c r="C179" s="383">
        <f>2161338.55+551269.15</f>
        <v>2712607.6999999997</v>
      </c>
      <c r="D179" s="383"/>
      <c r="F179" s="384">
        <v>2712607.7</v>
      </c>
      <c r="G179" s="383">
        <f>+C179-F179</f>
        <v>0</v>
      </c>
    </row>
    <row r="180" spans="1:8" x14ac:dyDescent="0.2">
      <c r="A180" s="361" t="s">
        <v>225</v>
      </c>
      <c r="B180" s="361" t="s">
        <v>226</v>
      </c>
      <c r="C180" s="362">
        <v>154243.07</v>
      </c>
      <c r="D180" s="362"/>
    </row>
    <row r="181" spans="1:8" x14ac:dyDescent="0.2">
      <c r="A181" s="361" t="s">
        <v>407</v>
      </c>
      <c r="B181" s="361" t="s">
        <v>408</v>
      </c>
      <c r="C181" s="362">
        <v>67775</v>
      </c>
      <c r="D181" s="362"/>
    </row>
    <row r="182" spans="1:8" x14ac:dyDescent="0.2">
      <c r="A182" s="361" t="s">
        <v>412</v>
      </c>
      <c r="B182" s="361" t="s">
        <v>1513</v>
      </c>
      <c r="C182" s="362">
        <v>507610</v>
      </c>
      <c r="D182" s="362"/>
    </row>
    <row r="183" spans="1:8" s="363" customFormat="1" x14ac:dyDescent="0.2">
      <c r="A183" s="363" t="s">
        <v>512</v>
      </c>
      <c r="B183" s="363" t="s">
        <v>1515</v>
      </c>
      <c r="C183" s="364">
        <v>868600</v>
      </c>
      <c r="D183" s="364"/>
    </row>
    <row r="184" spans="1:8" s="363" customFormat="1" x14ac:dyDescent="0.2">
      <c r="A184" s="363" t="s">
        <v>513</v>
      </c>
      <c r="B184" s="363" t="s">
        <v>514</v>
      </c>
      <c r="C184" s="364">
        <v>155510</v>
      </c>
      <c r="D184" s="364"/>
    </row>
    <row r="185" spans="1:8" x14ac:dyDescent="0.2">
      <c r="A185" s="361" t="s">
        <v>955</v>
      </c>
      <c r="B185" s="361" t="s">
        <v>956</v>
      </c>
      <c r="C185" s="362">
        <v>150000</v>
      </c>
      <c r="D185" s="362"/>
    </row>
    <row r="186" spans="1:8" x14ac:dyDescent="0.2">
      <c r="A186" s="361" t="s">
        <v>515</v>
      </c>
      <c r="B186" s="361" t="s">
        <v>1516</v>
      </c>
      <c r="C186" s="362">
        <v>3289113.56</v>
      </c>
      <c r="D186" s="362"/>
    </row>
    <row r="187" spans="1:8" x14ac:dyDescent="0.2">
      <c r="A187" s="361" t="s">
        <v>516</v>
      </c>
      <c r="B187" s="361" t="s">
        <v>1517</v>
      </c>
      <c r="C187" s="362">
        <v>359362</v>
      </c>
      <c r="D187" s="362"/>
      <c r="F187" s="361">
        <f>77440*12</f>
        <v>929280</v>
      </c>
    </row>
    <row r="188" spans="1:8" s="387" customFormat="1" x14ac:dyDescent="0.2">
      <c r="A188" s="387" t="s">
        <v>959</v>
      </c>
      <c r="B188" s="387" t="s">
        <v>960</v>
      </c>
      <c r="C188" s="386">
        <v>3954148</v>
      </c>
      <c r="D188" s="386"/>
      <c r="F188" s="387">
        <v>398880</v>
      </c>
      <c r="G188" s="387">
        <f>+F188/12</f>
        <v>33240</v>
      </c>
    </row>
    <row r="189" spans="1:8" s="387" customFormat="1" x14ac:dyDescent="0.2">
      <c r="A189" s="387" t="s">
        <v>963</v>
      </c>
      <c r="B189" s="387" t="s">
        <v>964</v>
      </c>
      <c r="C189" s="386">
        <v>0</v>
      </c>
      <c r="D189" s="386"/>
      <c r="F189" s="387">
        <f>67200+H189</f>
        <v>116700</v>
      </c>
      <c r="G189" s="387">
        <f>+H189/5</f>
        <v>9900</v>
      </c>
      <c r="H189" s="387">
        <f>10800+9600+11700+9000+8400</f>
        <v>49500</v>
      </c>
    </row>
    <row r="190" spans="1:8" s="387" customFormat="1" x14ac:dyDescent="0.2">
      <c r="A190" s="387" t="s">
        <v>969</v>
      </c>
      <c r="B190" s="387" t="s">
        <v>271</v>
      </c>
      <c r="C190" s="386">
        <v>360000</v>
      </c>
      <c r="D190" s="386"/>
      <c r="F190" s="387">
        <f>+G190*12</f>
        <v>496896</v>
      </c>
      <c r="G190" s="387">
        <f>+H190/5</f>
        <v>41408</v>
      </c>
      <c r="H190" s="387">
        <f>43920+39600+43920+42160+37440</f>
        <v>207040</v>
      </c>
    </row>
    <row r="191" spans="1:8" s="387" customFormat="1" x14ac:dyDescent="0.2">
      <c r="A191" s="387" t="s">
        <v>970</v>
      </c>
      <c r="B191" s="387" t="s">
        <v>272</v>
      </c>
      <c r="C191" s="386">
        <v>240000</v>
      </c>
      <c r="D191" s="386"/>
      <c r="F191" s="387">
        <f>+G191+H191</f>
        <v>231000</v>
      </c>
      <c r="G191" s="387">
        <f>13800*5</f>
        <v>69000</v>
      </c>
      <c r="H191" s="387">
        <f>25800+22800+25800+24600+21600+24600+16800</f>
        <v>162000</v>
      </c>
    </row>
    <row r="192" spans="1:8" s="387" customFormat="1" x14ac:dyDescent="0.2">
      <c r="A192" s="387" t="s">
        <v>971</v>
      </c>
      <c r="B192" s="387" t="s">
        <v>273</v>
      </c>
      <c r="C192" s="386">
        <v>15000</v>
      </c>
      <c r="D192" s="386"/>
      <c r="F192" s="387">
        <v>1496592</v>
      </c>
    </row>
    <row r="193" spans="1:7" x14ac:dyDescent="0.2">
      <c r="A193" s="361" t="s">
        <v>413</v>
      </c>
      <c r="B193" s="361" t="s">
        <v>414</v>
      </c>
      <c r="C193" s="362">
        <f>35305.64+3600.25</f>
        <v>38905.89</v>
      </c>
      <c r="D193" s="362"/>
      <c r="F193" s="361">
        <v>32400</v>
      </c>
    </row>
    <row r="194" spans="1:7" x14ac:dyDescent="0.2">
      <c r="A194" s="361" t="s">
        <v>417</v>
      </c>
      <c r="B194" s="361" t="s">
        <v>418</v>
      </c>
      <c r="C194" s="362">
        <f>312301.58+31846.54</f>
        <v>344148.12</v>
      </c>
      <c r="D194" s="362"/>
      <c r="F194" s="361">
        <v>32400</v>
      </c>
      <c r="G194" s="361">
        <f>+F187+F188+F189+F190+F191+F192+F193+F194+F195</f>
        <v>3854148</v>
      </c>
    </row>
    <row r="195" spans="1:7" x14ac:dyDescent="0.2">
      <c r="A195" s="361" t="s">
        <v>419</v>
      </c>
      <c r="B195" s="361" t="s">
        <v>420</v>
      </c>
      <c r="C195" s="362">
        <f>20168.83+2056.69</f>
        <v>22225.52</v>
      </c>
      <c r="D195" s="362"/>
      <c r="F195" s="361">
        <v>120000</v>
      </c>
    </row>
    <row r="196" spans="1:7" x14ac:dyDescent="0.2">
      <c r="A196" s="361" t="s">
        <v>431</v>
      </c>
      <c r="B196" s="361" t="s">
        <v>432</v>
      </c>
      <c r="C196" s="362">
        <f>1405.38+143.32</f>
        <v>1548.7</v>
      </c>
      <c r="D196" s="362"/>
    </row>
    <row r="197" spans="1:7" x14ac:dyDescent="0.2">
      <c r="A197" s="361" t="s">
        <v>433</v>
      </c>
      <c r="B197" s="361" t="s">
        <v>434</v>
      </c>
      <c r="C197" s="362">
        <f>454516.98+46348.77</f>
        <v>500865.75</v>
      </c>
      <c r="D197" s="362"/>
    </row>
    <row r="198" spans="1:7" x14ac:dyDescent="0.2">
      <c r="A198" s="361" t="s">
        <v>435</v>
      </c>
      <c r="B198" s="361" t="s">
        <v>436</v>
      </c>
      <c r="C198" s="362">
        <f>206553.26+21063</f>
        <v>227616.26</v>
      </c>
      <c r="D198" s="362"/>
    </row>
    <row r="199" spans="1:7" x14ac:dyDescent="0.2">
      <c r="A199" s="361" t="s">
        <v>443</v>
      </c>
      <c r="B199" s="361" t="s">
        <v>444</v>
      </c>
      <c r="C199" s="362">
        <f>38844.42+380925.92</f>
        <v>419770.33999999997</v>
      </c>
      <c r="D199" s="362"/>
    </row>
    <row r="200" spans="1:7" x14ac:dyDescent="0.2">
      <c r="A200" s="361" t="s">
        <v>445</v>
      </c>
      <c r="B200" s="361" t="s">
        <v>446</v>
      </c>
      <c r="C200" s="362">
        <f>544.67+5341.24</f>
        <v>5885.91</v>
      </c>
      <c r="D200" s="362"/>
    </row>
    <row r="201" spans="1:7" x14ac:dyDescent="0.2">
      <c r="A201" s="361" t="s">
        <v>447</v>
      </c>
      <c r="B201" s="361" t="s">
        <v>448</v>
      </c>
      <c r="C201" s="362">
        <v>0</v>
      </c>
      <c r="D201" s="362"/>
    </row>
    <row r="202" spans="1:7" x14ac:dyDescent="0.2">
      <c r="A202" s="361" t="s">
        <v>461</v>
      </c>
      <c r="B202" s="361" t="s">
        <v>462</v>
      </c>
      <c r="C202" s="362">
        <f>26.3+26.3</f>
        <v>52.6</v>
      </c>
      <c r="D202" s="362"/>
    </row>
    <row r="203" spans="1:7" x14ac:dyDescent="0.2">
      <c r="A203" s="361" t="s">
        <v>463</v>
      </c>
      <c r="B203" s="361" t="s">
        <v>464</v>
      </c>
      <c r="C203" s="362">
        <f>557.86+5470.56</f>
        <v>6028.42</v>
      </c>
      <c r="D203" s="362"/>
    </row>
    <row r="204" spans="1:7" x14ac:dyDescent="0.2">
      <c r="A204" s="361" t="s">
        <v>475</v>
      </c>
      <c r="B204" s="361" t="s">
        <v>476</v>
      </c>
      <c r="C204" s="362">
        <f>11134.2+86572.97</f>
        <v>97707.17</v>
      </c>
      <c r="D204" s="362"/>
    </row>
    <row r="205" spans="1:7" x14ac:dyDescent="0.2">
      <c r="A205" s="361" t="s">
        <v>477</v>
      </c>
      <c r="B205" s="361" t="s">
        <v>478</v>
      </c>
      <c r="C205" s="362">
        <f>560.53+2603.76</f>
        <v>3164.29</v>
      </c>
      <c r="D205" s="362"/>
    </row>
    <row r="206" spans="1:7" x14ac:dyDescent="0.2">
      <c r="A206" s="361" t="s">
        <v>479</v>
      </c>
      <c r="B206" s="361" t="s">
        <v>480</v>
      </c>
      <c r="C206" s="362">
        <f>434.82+4025.55</f>
        <v>4460.37</v>
      </c>
      <c r="D206" s="362"/>
    </row>
    <row r="207" spans="1:7" x14ac:dyDescent="0.2">
      <c r="A207" s="361" t="s">
        <v>481</v>
      </c>
      <c r="B207" s="361" t="s">
        <v>482</v>
      </c>
      <c r="C207" s="362">
        <f>2577.44+4467.72</f>
        <v>7045.16</v>
      </c>
      <c r="D207" s="362"/>
    </row>
    <row r="208" spans="1:7" x14ac:dyDescent="0.2">
      <c r="A208" s="361" t="s">
        <v>485</v>
      </c>
      <c r="B208" s="361" t="s">
        <v>486</v>
      </c>
      <c r="C208" s="362">
        <f>292.97+1549.91</f>
        <v>1842.88</v>
      </c>
      <c r="D208" s="362"/>
    </row>
    <row r="209" spans="1:4" x14ac:dyDescent="0.2">
      <c r="A209" s="361" t="s">
        <v>487</v>
      </c>
      <c r="B209" s="361" t="s">
        <v>488</v>
      </c>
      <c r="C209" s="362">
        <f>12815.11+52207.39</f>
        <v>65022.5</v>
      </c>
      <c r="D209" s="362"/>
    </row>
    <row r="210" spans="1:4" x14ac:dyDescent="0.2">
      <c r="A210" s="361" t="s">
        <v>489</v>
      </c>
      <c r="B210" s="361" t="s">
        <v>490</v>
      </c>
      <c r="C210" s="362">
        <f>24472.72+197327.63</f>
        <v>221800.35</v>
      </c>
      <c r="D210" s="362"/>
    </row>
    <row r="211" spans="1:4" x14ac:dyDescent="0.2">
      <c r="A211" s="361" t="s">
        <v>491</v>
      </c>
      <c r="B211" s="361" t="s">
        <v>492</v>
      </c>
      <c r="C211" s="362">
        <f>6636.73+39366.32</f>
        <v>46003.05</v>
      </c>
      <c r="D211" s="362"/>
    </row>
    <row r="212" spans="1:4" x14ac:dyDescent="0.2">
      <c r="A212" s="361" t="s">
        <v>603</v>
      </c>
      <c r="B212" s="361" t="s">
        <v>604</v>
      </c>
      <c r="C212" s="362">
        <v>90</v>
      </c>
      <c r="D212" s="3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4</vt:i4>
      </vt:variant>
    </vt:vector>
  </HeadingPairs>
  <TitlesOfParts>
    <vt:vector size="21" baseType="lpstr">
      <vt:lpstr>Sheet1</vt:lpstr>
      <vt:lpstr>Planfin2561</vt:lpstr>
      <vt:lpstr>Revenue</vt:lpstr>
      <vt:lpstr>Expense</vt:lpstr>
      <vt:lpstr>HGR2559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7.WS-แผน รพ.สต.</vt:lpstr>
      <vt:lpstr>PlanFin Analysis</vt:lpstr>
      <vt:lpstr>WS2-9</vt:lpstr>
      <vt:lpstr>Planfin2561!Print_Area</vt:lpstr>
      <vt:lpstr>Revenue!Print_Area</vt:lpstr>
      <vt:lpstr>'1.WS-Re-Exp'!Print_Titles</vt:lpstr>
      <vt:lpstr>Planfin2561!Print_Titles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COM</cp:lastModifiedBy>
  <cp:lastPrinted>2018-03-28T11:01:32Z</cp:lastPrinted>
  <dcterms:created xsi:type="dcterms:W3CDTF">2016-07-25T14:36:11Z</dcterms:created>
  <dcterms:modified xsi:type="dcterms:W3CDTF">2018-03-28T11:07:01Z</dcterms:modified>
</cp:coreProperties>
</file>