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20115" windowHeight="7575" tabRatio="741"/>
  </bookViews>
  <sheets>
    <sheet name="สรุป" sheetId="23" r:id="rId1"/>
    <sheet name="อ.เมือง" sheetId="14" r:id="rId2"/>
    <sheet name="อรัญ" sheetId="18" r:id="rId3"/>
    <sheet name="ตะพระยา" sheetId="22" r:id="rId4"/>
    <sheet name="คลองหาด" sheetId="13" r:id="rId5"/>
    <sheet name="วังน้ำเย็น" sheetId="17" r:id="rId6"/>
    <sheet name="วังสมบูรณ์" sheetId="15" r:id="rId7"/>
    <sheet name="โคกสูง." sheetId="20" r:id="rId8"/>
    <sheet name="เขาฉกรรจ์" sheetId="21" r:id="rId9"/>
    <sheet name="วัฒนา" sheetId="19" r:id="rId10"/>
  </sheets>
  <definedNames>
    <definedName name="_xlnm.Print_Area" localSheetId="8">เขาฉกรรจ์!$A$1:$U$32</definedName>
    <definedName name="_xlnm.Print_Area" localSheetId="4">คลองหาด!$A$1:$AA$32</definedName>
    <definedName name="_xlnm.Print_Area" localSheetId="7">โคกสูง.!$A$1:$Y$34</definedName>
    <definedName name="_xlnm.Print_Area" localSheetId="3">ตะพระยา!$A$1:$AI$32</definedName>
    <definedName name="_xlnm.Print_Area" localSheetId="5">วังน้ำเย็น!$A$1:$S$32</definedName>
    <definedName name="_xlnm.Print_Area" localSheetId="6">วังสมบูรณ์!$A$1:$U$32</definedName>
    <definedName name="_xlnm.Print_Area" localSheetId="9">วัฒนา!$A$1:$AU$32</definedName>
    <definedName name="_xlnm.Print_Area" localSheetId="0">สรุป!$A$1:$O$32</definedName>
    <definedName name="_xlnm.Print_Area" localSheetId="1">อ.เมือง!$A$1:$AW$34</definedName>
    <definedName name="_xlnm.Print_Area" localSheetId="2">อรัญ!$A$1:$AO$34</definedName>
    <definedName name="_xlnm.Print_Titles" localSheetId="8">เขาฉกรรจ์!$2:$3</definedName>
    <definedName name="_xlnm.Print_Titles" localSheetId="4">คลองหาด!$2:$3</definedName>
    <definedName name="_xlnm.Print_Titles" localSheetId="7">โคกสูง.!$2:$3</definedName>
    <definedName name="_xlnm.Print_Titles" localSheetId="3">ตะพระยา!$A:$C,ตะพระยา!$2:$3</definedName>
    <definedName name="_xlnm.Print_Titles" localSheetId="5">วังน้ำเย็น!$2:$3</definedName>
    <definedName name="_xlnm.Print_Titles" localSheetId="6">วังสมบูรณ์!$2:$3</definedName>
    <definedName name="_xlnm.Print_Titles" localSheetId="9">วัฒนา!$A:$C,วัฒนา!$2:$3</definedName>
    <definedName name="_xlnm.Print_Titles" localSheetId="0">สรุป!$A:$C,สรุป!$2:$3</definedName>
    <definedName name="_xlnm.Print_Titles" localSheetId="1">อ.เมือง!$A:$C,อ.เมือง!$2:$3</definedName>
    <definedName name="_xlnm.Print_Titles" localSheetId="2">อรัญ!$A:$C,อรัญ!$2:$3</definedName>
  </definedNames>
  <calcPr calcId="145621"/>
</workbook>
</file>

<file path=xl/calcChain.xml><?xml version="1.0" encoding="utf-8"?>
<calcChain xmlns="http://schemas.openxmlformats.org/spreadsheetml/2006/main">
  <c r="AT32" i="19" l="1"/>
  <c r="AT31" i="19"/>
  <c r="AT30" i="19"/>
  <c r="AT29" i="19"/>
  <c r="AT28" i="19"/>
  <c r="AT27" i="19"/>
  <c r="AT26" i="19"/>
  <c r="AT25" i="19"/>
  <c r="AT24" i="19"/>
  <c r="AT23" i="19"/>
  <c r="AT22" i="19"/>
  <c r="AT21" i="19"/>
  <c r="AT20" i="19"/>
  <c r="AT19" i="19"/>
  <c r="AT18" i="19"/>
  <c r="AT17" i="19"/>
  <c r="AT16" i="19"/>
  <c r="AT15" i="19"/>
  <c r="AT14" i="19"/>
  <c r="AT13" i="19"/>
  <c r="AT12" i="19"/>
  <c r="AT11" i="19"/>
  <c r="AT10" i="19"/>
  <c r="AT9" i="19"/>
  <c r="AT8" i="19"/>
  <c r="AT7" i="19"/>
  <c r="AT6" i="19"/>
  <c r="AT5" i="19"/>
  <c r="AT4" i="19"/>
  <c r="AR28" i="19"/>
  <c r="AR32" i="19"/>
  <c r="AR29" i="19"/>
  <c r="AR27" i="19"/>
  <c r="AR26" i="19"/>
  <c r="AR25" i="19"/>
  <c r="AR24" i="19"/>
  <c r="AR23" i="19"/>
  <c r="AR22" i="19"/>
  <c r="AR21" i="19"/>
  <c r="AR20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R6" i="19"/>
  <c r="AR5" i="19"/>
  <c r="AR4" i="19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X32" i="20"/>
  <c r="X31" i="20"/>
  <c r="X30" i="20"/>
  <c r="X29" i="20"/>
  <c r="X28" i="20"/>
  <c r="X27" i="20"/>
  <c r="X26" i="20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X8" i="20"/>
  <c r="X7" i="20"/>
  <c r="X6" i="20"/>
  <c r="X5" i="20"/>
  <c r="X4" i="20"/>
  <c r="V32" i="20"/>
  <c r="V31" i="20"/>
  <c r="V30" i="20"/>
  <c r="V29" i="20"/>
  <c r="V28" i="20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V10" i="20"/>
  <c r="V9" i="20"/>
  <c r="V8" i="20"/>
  <c r="V7" i="20"/>
  <c r="V6" i="20"/>
  <c r="V5" i="20"/>
  <c r="V4" i="20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Z6" i="13"/>
  <c r="Z5" i="13"/>
  <c r="Z4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AJ32" i="22"/>
  <c r="AJ31" i="22"/>
  <c r="AJ30" i="22"/>
  <c r="AJ29" i="22"/>
  <c r="AJ28" i="22"/>
  <c r="AJ27" i="22"/>
  <c r="AJ26" i="22"/>
  <c r="AJ25" i="22"/>
  <c r="AJ24" i="22"/>
  <c r="AJ23" i="22"/>
  <c r="AJ22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8" i="22"/>
  <c r="AJ7" i="22"/>
  <c r="AJ6" i="22"/>
  <c r="AJ5" i="22"/>
  <c r="AJ4" i="22"/>
  <c r="AH32" i="22"/>
  <c r="AH4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N32" i="18"/>
  <c r="AN31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L32" i="18"/>
  <c r="AL31" i="18"/>
  <c r="AL30" i="18"/>
  <c r="AL29" i="18"/>
  <c r="AL28" i="18"/>
  <c r="AL27" i="18"/>
  <c r="AL26" i="18"/>
  <c r="AL25" i="18"/>
  <c r="AL24" i="18"/>
  <c r="AL23" i="18"/>
  <c r="AL22" i="18"/>
  <c r="AL21" i="18"/>
  <c r="AL20" i="18"/>
  <c r="AL19" i="18"/>
  <c r="AL18" i="18"/>
  <c r="AL17" i="18"/>
  <c r="AL16" i="18"/>
  <c r="AL15" i="18"/>
  <c r="AL14" i="18"/>
  <c r="AL13" i="18"/>
  <c r="AL12" i="18"/>
  <c r="AL11" i="18"/>
  <c r="AL10" i="18"/>
  <c r="AL9" i="18"/>
  <c r="AL8" i="18"/>
  <c r="AL7" i="18"/>
  <c r="AL6" i="18"/>
  <c r="AL5" i="18"/>
  <c r="AL4" i="18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T4" i="14"/>
  <c r="M29" i="23" l="1"/>
  <c r="M28" i="23"/>
  <c r="M27" i="23"/>
  <c r="M26" i="23"/>
  <c r="M25" i="23"/>
  <c r="M24" i="23"/>
  <c r="M23" i="23"/>
  <c r="M22" i="23"/>
  <c r="M21" i="23"/>
  <c r="M20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4" i="23"/>
  <c r="D7" i="21"/>
  <c r="F19" i="19"/>
  <c r="H19" i="19"/>
  <c r="J19" i="19"/>
  <c r="L19" i="19"/>
  <c r="N19" i="19"/>
  <c r="P19" i="19"/>
  <c r="R19" i="19"/>
  <c r="T19" i="19"/>
  <c r="V19" i="19"/>
  <c r="X19" i="19"/>
  <c r="Z19" i="19"/>
  <c r="AB19" i="19"/>
  <c r="AD19" i="19"/>
  <c r="AF19" i="19"/>
  <c r="AH19" i="19"/>
  <c r="AJ19" i="19"/>
  <c r="AL19" i="19"/>
  <c r="AN19" i="19"/>
  <c r="AP19" i="19"/>
  <c r="D19" i="19"/>
  <c r="F7" i="19"/>
  <c r="H7" i="19"/>
  <c r="J7" i="19"/>
  <c r="L7" i="19"/>
  <c r="N7" i="19"/>
  <c r="P7" i="19"/>
  <c r="R7" i="19"/>
  <c r="T7" i="19"/>
  <c r="V7" i="19"/>
  <c r="X7" i="19"/>
  <c r="Z7" i="19"/>
  <c r="AB7" i="19"/>
  <c r="AD7" i="19"/>
  <c r="AF7" i="19"/>
  <c r="AH7" i="19"/>
  <c r="AJ7" i="19"/>
  <c r="AL7" i="19"/>
  <c r="AN7" i="19"/>
  <c r="AP7" i="19"/>
  <c r="D7" i="19"/>
  <c r="AH22" i="19"/>
  <c r="AH15" i="19"/>
  <c r="AR19" i="19" l="1"/>
  <c r="M19" i="23" s="1"/>
  <c r="D7" i="18"/>
  <c r="AN15" i="19" l="1"/>
  <c r="AL15" i="19" l="1"/>
  <c r="AJ17" i="19" l="1"/>
  <c r="AJ11" i="19"/>
  <c r="AH11" i="19" l="1"/>
  <c r="AD26" i="19"/>
  <c r="AD24" i="19"/>
  <c r="AD22" i="19"/>
  <c r="AD15" i="19"/>
  <c r="AD11" i="19"/>
  <c r="AD5" i="19" l="1"/>
  <c r="P7" i="21"/>
  <c r="W5" i="20" l="1"/>
  <c r="S5" i="15"/>
  <c r="Q5" i="17"/>
  <c r="Y5" i="13"/>
  <c r="AI5" i="22"/>
  <c r="AF26" i="19" l="1"/>
  <c r="AF34" i="19" s="1"/>
  <c r="AF25" i="19"/>
  <c r="AF24" i="19"/>
  <c r="AF23" i="19"/>
  <c r="AF22" i="19"/>
  <c r="AF17" i="19"/>
  <c r="AF15" i="19"/>
  <c r="AF11" i="19"/>
  <c r="AD34" i="19"/>
  <c r="AD33" i="19"/>
  <c r="AD30" i="19"/>
  <c r="AF33" i="19" l="1"/>
  <c r="AF32" i="19" s="1"/>
  <c r="AD32" i="19"/>
  <c r="AF5" i="19"/>
  <c r="AF18" i="19" s="1"/>
  <c r="AF30" i="19"/>
  <c r="AD31" i="19"/>
  <c r="AD35" i="19" s="1"/>
  <c r="AD18" i="19"/>
  <c r="AF31" i="19" l="1"/>
  <c r="AF35" i="19" s="1"/>
  <c r="AP22" i="19" l="1"/>
  <c r="AP15" i="19" l="1"/>
  <c r="AL5" i="19" l="1"/>
  <c r="T17" i="19" l="1"/>
  <c r="T15" i="19"/>
  <c r="AT29" i="14" l="1"/>
  <c r="AT21" i="14"/>
  <c r="AT16" i="14"/>
  <c r="AT14" i="14"/>
  <c r="AT13" i="14"/>
  <c r="AT10" i="14"/>
  <c r="AT9" i="14"/>
  <c r="AT8" i="14"/>
  <c r="AT6" i="14"/>
  <c r="E4" i="23"/>
  <c r="G18" i="23"/>
  <c r="K34" i="23"/>
  <c r="K33" i="23"/>
  <c r="K32" i="23"/>
  <c r="G31" i="23"/>
  <c r="J30" i="23"/>
  <c r="G30" i="23"/>
  <c r="L29" i="23"/>
  <c r="K29" i="23"/>
  <c r="J29" i="23"/>
  <c r="H29" i="23"/>
  <c r="G29" i="23"/>
  <c r="L28" i="23"/>
  <c r="K28" i="23"/>
  <c r="J28" i="23"/>
  <c r="H28" i="23"/>
  <c r="G28" i="23"/>
  <c r="L27" i="23"/>
  <c r="K27" i="23"/>
  <c r="J27" i="23"/>
  <c r="H27" i="23"/>
  <c r="G27" i="23"/>
  <c r="L26" i="23"/>
  <c r="K26" i="23"/>
  <c r="J26" i="23"/>
  <c r="H26" i="23"/>
  <c r="G26" i="23"/>
  <c r="L25" i="23"/>
  <c r="K25" i="23"/>
  <c r="J25" i="23"/>
  <c r="H25" i="23"/>
  <c r="G25" i="23"/>
  <c r="L24" i="23"/>
  <c r="K24" i="23"/>
  <c r="J24" i="23"/>
  <c r="H24" i="23"/>
  <c r="G24" i="23"/>
  <c r="L23" i="23"/>
  <c r="K23" i="23"/>
  <c r="J23" i="23"/>
  <c r="H23" i="23"/>
  <c r="G23" i="23"/>
  <c r="L22" i="23"/>
  <c r="K22" i="23"/>
  <c r="J22" i="23"/>
  <c r="H22" i="23"/>
  <c r="G22" i="23"/>
  <c r="L21" i="23"/>
  <c r="K21" i="23"/>
  <c r="J21" i="23"/>
  <c r="H21" i="23"/>
  <c r="G21" i="23"/>
  <c r="K20" i="23"/>
  <c r="J20" i="23"/>
  <c r="H20" i="23"/>
  <c r="G20" i="23"/>
  <c r="J19" i="23"/>
  <c r="G19" i="23"/>
  <c r="L17" i="23"/>
  <c r="K17" i="23"/>
  <c r="J17" i="23"/>
  <c r="H17" i="23"/>
  <c r="G17" i="23"/>
  <c r="L16" i="23"/>
  <c r="K16" i="23"/>
  <c r="J16" i="23"/>
  <c r="H16" i="23"/>
  <c r="G16" i="23"/>
  <c r="L15" i="23"/>
  <c r="K15" i="23"/>
  <c r="J15" i="23"/>
  <c r="H15" i="23"/>
  <c r="G15" i="23"/>
  <c r="L14" i="23"/>
  <c r="K14" i="23"/>
  <c r="J14" i="23"/>
  <c r="H14" i="23"/>
  <c r="G14" i="23"/>
  <c r="L13" i="23"/>
  <c r="K13" i="23"/>
  <c r="J13" i="23"/>
  <c r="I13" i="23"/>
  <c r="H13" i="23"/>
  <c r="G13" i="23"/>
  <c r="L12" i="23"/>
  <c r="K12" i="23"/>
  <c r="J12" i="23"/>
  <c r="H12" i="23"/>
  <c r="G12" i="23"/>
  <c r="L11" i="23"/>
  <c r="K11" i="23"/>
  <c r="J11" i="23"/>
  <c r="H11" i="23"/>
  <c r="G11" i="23"/>
  <c r="L10" i="23"/>
  <c r="K10" i="23"/>
  <c r="J10" i="23"/>
  <c r="H10" i="23"/>
  <c r="G10" i="23"/>
  <c r="L9" i="23"/>
  <c r="K9" i="23"/>
  <c r="J9" i="23"/>
  <c r="H9" i="23"/>
  <c r="G9" i="23"/>
  <c r="K8" i="23"/>
  <c r="J8" i="23"/>
  <c r="H8" i="23"/>
  <c r="G8" i="23"/>
  <c r="G7" i="23"/>
  <c r="L6" i="23"/>
  <c r="K6" i="23"/>
  <c r="J6" i="23"/>
  <c r="H6" i="23"/>
  <c r="G6" i="23"/>
  <c r="G5" i="23"/>
  <c r="L4" i="23"/>
  <c r="K4" i="23"/>
  <c r="J4" i="23"/>
  <c r="H4" i="23"/>
  <c r="G4" i="23"/>
  <c r="F4" i="23"/>
  <c r="E29" i="23"/>
  <c r="E28" i="23"/>
  <c r="E21" i="23"/>
  <c r="E16" i="23"/>
  <c r="E14" i="23"/>
  <c r="E13" i="23"/>
  <c r="E10" i="23"/>
  <c r="E9" i="23"/>
  <c r="E8" i="23"/>
  <c r="E6" i="23"/>
  <c r="R34" i="21" l="1"/>
  <c r="L34" i="23" s="1"/>
  <c r="R33" i="21"/>
  <c r="L33" i="23" s="1"/>
  <c r="L20" i="23"/>
  <c r="L8" i="23"/>
  <c r="P28" i="21"/>
  <c r="P27" i="21"/>
  <c r="P26" i="21"/>
  <c r="P34" i="21" s="1"/>
  <c r="P25" i="21"/>
  <c r="P24" i="21"/>
  <c r="P23" i="21"/>
  <c r="P22" i="21"/>
  <c r="P33" i="21" s="1"/>
  <c r="P15" i="21"/>
  <c r="P12" i="21"/>
  <c r="P5" i="21"/>
  <c r="P18" i="21" s="1"/>
  <c r="AB34" i="19"/>
  <c r="AB33" i="19"/>
  <c r="AB32" i="19" s="1"/>
  <c r="AB30" i="19"/>
  <c r="AB17" i="19"/>
  <c r="AB5" i="19" s="1"/>
  <c r="AB15" i="19"/>
  <c r="Z34" i="19"/>
  <c r="Z33" i="19"/>
  <c r="Z20" i="19"/>
  <c r="Z30" i="19" s="1"/>
  <c r="Z15" i="19"/>
  <c r="Z5" i="19" s="1"/>
  <c r="Z18" i="19" s="1"/>
  <c r="X34" i="19"/>
  <c r="X23" i="19"/>
  <c r="X22" i="19"/>
  <c r="X17" i="19"/>
  <c r="X15" i="19"/>
  <c r="X10" i="19"/>
  <c r="V34" i="19"/>
  <c r="V23" i="19"/>
  <c r="V22" i="19"/>
  <c r="V20" i="19"/>
  <c r="V5" i="19"/>
  <c r="V18" i="19" s="1"/>
  <c r="AI27" i="22"/>
  <c r="AI26" i="22"/>
  <c r="AI25" i="22"/>
  <c r="AI24" i="22"/>
  <c r="AI23" i="22"/>
  <c r="AI22" i="22"/>
  <c r="AI21" i="22"/>
  <c r="AI20" i="22"/>
  <c r="AD19" i="22"/>
  <c r="F18" i="22"/>
  <c r="H18" i="22"/>
  <c r="J18" i="22"/>
  <c r="L18" i="22"/>
  <c r="N18" i="22"/>
  <c r="P18" i="22"/>
  <c r="R18" i="22"/>
  <c r="T18" i="22"/>
  <c r="V18" i="22"/>
  <c r="X18" i="22"/>
  <c r="Z18" i="22"/>
  <c r="AB18" i="22"/>
  <c r="AD18" i="22"/>
  <c r="AF18" i="22"/>
  <c r="D18" i="22"/>
  <c r="F7" i="22"/>
  <c r="F5" i="22" s="1"/>
  <c r="H7" i="22"/>
  <c r="J7" i="22"/>
  <c r="L7" i="22"/>
  <c r="L5" i="22" s="1"/>
  <c r="N7" i="22"/>
  <c r="N5" i="22" s="1"/>
  <c r="P7" i="22"/>
  <c r="P5" i="22" s="1"/>
  <c r="R7" i="22"/>
  <c r="R5" i="22" s="1"/>
  <c r="T7" i="22"/>
  <c r="T5" i="22" s="1"/>
  <c r="V7" i="22"/>
  <c r="V5" i="22" s="1"/>
  <c r="X7" i="22"/>
  <c r="Z7" i="22"/>
  <c r="AB7" i="22"/>
  <c r="AB5" i="22" s="1"/>
  <c r="AD7" i="22"/>
  <c r="AD5" i="22" s="1"/>
  <c r="AF7" i="22"/>
  <c r="AF5" i="22" s="1"/>
  <c r="D7" i="22"/>
  <c r="D5" i="22" s="1"/>
  <c r="H5" i="22"/>
  <c r="J5" i="22"/>
  <c r="X5" i="22"/>
  <c r="Z5" i="22"/>
  <c r="F19" i="22"/>
  <c r="H19" i="22"/>
  <c r="J19" i="22"/>
  <c r="L19" i="22"/>
  <c r="N19" i="22"/>
  <c r="P19" i="22"/>
  <c r="R19" i="22"/>
  <c r="T19" i="22"/>
  <c r="V19" i="22"/>
  <c r="X19" i="22"/>
  <c r="Z19" i="22"/>
  <c r="AB19" i="22"/>
  <c r="AF19" i="22"/>
  <c r="D19" i="22"/>
  <c r="I20" i="23"/>
  <c r="V33" i="19" l="1"/>
  <c r="V32" i="19" s="1"/>
  <c r="X30" i="19"/>
  <c r="Z32" i="19"/>
  <c r="X5" i="19"/>
  <c r="X18" i="19" s="1"/>
  <c r="P32" i="21"/>
  <c r="P19" i="21"/>
  <c r="P30" i="21" s="1"/>
  <c r="P31" i="21" s="1"/>
  <c r="AB31" i="19"/>
  <c r="AB35" i="19" s="1"/>
  <c r="AB18" i="19"/>
  <c r="Z31" i="19"/>
  <c r="Z35" i="19" s="1"/>
  <c r="X33" i="19"/>
  <c r="X32" i="19" s="1"/>
  <c r="V30" i="19"/>
  <c r="V31" i="19" s="1"/>
  <c r="D7" i="17"/>
  <c r="D19" i="20"/>
  <c r="D5" i="20"/>
  <c r="D18" i="20"/>
  <c r="D7" i="20"/>
  <c r="K19" i="23"/>
  <c r="T19" i="20"/>
  <c r="R19" i="20"/>
  <c r="P19" i="20"/>
  <c r="N19" i="20"/>
  <c r="L19" i="20"/>
  <c r="J19" i="20"/>
  <c r="H19" i="20"/>
  <c r="F19" i="20"/>
  <c r="F19" i="13"/>
  <c r="H19" i="13"/>
  <c r="J19" i="13"/>
  <c r="L19" i="13"/>
  <c r="N19" i="13"/>
  <c r="P19" i="13"/>
  <c r="R19" i="13"/>
  <c r="T19" i="13"/>
  <c r="V19" i="13"/>
  <c r="D19" i="13"/>
  <c r="S28" i="15"/>
  <c r="S27" i="15"/>
  <c r="S26" i="15"/>
  <c r="S25" i="15"/>
  <c r="S24" i="15"/>
  <c r="S23" i="15"/>
  <c r="S22" i="15"/>
  <c r="S21" i="15"/>
  <c r="S20" i="15"/>
  <c r="D19" i="15"/>
  <c r="F7" i="15"/>
  <c r="H7" i="15"/>
  <c r="J7" i="15"/>
  <c r="L7" i="15"/>
  <c r="N7" i="15"/>
  <c r="P7" i="15"/>
  <c r="D7" i="15"/>
  <c r="P5" i="15"/>
  <c r="P18" i="15" s="1"/>
  <c r="F19" i="15"/>
  <c r="H19" i="15"/>
  <c r="J19" i="15"/>
  <c r="L19" i="15"/>
  <c r="N19" i="15"/>
  <c r="P19" i="15"/>
  <c r="F16" i="23"/>
  <c r="F14" i="23"/>
  <c r="F13" i="23"/>
  <c r="N13" i="23" s="1"/>
  <c r="F10" i="23"/>
  <c r="F9" i="23"/>
  <c r="D19" i="14"/>
  <c r="M38" i="23"/>
  <c r="K38" i="23"/>
  <c r="J38" i="23"/>
  <c r="H38" i="23"/>
  <c r="G38" i="23"/>
  <c r="D34" i="23"/>
  <c r="D33" i="23"/>
  <c r="D19" i="23"/>
  <c r="D7" i="23"/>
  <c r="D5" i="23"/>
  <c r="H7" i="17"/>
  <c r="J7" i="17"/>
  <c r="N7" i="17"/>
  <c r="F7" i="20"/>
  <c r="K7" i="23" s="1"/>
  <c r="H7" i="20"/>
  <c r="J7" i="20"/>
  <c r="L7" i="20"/>
  <c r="N7" i="20"/>
  <c r="P7" i="20"/>
  <c r="R7" i="20"/>
  <c r="T7" i="20"/>
  <c r="F7" i="13"/>
  <c r="H7" i="13"/>
  <c r="J7" i="13"/>
  <c r="L7" i="13"/>
  <c r="N7" i="13"/>
  <c r="P7" i="13"/>
  <c r="R7" i="13"/>
  <c r="T7" i="13"/>
  <c r="V7" i="13"/>
  <c r="D7" i="13"/>
  <c r="X7" i="18"/>
  <c r="AH7" i="18"/>
  <c r="P35" i="21" l="1"/>
  <c r="X31" i="19"/>
  <c r="X35" i="19" s="1"/>
  <c r="H19" i="23"/>
  <c r="V35" i="19"/>
  <c r="D32" i="23"/>
  <c r="D30" i="23"/>
  <c r="D31" i="23" s="1"/>
  <c r="D18" i="23"/>
  <c r="I8" i="23"/>
  <c r="X33" i="13"/>
  <c r="H33" i="23" s="1"/>
  <c r="X34" i="13"/>
  <c r="H34" i="23" s="1"/>
  <c r="D35" i="23" l="1"/>
  <c r="T26" i="19"/>
  <c r="T25" i="19"/>
  <c r="T24" i="19"/>
  <c r="T23" i="19"/>
  <c r="T22" i="19"/>
  <c r="R26" i="19" l="1"/>
  <c r="R23" i="19" l="1"/>
  <c r="R22" i="19"/>
  <c r="P23" i="19"/>
  <c r="P22" i="19"/>
  <c r="P15" i="19" l="1"/>
  <c r="N26" i="19" l="1"/>
  <c r="N24" i="19"/>
  <c r="N23" i="19"/>
  <c r="N22" i="19"/>
  <c r="N15" i="19" l="1"/>
  <c r="L20" i="19" l="1"/>
  <c r="L15" i="19"/>
  <c r="J23" i="19"/>
  <c r="J25" i="19" l="1"/>
  <c r="J24" i="19"/>
  <c r="J22" i="19"/>
  <c r="J20" i="19"/>
  <c r="J15" i="19"/>
  <c r="H24" i="19"/>
  <c r="H26" i="19"/>
  <c r="H25" i="19"/>
  <c r="H23" i="19"/>
  <c r="H22" i="19"/>
  <c r="H15" i="19"/>
  <c r="F26" i="19" l="1"/>
  <c r="F25" i="19"/>
  <c r="F24" i="19"/>
  <c r="F20" i="19"/>
  <c r="F15" i="19"/>
  <c r="D27" i="19"/>
  <c r="D26" i="19"/>
  <c r="D25" i="19"/>
  <c r="D24" i="19"/>
  <c r="D23" i="19"/>
  <c r="D22" i="19"/>
  <c r="D20" i="19"/>
  <c r="AF25" i="22" l="1"/>
  <c r="D30" i="19" l="1"/>
  <c r="J27" i="22"/>
  <c r="J26" i="22"/>
  <c r="J34" i="22" s="1"/>
  <c r="J25" i="22"/>
  <c r="J24" i="22"/>
  <c r="J23" i="22"/>
  <c r="J22" i="22"/>
  <c r="J33" i="22" s="1"/>
  <c r="J20" i="22"/>
  <c r="J15" i="22"/>
  <c r="J12" i="22"/>
  <c r="J11" i="22"/>
  <c r="AF26" i="22"/>
  <c r="AF34" i="22" s="1"/>
  <c r="AF24" i="22"/>
  <c r="AF23" i="22"/>
  <c r="AF30" i="22" s="1"/>
  <c r="AF22" i="22"/>
  <c r="AF33" i="22" s="1"/>
  <c r="AF32" i="22" s="1"/>
  <c r="AF20" i="22"/>
  <c r="AF15" i="22"/>
  <c r="AF12" i="22"/>
  <c r="AF11" i="22"/>
  <c r="H34" i="22"/>
  <c r="H23" i="22"/>
  <c r="H22" i="22"/>
  <c r="H33" i="22" s="1"/>
  <c r="H32" i="22" s="1"/>
  <c r="H12" i="22"/>
  <c r="H11" i="22"/>
  <c r="F27" i="22"/>
  <c r="F26" i="22"/>
  <c r="F34" i="22" s="1"/>
  <c r="F24" i="22"/>
  <c r="F23" i="22"/>
  <c r="F22" i="22"/>
  <c r="F15" i="22"/>
  <c r="F12" i="22"/>
  <c r="F11" i="22"/>
  <c r="D34" i="22"/>
  <c r="D23" i="22"/>
  <c r="D22" i="22"/>
  <c r="D33" i="22" s="1"/>
  <c r="D32" i="22" s="1"/>
  <c r="D15" i="22"/>
  <c r="D12" i="22"/>
  <c r="D11" i="22"/>
  <c r="AH28" i="18"/>
  <c r="AH27" i="18"/>
  <c r="AH26" i="18"/>
  <c r="AH34" i="18" s="1"/>
  <c r="AH25" i="18"/>
  <c r="AH24" i="18"/>
  <c r="AH23" i="18"/>
  <c r="AH22" i="18"/>
  <c r="AH33" i="18" s="1"/>
  <c r="AH32" i="18" s="1"/>
  <c r="AH20" i="18"/>
  <c r="AH19" i="18" s="1"/>
  <c r="AH17" i="18"/>
  <c r="AH5" i="18"/>
  <c r="AH18" i="18" s="1"/>
  <c r="F30" i="22" l="1"/>
  <c r="J30" i="22"/>
  <c r="J31" i="22" s="1"/>
  <c r="J32" i="22"/>
  <c r="H30" i="22"/>
  <c r="F33" i="22"/>
  <c r="F32" i="22" s="1"/>
  <c r="D30" i="22"/>
  <c r="AH30" i="18"/>
  <c r="AH31" i="18" s="1"/>
  <c r="AH35" i="18" s="1"/>
  <c r="F31" i="22" l="1"/>
  <c r="D31" i="22"/>
  <c r="D35" i="22" s="1"/>
  <c r="AF31" i="22"/>
  <c r="AF35" i="22" s="1"/>
  <c r="H31" i="22"/>
  <c r="H35" i="22" s="1"/>
  <c r="J35" i="22"/>
  <c r="F35" i="22"/>
  <c r="AJ24" i="18" l="1"/>
  <c r="AD23" i="22"/>
  <c r="AD15" i="22" l="1"/>
  <c r="AD12" i="22"/>
  <c r="AD11" i="22"/>
  <c r="AB23" i="22"/>
  <c r="AB22" i="22"/>
  <c r="AB15" i="22" l="1"/>
  <c r="AB11" i="22"/>
  <c r="Z26" i="22"/>
  <c r="Z25" i="22"/>
  <c r="Z24" i="22"/>
  <c r="Z23" i="22"/>
  <c r="Z22" i="22"/>
  <c r="Z15" i="22"/>
  <c r="Z11" i="22"/>
  <c r="X26" i="22" l="1"/>
  <c r="X23" i="22"/>
  <c r="X22" i="22"/>
  <c r="X15" i="22" l="1"/>
  <c r="X11" i="22"/>
  <c r="V23" i="22"/>
  <c r="V22" i="22"/>
  <c r="V15" i="22" l="1"/>
  <c r="V11" i="22"/>
  <c r="V12" i="22"/>
  <c r="T23" i="22" l="1"/>
  <c r="T22" i="22"/>
  <c r="T15" i="22"/>
  <c r="T12" i="22"/>
  <c r="T11" i="22"/>
  <c r="R27" i="22"/>
  <c r="R23" i="22"/>
  <c r="R22" i="22"/>
  <c r="R20" i="22"/>
  <c r="R11" i="22"/>
  <c r="P22" i="22"/>
  <c r="P23" i="22"/>
  <c r="P20" i="22"/>
  <c r="P15" i="22"/>
  <c r="P12" i="22"/>
  <c r="P17" i="22" l="1"/>
  <c r="P11" i="22"/>
  <c r="N27" i="22" l="1"/>
  <c r="N24" i="22"/>
  <c r="N22" i="22"/>
  <c r="N23" i="22"/>
  <c r="N25" i="22"/>
  <c r="N33" i="22" l="1"/>
  <c r="N20" i="22"/>
  <c r="N15" i="22"/>
  <c r="N11" i="22"/>
  <c r="N12" i="22"/>
  <c r="L26" i="22"/>
  <c r="L25" i="22"/>
  <c r="L24" i="22"/>
  <c r="L23" i="22"/>
  <c r="L22" i="22"/>
  <c r="L20" i="22"/>
  <c r="L15" i="22"/>
  <c r="L11" i="22"/>
  <c r="L12" i="22"/>
  <c r="Z33" i="22"/>
  <c r="T33" i="22"/>
  <c r="P33" i="22"/>
  <c r="AD34" i="22"/>
  <c r="AB34" i="22"/>
  <c r="Z34" i="22"/>
  <c r="X34" i="22"/>
  <c r="V34" i="22"/>
  <c r="T34" i="22"/>
  <c r="R34" i="22"/>
  <c r="P34" i="22"/>
  <c r="N34" i="22"/>
  <c r="T30" i="22"/>
  <c r="AD33" i="22"/>
  <c r="AB33" i="22"/>
  <c r="X33" i="22"/>
  <c r="V33" i="22"/>
  <c r="R33" i="22"/>
  <c r="AD30" i="22"/>
  <c r="Z30" i="22"/>
  <c r="X30" i="22"/>
  <c r="V30" i="22"/>
  <c r="R30" i="22"/>
  <c r="P30" i="22"/>
  <c r="F30" i="15"/>
  <c r="H30" i="15"/>
  <c r="J30" i="15"/>
  <c r="L30" i="15"/>
  <c r="N30" i="15"/>
  <c r="P30" i="15"/>
  <c r="F33" i="15"/>
  <c r="H33" i="15"/>
  <c r="H32" i="15" s="1"/>
  <c r="J33" i="15"/>
  <c r="L33" i="15"/>
  <c r="L32" i="15" s="1"/>
  <c r="N33" i="15"/>
  <c r="P33" i="15"/>
  <c r="P32" i="15" s="1"/>
  <c r="R33" i="15"/>
  <c r="J33" i="23" s="1"/>
  <c r="F34" i="15"/>
  <c r="F32" i="15" s="1"/>
  <c r="H34" i="15"/>
  <c r="J34" i="15"/>
  <c r="J32" i="15" s="1"/>
  <c r="L34" i="15"/>
  <c r="N34" i="15"/>
  <c r="N32" i="15" s="1"/>
  <c r="P34" i="15"/>
  <c r="R34" i="15"/>
  <c r="J32" i="23" l="1"/>
  <c r="J34" i="23"/>
  <c r="X31" i="22"/>
  <c r="L33" i="22"/>
  <c r="L34" i="22"/>
  <c r="AH33" i="22"/>
  <c r="G33" i="23" s="1"/>
  <c r="AH34" i="22"/>
  <c r="G34" i="23" s="1"/>
  <c r="V32" i="22"/>
  <c r="P32" i="22"/>
  <c r="AD31" i="22"/>
  <c r="AB32" i="22"/>
  <c r="R31" i="22"/>
  <c r="N30" i="22"/>
  <c r="L32" i="22"/>
  <c r="L30" i="22"/>
  <c r="Z31" i="22"/>
  <c r="R32" i="22"/>
  <c r="AD32" i="22"/>
  <c r="T32" i="22"/>
  <c r="V31" i="22"/>
  <c r="N32" i="22"/>
  <c r="X32" i="22"/>
  <c r="X35" i="22" s="1"/>
  <c r="Z32" i="22"/>
  <c r="T31" i="22"/>
  <c r="AB30" i="22"/>
  <c r="P31" i="22"/>
  <c r="P35" i="22" l="1"/>
  <c r="G32" i="23"/>
  <c r="V35" i="22"/>
  <c r="L31" i="22"/>
  <c r="L35" i="22" s="1"/>
  <c r="AD35" i="22"/>
  <c r="Z35" i="22"/>
  <c r="T35" i="22"/>
  <c r="R35" i="22"/>
  <c r="N31" i="22"/>
  <c r="N35" i="22" s="1"/>
  <c r="AB31" i="22"/>
  <c r="AB35" i="22" s="1"/>
  <c r="AI16" i="22" l="1"/>
  <c r="AI8" i="22"/>
  <c r="AI15" i="22"/>
  <c r="AI14" i="22"/>
  <c r="AI4" i="22"/>
  <c r="AI13" i="22"/>
  <c r="AI12" i="22"/>
  <c r="AI11" i="22"/>
  <c r="AI10" i="22"/>
  <c r="AI17" i="22"/>
  <c r="AI9" i="22"/>
  <c r="AI6" i="22"/>
  <c r="AH35" i="22"/>
  <c r="G35" i="23" s="1"/>
  <c r="H27" i="17"/>
  <c r="AJ27" i="18" l="1"/>
  <c r="AJ23" i="18"/>
  <c r="AJ26" i="18"/>
  <c r="AJ25" i="18"/>
  <c r="AJ22" i="18"/>
  <c r="AJ20" i="18"/>
  <c r="AJ19" i="18" s="1"/>
  <c r="AJ8" i="18"/>
  <c r="AJ12" i="18"/>
  <c r="AF27" i="18"/>
  <c r="AF25" i="18"/>
  <c r="AF26" i="18"/>
  <c r="AF24" i="18"/>
  <c r="AF23" i="18"/>
  <c r="AF22" i="18"/>
  <c r="AF19" i="18" s="1"/>
  <c r="AF12" i="18"/>
  <c r="AF7" i="18" s="1"/>
  <c r="X24" i="18"/>
  <c r="X25" i="18"/>
  <c r="X22" i="18"/>
  <c r="X20" i="18"/>
  <c r="Z20" i="18"/>
  <c r="N28" i="18"/>
  <c r="N27" i="18"/>
  <c r="N26" i="18"/>
  <c r="N25" i="18"/>
  <c r="N24" i="18"/>
  <c r="N20" i="18"/>
  <c r="N19" i="18" s="1"/>
  <c r="N17" i="18"/>
  <c r="N12" i="18"/>
  <c r="N7" i="18" s="1"/>
  <c r="F27" i="18"/>
  <c r="F25" i="18"/>
  <c r="F26" i="18"/>
  <c r="F24" i="18"/>
  <c r="F23" i="18"/>
  <c r="F22" i="18"/>
  <c r="F20" i="18"/>
  <c r="F17" i="18"/>
  <c r="F17" i="23" s="1"/>
  <c r="F12" i="18"/>
  <c r="AD25" i="18"/>
  <c r="AD26" i="18"/>
  <c r="AD22" i="18"/>
  <c r="AD24" i="18"/>
  <c r="AD23" i="18"/>
  <c r="AD20" i="18"/>
  <c r="AD15" i="18"/>
  <c r="AD12" i="18"/>
  <c r="AD7" i="18" s="1"/>
  <c r="D28" i="18"/>
  <c r="D26" i="18"/>
  <c r="D25" i="18"/>
  <c r="D24" i="18"/>
  <c r="D19" i="18" l="1"/>
  <c r="AD19" i="18"/>
  <c r="F7" i="18"/>
  <c r="F19" i="18"/>
  <c r="AJ7" i="18"/>
  <c r="D34" i="18"/>
  <c r="D33" i="18"/>
  <c r="D30" i="18"/>
  <c r="D5" i="18"/>
  <c r="N22" i="21"/>
  <c r="N26" i="21"/>
  <c r="N25" i="21"/>
  <c r="N24" i="21"/>
  <c r="N23" i="21"/>
  <c r="N15" i="21"/>
  <c r="N12" i="21"/>
  <c r="N11" i="21"/>
  <c r="N7" i="21" s="1"/>
  <c r="L7" i="23" s="1"/>
  <c r="N19" i="21" l="1"/>
  <c r="L19" i="23" s="1"/>
  <c r="D18" i="18"/>
  <c r="D31" i="18"/>
  <c r="D32" i="18"/>
  <c r="D35" i="18" l="1"/>
  <c r="L27" i="21"/>
  <c r="L26" i="21"/>
  <c r="L25" i="21"/>
  <c r="L23" i="21"/>
  <c r="L22" i="21"/>
  <c r="L20" i="21"/>
  <c r="L19" i="21" s="1"/>
  <c r="L15" i="21"/>
  <c r="L11" i="21" l="1"/>
  <c r="L12" i="21"/>
  <c r="J26" i="21"/>
  <c r="J25" i="21"/>
  <c r="J24" i="21"/>
  <c r="J23" i="21"/>
  <c r="J22" i="21"/>
  <c r="J17" i="21"/>
  <c r="J15" i="21"/>
  <c r="J12" i="21"/>
  <c r="J7" i="21" s="1"/>
  <c r="H26" i="21"/>
  <c r="H34" i="21" s="1"/>
  <c r="H25" i="21"/>
  <c r="H24" i="21"/>
  <c r="H23" i="21"/>
  <c r="H22" i="21"/>
  <c r="H33" i="21" s="1"/>
  <c r="H20" i="21"/>
  <c r="H19" i="21" s="1"/>
  <c r="H17" i="21"/>
  <c r="H15" i="21"/>
  <c r="H11" i="21"/>
  <c r="H12" i="21"/>
  <c r="F27" i="21"/>
  <c r="F25" i="21"/>
  <c r="F26" i="21"/>
  <c r="F34" i="21" s="1"/>
  <c r="F24" i="21"/>
  <c r="F23" i="21"/>
  <c r="F22" i="21"/>
  <c r="F20" i="21"/>
  <c r="F17" i="21"/>
  <c r="F15" i="21"/>
  <c r="F12" i="21"/>
  <c r="F7" i="21" s="1"/>
  <c r="F5" i="21" s="1"/>
  <c r="D27" i="21"/>
  <c r="D24" i="21"/>
  <c r="D22" i="21"/>
  <c r="D17" i="21"/>
  <c r="J34" i="21"/>
  <c r="N34" i="21"/>
  <c r="L34" i="21"/>
  <c r="N33" i="21"/>
  <c r="L33" i="21"/>
  <c r="F33" i="21"/>
  <c r="N30" i="21"/>
  <c r="L30" i="23" s="1"/>
  <c r="L30" i="21"/>
  <c r="N5" i="21"/>
  <c r="N18" i="21" s="1"/>
  <c r="F19" i="21" l="1"/>
  <c r="H7" i="21"/>
  <c r="H5" i="21" s="1"/>
  <c r="J33" i="21"/>
  <c r="J32" i="21" s="1"/>
  <c r="J19" i="21"/>
  <c r="J30" i="21" s="1"/>
  <c r="D33" i="21"/>
  <c r="D19" i="21"/>
  <c r="L7" i="21"/>
  <c r="L5" i="21" s="1"/>
  <c r="L31" i="21" s="1"/>
  <c r="N31" i="21"/>
  <c r="H32" i="21"/>
  <c r="J5" i="21"/>
  <c r="J18" i="21" s="1"/>
  <c r="H30" i="21"/>
  <c r="F32" i="21"/>
  <c r="F30" i="21"/>
  <c r="L32" i="21"/>
  <c r="N32" i="21"/>
  <c r="D5" i="21"/>
  <c r="F18" i="21"/>
  <c r="D34" i="21"/>
  <c r="H23" i="17"/>
  <c r="H22" i="17"/>
  <c r="H19" i="17" s="1"/>
  <c r="H15" i="17"/>
  <c r="H5" i="17" s="1"/>
  <c r="L5" i="23" l="1"/>
  <c r="S26" i="21"/>
  <c r="S24" i="21"/>
  <c r="F31" i="21"/>
  <c r="H18" i="21"/>
  <c r="H31" i="21"/>
  <c r="H35" i="21" s="1"/>
  <c r="D32" i="21"/>
  <c r="L32" i="23" s="1"/>
  <c r="L18" i="21"/>
  <c r="N35" i="21"/>
  <c r="J31" i="21"/>
  <c r="J35" i="21" s="1"/>
  <c r="D30" i="21"/>
  <c r="S22" i="21" s="1"/>
  <c r="L35" i="21"/>
  <c r="D18" i="21"/>
  <c r="J25" i="20"/>
  <c r="J24" i="20"/>
  <c r="L11" i="13"/>
  <c r="N29" i="13"/>
  <c r="N11" i="13"/>
  <c r="N5" i="13" s="1"/>
  <c r="R11" i="13"/>
  <c r="H11" i="13"/>
  <c r="P11" i="13"/>
  <c r="P5" i="13" s="1"/>
  <c r="F11" i="13"/>
  <c r="T5" i="13"/>
  <c r="J5" i="13"/>
  <c r="R5" i="13"/>
  <c r="L5" i="13"/>
  <c r="H5" i="13"/>
  <c r="F5" i="13"/>
  <c r="D5" i="13"/>
  <c r="T11" i="13"/>
  <c r="V11" i="13"/>
  <c r="L18" i="23" l="1"/>
  <c r="F35" i="21"/>
  <c r="L38" i="23"/>
  <c r="S25" i="21"/>
  <c r="S20" i="21"/>
  <c r="S27" i="21"/>
  <c r="S23" i="21"/>
  <c r="S21" i="21"/>
  <c r="S28" i="21"/>
  <c r="D31" i="21"/>
  <c r="L31" i="23" s="1"/>
  <c r="V5" i="13"/>
  <c r="V15" i="13"/>
  <c r="R35" i="21" l="1"/>
  <c r="L35" i="23" s="1"/>
  <c r="S5" i="21"/>
  <c r="S10" i="21"/>
  <c r="S4" i="21"/>
  <c r="S9" i="21"/>
  <c r="S17" i="21"/>
  <c r="S8" i="21"/>
  <c r="S16" i="21"/>
  <c r="S6" i="21"/>
  <c r="S15" i="21"/>
  <c r="S14" i="21"/>
  <c r="S12" i="21"/>
  <c r="S11" i="21"/>
  <c r="D35" i="21"/>
  <c r="T27" i="20"/>
  <c r="T26" i="20"/>
  <c r="T25" i="20"/>
  <c r="T22" i="20"/>
  <c r="T24" i="20"/>
  <c r="T23" i="20"/>
  <c r="T20" i="20"/>
  <c r="T11" i="20"/>
  <c r="R28" i="20"/>
  <c r="R27" i="20"/>
  <c r="R26" i="20" l="1"/>
  <c r="R25" i="20"/>
  <c r="R23" i="20"/>
  <c r="R22" i="20"/>
  <c r="R20" i="20"/>
  <c r="R11" i="20"/>
  <c r="P28" i="20"/>
  <c r="P27" i="20"/>
  <c r="P26" i="20"/>
  <c r="P25" i="20"/>
  <c r="P24" i="20"/>
  <c r="P23" i="20"/>
  <c r="P22" i="20"/>
  <c r="P20" i="20"/>
  <c r="P11" i="20"/>
  <c r="P5" i="20" s="1"/>
  <c r="P18" i="20" s="1"/>
  <c r="N33" i="20"/>
  <c r="N32" i="20" s="1"/>
  <c r="P33" i="20"/>
  <c r="N34" i="20"/>
  <c r="P34" i="20"/>
  <c r="N30" i="20"/>
  <c r="N25" i="20"/>
  <c r="N26" i="20"/>
  <c r="N24" i="20"/>
  <c r="N23" i="20"/>
  <c r="N22" i="20"/>
  <c r="N20" i="20"/>
  <c r="N5" i="20"/>
  <c r="N18" i="20" s="1"/>
  <c r="R5" i="20"/>
  <c r="R18" i="20" s="1"/>
  <c r="T5" i="20"/>
  <c r="T18" i="20" s="1"/>
  <c r="N11" i="20"/>
  <c r="N31" i="20" l="1"/>
  <c r="N35" i="20" s="1"/>
  <c r="P32" i="20"/>
  <c r="P30" i="20"/>
  <c r="P31" i="20" s="1"/>
  <c r="L27" i="20"/>
  <c r="L26" i="20"/>
  <c r="L25" i="20"/>
  <c r="L24" i="20"/>
  <c r="L23" i="20"/>
  <c r="L22" i="20"/>
  <c r="L20" i="20"/>
  <c r="L11" i="20"/>
  <c r="J27" i="20"/>
  <c r="J23" i="20"/>
  <c r="J22" i="20"/>
  <c r="P35" i="20" l="1"/>
  <c r="J11" i="20"/>
  <c r="H28" i="20"/>
  <c r="H26" i="20"/>
  <c r="H25" i="20" l="1"/>
  <c r="H24" i="20"/>
  <c r="H22" i="20"/>
  <c r="H23" i="20"/>
  <c r="H20" i="20"/>
  <c r="H17" i="20"/>
  <c r="H11" i="20"/>
  <c r="F26" i="20" l="1"/>
  <c r="F25" i="20"/>
  <c r="F23" i="20"/>
  <c r="F22" i="20"/>
  <c r="F11" i="20"/>
  <c r="D27" i="20"/>
  <c r="D26" i="20"/>
  <c r="D25" i="20" l="1"/>
  <c r="D24" i="20"/>
  <c r="D23" i="20"/>
  <c r="D22" i="20"/>
  <c r="D33" i="20" s="1"/>
  <c r="D20" i="20"/>
  <c r="D11" i="20"/>
  <c r="T34" i="20"/>
  <c r="D34" i="20"/>
  <c r="T33" i="20"/>
  <c r="L33" i="20"/>
  <c r="T32" i="20"/>
  <c r="R34" i="20"/>
  <c r="L34" i="20"/>
  <c r="J34" i="20"/>
  <c r="H34" i="20"/>
  <c r="F34" i="20"/>
  <c r="R33" i="20"/>
  <c r="J33" i="20"/>
  <c r="H33" i="20"/>
  <c r="H32" i="20" s="1"/>
  <c r="F33" i="20"/>
  <c r="T30" i="20"/>
  <c r="R30" i="20"/>
  <c r="R31" i="20" s="1"/>
  <c r="L30" i="20"/>
  <c r="J30" i="20"/>
  <c r="F30" i="20"/>
  <c r="L5" i="20"/>
  <c r="L18" i="20" s="1"/>
  <c r="J5" i="20"/>
  <c r="J18" i="20" s="1"/>
  <c r="H5" i="20"/>
  <c r="H18" i="20" s="1"/>
  <c r="F5" i="20"/>
  <c r="K5" i="23" l="1"/>
  <c r="F18" i="20"/>
  <c r="K18" i="23" s="1"/>
  <c r="W10" i="20"/>
  <c r="W9" i="20"/>
  <c r="W17" i="20"/>
  <c r="W8" i="20"/>
  <c r="W16" i="20"/>
  <c r="W15" i="20"/>
  <c r="W4" i="20"/>
  <c r="W14" i="20"/>
  <c r="W12" i="20"/>
  <c r="F31" i="20"/>
  <c r="R35" i="20"/>
  <c r="R32" i="20"/>
  <c r="L32" i="20"/>
  <c r="J31" i="20"/>
  <c r="D32" i="20"/>
  <c r="D30" i="20"/>
  <c r="D31" i="20" s="1"/>
  <c r="V34" i="20"/>
  <c r="L31" i="20"/>
  <c r="L35" i="20" s="1"/>
  <c r="T31" i="20"/>
  <c r="T35" i="20" s="1"/>
  <c r="V33" i="20"/>
  <c r="F32" i="20"/>
  <c r="J32" i="20"/>
  <c r="H30" i="20"/>
  <c r="H31" i="20" s="1"/>
  <c r="W11" i="20" l="1"/>
  <c r="W6" i="20"/>
  <c r="J35" i="20"/>
  <c r="D35" i="20"/>
  <c r="H35" i="20"/>
  <c r="K31" i="23"/>
  <c r="F35" i="20"/>
  <c r="K30" i="23" l="1"/>
  <c r="W22" i="20"/>
  <c r="W28" i="20"/>
  <c r="W20" i="20"/>
  <c r="W27" i="20"/>
  <c r="W21" i="20"/>
  <c r="W26" i="20"/>
  <c r="W25" i="20"/>
  <c r="W24" i="20"/>
  <c r="W23" i="20"/>
  <c r="V35" i="20"/>
  <c r="K35" i="23" s="1"/>
  <c r="J27" i="15"/>
  <c r="J22" i="15"/>
  <c r="J26" i="15"/>
  <c r="J25" i="15"/>
  <c r="J24" i="15"/>
  <c r="J23" i="15"/>
  <c r="J17" i="15"/>
  <c r="J5" i="15" s="1"/>
  <c r="J31" i="15" s="1"/>
  <c r="J12" i="15"/>
  <c r="H26" i="15" l="1"/>
  <c r="H25" i="15"/>
  <c r="H24" i="15"/>
  <c r="H23" i="15"/>
  <c r="P31" i="15" l="1"/>
  <c r="N5" i="15"/>
  <c r="N31" i="15" s="1"/>
  <c r="L5" i="15"/>
  <c r="L31" i="15" s="1"/>
  <c r="F5" i="15"/>
  <c r="F31" i="15" s="1"/>
  <c r="H5" i="15"/>
  <c r="H31" i="15" s="1"/>
  <c r="H12" i="15"/>
  <c r="F23" i="19" l="1"/>
  <c r="F22" i="19"/>
  <c r="F17" i="19" l="1"/>
  <c r="D33" i="19" l="1"/>
  <c r="D15" i="19"/>
  <c r="D5" i="19" s="1"/>
  <c r="AP34" i="19"/>
  <c r="AN34" i="19"/>
  <c r="AL34" i="19"/>
  <c r="AJ34" i="19"/>
  <c r="AH34" i="19"/>
  <c r="T34" i="19"/>
  <c r="R34" i="19"/>
  <c r="AP33" i="19"/>
  <c r="AN33" i="19"/>
  <c r="AL33" i="19"/>
  <c r="AJ33" i="19"/>
  <c r="AH33" i="19"/>
  <c r="T33" i="19"/>
  <c r="R33" i="19"/>
  <c r="P33" i="19"/>
  <c r="N33" i="19"/>
  <c r="J33" i="19"/>
  <c r="P34" i="19"/>
  <c r="N34" i="19"/>
  <c r="L34" i="19"/>
  <c r="J34" i="19"/>
  <c r="H34" i="19"/>
  <c r="F34" i="19"/>
  <c r="D34" i="19"/>
  <c r="L33" i="19"/>
  <c r="H33" i="19"/>
  <c r="F33" i="19"/>
  <c r="AP30" i="19"/>
  <c r="AN30" i="19"/>
  <c r="AL30" i="19"/>
  <c r="AJ30" i="19"/>
  <c r="AH30" i="19"/>
  <c r="T30" i="19"/>
  <c r="R30" i="19"/>
  <c r="P30" i="19"/>
  <c r="N30" i="19"/>
  <c r="L30" i="19"/>
  <c r="J30" i="19"/>
  <c r="H30" i="19"/>
  <c r="F30" i="19"/>
  <c r="R5" i="19"/>
  <c r="R18" i="19" s="1"/>
  <c r="P5" i="19"/>
  <c r="N5" i="19"/>
  <c r="L5" i="19"/>
  <c r="J5" i="19"/>
  <c r="J18" i="19" s="1"/>
  <c r="H5" i="19"/>
  <c r="F5" i="19"/>
  <c r="AP5" i="19"/>
  <c r="AP18" i="19" s="1"/>
  <c r="AN5" i="19"/>
  <c r="AL18" i="19"/>
  <c r="AJ5" i="19"/>
  <c r="AH5" i="19"/>
  <c r="AH18" i="19" s="1"/>
  <c r="T5" i="19"/>
  <c r="AR30" i="19" l="1"/>
  <c r="M30" i="23" s="1"/>
  <c r="AH31" i="19"/>
  <c r="T32" i="19"/>
  <c r="F32" i="19"/>
  <c r="AN31" i="19"/>
  <c r="AL32" i="19"/>
  <c r="R32" i="19"/>
  <c r="AH32" i="19"/>
  <c r="AJ32" i="19"/>
  <c r="AN32" i="19"/>
  <c r="P32" i="19"/>
  <c r="P31" i="19"/>
  <c r="AP32" i="19"/>
  <c r="N32" i="19"/>
  <c r="H31" i="19"/>
  <c r="AJ31" i="19"/>
  <c r="T31" i="19"/>
  <c r="N31" i="19"/>
  <c r="L31" i="19"/>
  <c r="L32" i="19"/>
  <c r="J32" i="19"/>
  <c r="F31" i="19"/>
  <c r="D18" i="19"/>
  <c r="D32" i="19"/>
  <c r="H32" i="19"/>
  <c r="AR33" i="19"/>
  <c r="M33" i="23" s="1"/>
  <c r="AR34" i="19"/>
  <c r="M34" i="23" s="1"/>
  <c r="F18" i="19"/>
  <c r="H18" i="19"/>
  <c r="L18" i="19"/>
  <c r="N18" i="19"/>
  <c r="P18" i="19"/>
  <c r="T18" i="19"/>
  <c r="AJ18" i="19"/>
  <c r="AN18" i="19"/>
  <c r="J31" i="19"/>
  <c r="R31" i="19"/>
  <c r="R35" i="19" s="1"/>
  <c r="AL31" i="19"/>
  <c r="AP31" i="19"/>
  <c r="AB26" i="18"/>
  <c r="AR31" i="19" l="1"/>
  <c r="M31" i="23" s="1"/>
  <c r="AS20" i="19"/>
  <c r="T35" i="19"/>
  <c r="AL35" i="19"/>
  <c r="AJ35" i="19"/>
  <c r="H35" i="19"/>
  <c r="F35" i="19"/>
  <c r="AS24" i="19"/>
  <c r="AS22" i="19"/>
  <c r="AS21" i="19"/>
  <c r="AS25" i="19"/>
  <c r="AS26" i="19"/>
  <c r="AS27" i="19"/>
  <c r="AS28" i="19"/>
  <c r="AS23" i="19"/>
  <c r="J35" i="19"/>
  <c r="AN35" i="19"/>
  <c r="AH35" i="19"/>
  <c r="P35" i="19"/>
  <c r="AP35" i="19"/>
  <c r="N35" i="19"/>
  <c r="L35" i="19"/>
  <c r="D31" i="19"/>
  <c r="D35" i="19" s="1"/>
  <c r="M32" i="23"/>
  <c r="AB23" i="18"/>
  <c r="AB19" i="18" s="1"/>
  <c r="AB12" i="18"/>
  <c r="AB7" i="18" s="1"/>
  <c r="AS30" i="19" l="1"/>
  <c r="AS5" i="19"/>
  <c r="AS13" i="19"/>
  <c r="AS8" i="19"/>
  <c r="AS4" i="19"/>
  <c r="AS14" i="19"/>
  <c r="AS6" i="19"/>
  <c r="AS16" i="19"/>
  <c r="AS9" i="19"/>
  <c r="AS17" i="19"/>
  <c r="AS15" i="19"/>
  <c r="AS11" i="19"/>
  <c r="AS12" i="19"/>
  <c r="AS10" i="19"/>
  <c r="AR35" i="19"/>
  <c r="M35" i="23" s="1"/>
  <c r="Z27" i="18"/>
  <c r="Z28" i="18"/>
  <c r="Z25" i="18"/>
  <c r="Z26" i="18"/>
  <c r="Z24" i="18"/>
  <c r="Z23" i="18"/>
  <c r="Z22" i="18"/>
  <c r="Z19" i="18" s="1"/>
  <c r="AS18" i="19" l="1"/>
  <c r="Z12" i="18"/>
  <c r="Z7" i="18" s="1"/>
  <c r="X26" i="18"/>
  <c r="X23" i="18"/>
  <c r="X19" i="18" l="1"/>
  <c r="V27" i="18"/>
  <c r="V26" i="18" l="1"/>
  <c r="V25" i="18"/>
  <c r="V24" i="18"/>
  <c r="V22" i="18"/>
  <c r="V19" i="18" s="1"/>
  <c r="V12" i="18"/>
  <c r="V7" i="18" s="1"/>
  <c r="T27" i="18"/>
  <c r="T26" i="18"/>
  <c r="T25" i="18"/>
  <c r="T24" i="18"/>
  <c r="T23" i="18"/>
  <c r="T22" i="18"/>
  <c r="T12" i="18"/>
  <c r="T7" i="18" s="1"/>
  <c r="R27" i="18"/>
  <c r="T19" i="18" l="1"/>
  <c r="R26" i="18"/>
  <c r="R24" i="18"/>
  <c r="R23" i="18"/>
  <c r="R12" i="18"/>
  <c r="R7" i="18" s="1"/>
  <c r="H22" i="18"/>
  <c r="P28" i="18"/>
  <c r="P27" i="18"/>
  <c r="P26" i="18"/>
  <c r="P25" i="18"/>
  <c r="P24" i="18"/>
  <c r="P23" i="18"/>
  <c r="P22" i="18"/>
  <c r="P19" i="18" s="1"/>
  <c r="R19" i="18" l="1"/>
  <c r="P11" i="18"/>
  <c r="P7" i="18" s="1"/>
  <c r="N15" i="18" l="1"/>
  <c r="F15" i="23" s="1"/>
  <c r="L27" i="18"/>
  <c r="L25" i="18"/>
  <c r="L26" i="18"/>
  <c r="L24" i="18"/>
  <c r="L23" i="18"/>
  <c r="L22" i="18"/>
  <c r="L19" i="18" s="1"/>
  <c r="L12" i="18"/>
  <c r="L11" i="18"/>
  <c r="J27" i="18"/>
  <c r="J22" i="18"/>
  <c r="J26" i="18"/>
  <c r="J25" i="18"/>
  <c r="J24" i="18"/>
  <c r="J23" i="18"/>
  <c r="J19" i="18" l="1"/>
  <c r="F11" i="23"/>
  <c r="L7" i="18"/>
  <c r="J12" i="18"/>
  <c r="J7" i="18" s="1"/>
  <c r="H27" i="18" l="1"/>
  <c r="F27" i="23" s="1"/>
  <c r="H33" i="18"/>
  <c r="H26" i="18"/>
  <c r="H34" i="18" s="1"/>
  <c r="H25" i="18"/>
  <c r="H24" i="18"/>
  <c r="F24" i="23" s="1"/>
  <c r="H23" i="18"/>
  <c r="H12" i="18"/>
  <c r="F34" i="18"/>
  <c r="F33" i="18"/>
  <c r="AD34" i="18"/>
  <c r="AB34" i="18"/>
  <c r="X34" i="18"/>
  <c r="V34" i="18"/>
  <c r="R34" i="18"/>
  <c r="N34" i="18"/>
  <c r="F29" i="23"/>
  <c r="F28" i="23"/>
  <c r="AJ34" i="18"/>
  <c r="AF34" i="18"/>
  <c r="Z34" i="18"/>
  <c r="T34" i="18"/>
  <c r="P34" i="18"/>
  <c r="L34" i="18"/>
  <c r="J34" i="18"/>
  <c r="F25" i="23"/>
  <c r="F23" i="23"/>
  <c r="AJ33" i="18"/>
  <c r="AF33" i="18"/>
  <c r="AD33" i="18"/>
  <c r="AD32" i="18" s="1"/>
  <c r="AB33" i="18"/>
  <c r="Z33" i="18"/>
  <c r="X33" i="18"/>
  <c r="V33" i="18"/>
  <c r="T33" i="18"/>
  <c r="R33" i="18"/>
  <c r="R32" i="18" s="1"/>
  <c r="P33" i="18"/>
  <c r="N33" i="18"/>
  <c r="L33" i="18"/>
  <c r="J33" i="18"/>
  <c r="F21" i="23"/>
  <c r="F38" i="23" s="1"/>
  <c r="F20" i="23"/>
  <c r="AJ30" i="18"/>
  <c r="AF30" i="18"/>
  <c r="AD30" i="18"/>
  <c r="AB30" i="18"/>
  <c r="Z30" i="18"/>
  <c r="X30" i="18"/>
  <c r="V30" i="18"/>
  <c r="T30" i="18"/>
  <c r="R30" i="18"/>
  <c r="P30" i="18"/>
  <c r="N30" i="18"/>
  <c r="L30" i="18"/>
  <c r="J30" i="18"/>
  <c r="F8" i="23"/>
  <c r="AJ5" i="18"/>
  <c r="AF5" i="18"/>
  <c r="AB5" i="18"/>
  <c r="Z5" i="18"/>
  <c r="X5" i="18"/>
  <c r="T5" i="18"/>
  <c r="R5" i="18"/>
  <c r="P5" i="18"/>
  <c r="N5" i="18"/>
  <c r="L5" i="18"/>
  <c r="J5" i="18"/>
  <c r="F6" i="23"/>
  <c r="AD5" i="18"/>
  <c r="V5" i="18"/>
  <c r="L32" i="18" l="1"/>
  <c r="T32" i="18"/>
  <c r="AF32" i="18"/>
  <c r="H19" i="18"/>
  <c r="H7" i="18"/>
  <c r="H5" i="18" s="1"/>
  <c r="F12" i="23"/>
  <c r="AB32" i="18"/>
  <c r="J32" i="18"/>
  <c r="Z32" i="18"/>
  <c r="AJ32" i="18"/>
  <c r="AJ31" i="18"/>
  <c r="AJ35" i="18" s="1"/>
  <c r="N31" i="18"/>
  <c r="AD31" i="18"/>
  <c r="AD35" i="18" s="1"/>
  <c r="Z31" i="18"/>
  <c r="X32" i="18"/>
  <c r="V31" i="18"/>
  <c r="R31" i="18"/>
  <c r="R35" i="18" s="1"/>
  <c r="J31" i="18"/>
  <c r="H32" i="18"/>
  <c r="H30" i="18"/>
  <c r="F32" i="18"/>
  <c r="F30" i="18"/>
  <c r="F5" i="18"/>
  <c r="L31" i="18"/>
  <c r="L35" i="18" s="1"/>
  <c r="P31" i="18"/>
  <c r="T31" i="18"/>
  <c r="X31" i="18"/>
  <c r="AB31" i="18"/>
  <c r="AF31" i="18"/>
  <c r="N32" i="18"/>
  <c r="V32" i="18"/>
  <c r="P32" i="18"/>
  <c r="AL33" i="18"/>
  <c r="F33" i="23" s="1"/>
  <c r="AL34" i="18"/>
  <c r="F34" i="23" s="1"/>
  <c r="J18" i="18"/>
  <c r="N18" i="18"/>
  <c r="R18" i="18"/>
  <c r="V18" i="18"/>
  <c r="Z18" i="18"/>
  <c r="AD18" i="18"/>
  <c r="AJ18" i="18"/>
  <c r="F22" i="23"/>
  <c r="F26" i="23"/>
  <c r="H18" i="18"/>
  <c r="L18" i="18"/>
  <c r="P18" i="18"/>
  <c r="T18" i="18"/>
  <c r="X18" i="18"/>
  <c r="AB18" i="18"/>
  <c r="AF18" i="18"/>
  <c r="F38" i="14"/>
  <c r="H38" i="14"/>
  <c r="J38" i="14"/>
  <c r="L38" i="14"/>
  <c r="N38" i="14"/>
  <c r="P38" i="14"/>
  <c r="R38" i="14"/>
  <c r="T38" i="14"/>
  <c r="V38" i="14"/>
  <c r="X38" i="14"/>
  <c r="Z38" i="14"/>
  <c r="AB38" i="14"/>
  <c r="AD38" i="14"/>
  <c r="AF38" i="14"/>
  <c r="AH38" i="14"/>
  <c r="AJ38" i="14"/>
  <c r="AL38" i="14"/>
  <c r="AN38" i="14"/>
  <c r="AP38" i="14"/>
  <c r="AR38" i="14"/>
  <c r="D38" i="14"/>
  <c r="X27" i="14"/>
  <c r="AF35" i="18" l="1"/>
  <c r="F7" i="23"/>
  <c r="H31" i="18"/>
  <c r="Z35" i="18"/>
  <c r="F30" i="23"/>
  <c r="AB35" i="18"/>
  <c r="F18" i="18"/>
  <c r="F31" i="18"/>
  <c r="X35" i="18"/>
  <c r="J35" i="18"/>
  <c r="N35" i="18"/>
  <c r="V35" i="18"/>
  <c r="T35" i="18"/>
  <c r="P35" i="18"/>
  <c r="H35" i="18"/>
  <c r="F19" i="23"/>
  <c r="F35" i="18"/>
  <c r="F32" i="23"/>
  <c r="X24" i="14"/>
  <c r="X11" i="14"/>
  <c r="X7" i="14" s="1"/>
  <c r="F5" i="23" l="1"/>
  <c r="AM5" i="18"/>
  <c r="F18" i="23"/>
  <c r="AM4" i="18"/>
  <c r="AM13" i="18"/>
  <c r="AM8" i="18"/>
  <c r="AM6" i="18"/>
  <c r="AM15" i="18"/>
  <c r="AM10" i="18"/>
  <c r="AM16" i="18"/>
  <c r="AM17" i="18"/>
  <c r="AM14" i="18"/>
  <c r="AM9" i="18"/>
  <c r="AM11" i="18"/>
  <c r="AM12" i="18"/>
  <c r="AM28" i="18"/>
  <c r="AM20" i="18"/>
  <c r="AM24" i="18"/>
  <c r="AM23" i="18"/>
  <c r="AM27" i="18"/>
  <c r="AM22" i="18"/>
  <c r="AM26" i="18"/>
  <c r="AM25" i="18"/>
  <c r="AM21" i="18"/>
  <c r="AL35" i="18"/>
  <c r="F35" i="23" s="1"/>
  <c r="F31" i="23"/>
  <c r="AH27" i="14"/>
  <c r="AH26" i="14"/>
  <c r="AH22" i="14"/>
  <c r="AH25" i="14"/>
  <c r="AH24" i="14"/>
  <c r="Z22" i="14"/>
  <c r="F27" i="14"/>
  <c r="F25" i="14"/>
  <c r="F24" i="14"/>
  <c r="J27" i="14"/>
  <c r="H27" i="14"/>
  <c r="X26" i="14" l="1"/>
  <c r="X23" i="14"/>
  <c r="X22" i="14"/>
  <c r="N27" i="17"/>
  <c r="N23" i="17"/>
  <c r="N25" i="17"/>
  <c r="N24" i="17"/>
  <c r="N22" i="17"/>
  <c r="L27" i="17"/>
  <c r="L26" i="17"/>
  <c r="L25" i="17"/>
  <c r="L24" i="17"/>
  <c r="L23" i="17"/>
  <c r="L22" i="17"/>
  <c r="L19" i="17" s="1"/>
  <c r="L11" i="17"/>
  <c r="L7" i="17" s="1"/>
  <c r="X19" i="14" l="1"/>
  <c r="N19" i="17"/>
  <c r="J25" i="17"/>
  <c r="J24" i="17"/>
  <c r="J23" i="17"/>
  <c r="J22" i="17"/>
  <c r="J19" i="17" s="1"/>
  <c r="J17" i="17"/>
  <c r="F27" i="17" l="1"/>
  <c r="F28" i="17"/>
  <c r="F24" i="17" l="1"/>
  <c r="F23" i="17"/>
  <c r="F22" i="17"/>
  <c r="F19" i="17" s="1"/>
  <c r="F15" i="17"/>
  <c r="F12" i="17"/>
  <c r="F11" i="17"/>
  <c r="F7" i="17" s="1"/>
  <c r="D25" i="17"/>
  <c r="D24" i="17"/>
  <c r="D19" i="17" s="1"/>
  <c r="I19" i="23" s="1"/>
  <c r="P28" i="15" l="1"/>
  <c r="D25" i="15"/>
  <c r="D24" i="15"/>
  <c r="D17" i="15"/>
  <c r="D34" i="17"/>
  <c r="D33" i="17"/>
  <c r="I29" i="23"/>
  <c r="N34" i="17"/>
  <c r="L34" i="17"/>
  <c r="J34" i="17"/>
  <c r="F34" i="17"/>
  <c r="N33" i="17"/>
  <c r="L33" i="17"/>
  <c r="J33" i="17"/>
  <c r="F33" i="17"/>
  <c r="J30" i="17"/>
  <c r="D30" i="17"/>
  <c r="I17" i="23"/>
  <c r="I16" i="23"/>
  <c r="I15" i="23"/>
  <c r="I14" i="23"/>
  <c r="N5" i="17"/>
  <c r="J5" i="17"/>
  <c r="F5" i="17"/>
  <c r="I11" i="23"/>
  <c r="I10" i="23"/>
  <c r="I9" i="23"/>
  <c r="L5" i="17"/>
  <c r="I6" i="23"/>
  <c r="I4" i="23"/>
  <c r="N4" i="23" s="1"/>
  <c r="N32" i="17" l="1"/>
  <c r="I28" i="23"/>
  <c r="I25" i="23"/>
  <c r="I23" i="23"/>
  <c r="I21" i="23"/>
  <c r="I38" i="23" s="1"/>
  <c r="J32" i="17"/>
  <c r="I27" i="23"/>
  <c r="D32" i="17"/>
  <c r="L32" i="17"/>
  <c r="I7" i="23"/>
  <c r="F30" i="17"/>
  <c r="F31" i="17" s="1"/>
  <c r="N30" i="17"/>
  <c r="H18" i="17"/>
  <c r="F32" i="17"/>
  <c r="L18" i="17"/>
  <c r="F18" i="17"/>
  <c r="J31" i="17"/>
  <c r="J18" i="17"/>
  <c r="N31" i="17"/>
  <c r="N18" i="17"/>
  <c r="I12" i="23"/>
  <c r="D5" i="17"/>
  <c r="H30" i="17"/>
  <c r="L30" i="17"/>
  <c r="L31" i="17" s="1"/>
  <c r="H33" i="17"/>
  <c r="H34" i="17"/>
  <c r="P34" i="17" s="1"/>
  <c r="I34" i="23" s="1"/>
  <c r="P27" i="15"/>
  <c r="P17" i="15"/>
  <c r="N35" i="17" l="1"/>
  <c r="I26" i="23"/>
  <c r="I24" i="23"/>
  <c r="I22" i="23"/>
  <c r="J35" i="17"/>
  <c r="L35" i="17"/>
  <c r="F35" i="17"/>
  <c r="H32" i="17"/>
  <c r="I32" i="23" s="1"/>
  <c r="Q22" i="17"/>
  <c r="P33" i="17"/>
  <c r="I33" i="23" s="1"/>
  <c r="H31" i="17"/>
  <c r="H35" i="17" s="1"/>
  <c r="D31" i="17"/>
  <c r="D18" i="17"/>
  <c r="I18" i="23" s="1"/>
  <c r="I5" i="23"/>
  <c r="P12" i="15"/>
  <c r="I30" i="23" l="1"/>
  <c r="Q20" i="17"/>
  <c r="Q21" i="17"/>
  <c r="Q27" i="17"/>
  <c r="Q25" i="17"/>
  <c r="Q23" i="17"/>
  <c r="Q28" i="17"/>
  <c r="Q26" i="17"/>
  <c r="Q24" i="17"/>
  <c r="Q9" i="17"/>
  <c r="Q4" i="17"/>
  <c r="Q17" i="17"/>
  <c r="Q16" i="17"/>
  <c r="Q6" i="17"/>
  <c r="Q15" i="17"/>
  <c r="Q14" i="17"/>
  <c r="Q12" i="17"/>
  <c r="Q11" i="17"/>
  <c r="Q10" i="17"/>
  <c r="Q8" i="17"/>
  <c r="I31" i="23"/>
  <c r="D35" i="17"/>
  <c r="P35" i="17" s="1"/>
  <c r="I35" i="23" s="1"/>
  <c r="N26" i="15"/>
  <c r="N25" i="15"/>
  <c r="N24" i="15"/>
  <c r="N23" i="15"/>
  <c r="N22" i="15"/>
  <c r="N17" i="15"/>
  <c r="N12" i="15"/>
  <c r="L27" i="15"/>
  <c r="L28" i="15" l="1"/>
  <c r="L26" i="15"/>
  <c r="L25" i="15"/>
  <c r="L24" i="15"/>
  <c r="L23" i="15"/>
  <c r="L12" i="15"/>
  <c r="H22" i="15" l="1"/>
  <c r="F27" i="15" l="1"/>
  <c r="F26" i="15"/>
  <c r="F25" i="15"/>
  <c r="F24" i="15"/>
  <c r="F23" i="15"/>
  <c r="F22" i="15"/>
  <c r="F12" i="15"/>
  <c r="D34" i="15" l="1"/>
  <c r="D33" i="15"/>
  <c r="D32" i="15" s="1"/>
  <c r="D30" i="15"/>
  <c r="D5" i="15"/>
  <c r="AL22" i="14"/>
  <c r="AL19" i="14" s="1"/>
  <c r="AL34" i="14"/>
  <c r="AJ34" i="14"/>
  <c r="AH34" i="14"/>
  <c r="AL33" i="14"/>
  <c r="AL32" i="14" s="1"/>
  <c r="AH33" i="14"/>
  <c r="AJ22" i="14"/>
  <c r="AL15" i="14"/>
  <c r="AL11" i="14"/>
  <c r="AL7" i="14" s="1"/>
  <c r="AJ33" i="14" l="1"/>
  <c r="AJ32" i="14" s="1"/>
  <c r="J35" i="15"/>
  <c r="AH32" i="14"/>
  <c r="F35" i="15"/>
  <c r="F18" i="15"/>
  <c r="N35" i="15"/>
  <c r="N18" i="15"/>
  <c r="D31" i="15"/>
  <c r="D18" i="15"/>
  <c r="H35" i="15"/>
  <c r="H18" i="15"/>
  <c r="P35" i="15"/>
  <c r="J18" i="15"/>
  <c r="J5" i="23" l="1"/>
  <c r="J7" i="23"/>
  <c r="J31" i="23"/>
  <c r="L35" i="15"/>
  <c r="L18" i="15"/>
  <c r="D35" i="15"/>
  <c r="J18" i="23" l="1"/>
  <c r="S15" i="15"/>
  <c r="S14" i="15"/>
  <c r="S13" i="15"/>
  <c r="S17" i="15"/>
  <c r="S16" i="15"/>
  <c r="S6" i="15"/>
  <c r="S11" i="15"/>
  <c r="S9" i="15"/>
  <c r="S4" i="15"/>
  <c r="S12" i="15"/>
  <c r="S8" i="15"/>
  <c r="S10" i="15"/>
  <c r="R35" i="15"/>
  <c r="J35" i="23" s="1"/>
  <c r="AR27" i="14"/>
  <c r="AR26" i="14"/>
  <c r="AR25" i="14"/>
  <c r="AR24" i="14"/>
  <c r="AR23" i="14"/>
  <c r="AR22" i="14"/>
  <c r="AR11" i="14"/>
  <c r="H26" i="14"/>
  <c r="H25" i="14"/>
  <c r="H24" i="14"/>
  <c r="H23" i="14"/>
  <c r="H22" i="14"/>
  <c r="H12" i="14"/>
  <c r="H15" i="14"/>
  <c r="H11" i="14"/>
  <c r="H7" i="14" s="1"/>
  <c r="AD27" i="14"/>
  <c r="AD26" i="14"/>
  <c r="AD22" i="14"/>
  <c r="AD25" i="14"/>
  <c r="AD24" i="14"/>
  <c r="AD23" i="14"/>
  <c r="AD12" i="14"/>
  <c r="AD11" i="14"/>
  <c r="AD7" i="14" s="1"/>
  <c r="N27" i="14"/>
  <c r="N22" i="14"/>
  <c r="N26" i="14"/>
  <c r="N25" i="14"/>
  <c r="N24" i="14"/>
  <c r="N23" i="14"/>
  <c r="N11" i="14"/>
  <c r="N7" i="14" s="1"/>
  <c r="AJ27" i="14"/>
  <c r="AJ19" i="14" s="1"/>
  <c r="AJ30" i="14" s="1"/>
  <c r="AD19" i="14" l="1"/>
  <c r="H19" i="14"/>
  <c r="AR19" i="14"/>
  <c r="N19" i="14"/>
  <c r="AR7" i="14"/>
  <c r="AJ15" i="14"/>
  <c r="AT15" i="14" s="1"/>
  <c r="E15" i="23" s="1"/>
  <c r="AJ11" i="14"/>
  <c r="AJ7" i="14" s="1"/>
  <c r="R27" i="14"/>
  <c r="R25" i="14"/>
  <c r="R26" i="14"/>
  <c r="R24" i="14"/>
  <c r="R23" i="14"/>
  <c r="R22" i="14"/>
  <c r="R17" i="14"/>
  <c r="R11" i="14"/>
  <c r="R7" i="14" s="1"/>
  <c r="R19" i="14" l="1"/>
  <c r="AF27" i="14"/>
  <c r="AF26" i="14"/>
  <c r="AF25" i="14"/>
  <c r="AF24" i="14"/>
  <c r="AF23" i="14"/>
  <c r="AF22" i="14"/>
  <c r="AF19" i="14" s="1"/>
  <c r="AF11" i="14"/>
  <c r="AF7" i="14" s="1"/>
  <c r="J26" i="14"/>
  <c r="J25" i="14"/>
  <c r="J24" i="14"/>
  <c r="J23" i="14"/>
  <c r="J22" i="14"/>
  <c r="J19" i="14" s="1"/>
  <c r="J17" i="14"/>
  <c r="J11" i="14"/>
  <c r="J7" i="14" s="1"/>
  <c r="V27" i="14"/>
  <c r="V25" i="14"/>
  <c r="V24" i="14"/>
  <c r="V23" i="14"/>
  <c r="V22" i="14"/>
  <c r="V12" i="14"/>
  <c r="AT12" i="14" s="1"/>
  <c r="E12" i="23" s="1"/>
  <c r="V11" i="14"/>
  <c r="V7" i="14" s="1"/>
  <c r="AN27" i="14"/>
  <c r="AN26" i="14"/>
  <c r="AN23" i="14"/>
  <c r="AN22" i="14"/>
  <c r="AN17" i="14"/>
  <c r="AN11" i="14"/>
  <c r="AN7" i="14" s="1"/>
  <c r="AP27" i="14"/>
  <c r="AP26" i="14"/>
  <c r="AT26" i="14" s="1"/>
  <c r="E26" i="23" s="1"/>
  <c r="AP24" i="14"/>
  <c r="AP23" i="14"/>
  <c r="AP22" i="14"/>
  <c r="AP17" i="14"/>
  <c r="AP11" i="14"/>
  <c r="AN19" i="14" l="1"/>
  <c r="V19" i="14"/>
  <c r="AT25" i="14"/>
  <c r="E25" i="23" s="1"/>
  <c r="AP7" i="14"/>
  <c r="AP19" i="14"/>
  <c r="L27" i="14"/>
  <c r="L23" i="14"/>
  <c r="L22" i="14"/>
  <c r="L17" i="14"/>
  <c r="L11" i="14"/>
  <c r="L7" i="14" s="1"/>
  <c r="L19" i="14" l="1"/>
  <c r="AH23" i="14"/>
  <c r="AH20" i="14"/>
  <c r="AH17" i="14"/>
  <c r="AH11" i="14"/>
  <c r="F22" i="14"/>
  <c r="F19" i="14" s="1"/>
  <c r="F23" i="14"/>
  <c r="F17" i="14"/>
  <c r="F11" i="14"/>
  <c r="F7" i="14" s="1"/>
  <c r="D11" i="14"/>
  <c r="D7" i="14" s="1"/>
  <c r="AH7" i="14" l="1"/>
  <c r="AT20" i="14"/>
  <c r="E20" i="23" s="1"/>
  <c r="AH19" i="14"/>
  <c r="AB27" i="14"/>
  <c r="AB23" i="14" l="1"/>
  <c r="AB22" i="14"/>
  <c r="AB11" i="14"/>
  <c r="Z24" i="14"/>
  <c r="AT24" i="14" s="1"/>
  <c r="E24" i="23" s="1"/>
  <c r="Z23" i="14"/>
  <c r="Z19" i="14" s="1"/>
  <c r="AB19" i="14" l="1"/>
  <c r="AB7" i="14"/>
  <c r="Z11" i="14"/>
  <c r="Z7" i="14" s="1"/>
  <c r="AB30" i="14" l="1"/>
  <c r="T27" i="14"/>
  <c r="T22" i="14"/>
  <c r="T23" i="14"/>
  <c r="T17" i="14"/>
  <c r="T11" i="14"/>
  <c r="T7" i="14" s="1"/>
  <c r="T5" i="14" s="1"/>
  <c r="T18" i="14" s="1"/>
  <c r="D33" i="14"/>
  <c r="F33" i="14"/>
  <c r="H33" i="14"/>
  <c r="J33" i="14"/>
  <c r="L33" i="14"/>
  <c r="N33" i="14"/>
  <c r="R33" i="14"/>
  <c r="D34" i="14"/>
  <c r="F34" i="14"/>
  <c r="H34" i="14"/>
  <c r="J34" i="14"/>
  <c r="L34" i="14"/>
  <c r="N34" i="14"/>
  <c r="P34" i="14"/>
  <c r="R34" i="14"/>
  <c r="T34" i="14"/>
  <c r="P27" i="14"/>
  <c r="P22" i="14"/>
  <c r="P23" i="14"/>
  <c r="P19" i="14" l="1"/>
  <c r="P33" i="14"/>
  <c r="P32" i="14" s="1"/>
  <c r="T19" i="14"/>
  <c r="AT22" i="14"/>
  <c r="E22" i="23" s="1"/>
  <c r="AT23" i="14"/>
  <c r="E23" i="23" s="1"/>
  <c r="AT27" i="14"/>
  <c r="E27" i="23" s="1"/>
  <c r="H32" i="14"/>
  <c r="N32" i="14"/>
  <c r="R32" i="14"/>
  <c r="J32" i="14"/>
  <c r="L32" i="14"/>
  <c r="F32" i="14"/>
  <c r="D32" i="14"/>
  <c r="T33" i="14"/>
  <c r="T32" i="14" s="1"/>
  <c r="N29" i="23"/>
  <c r="N28" i="23"/>
  <c r="N27" i="23"/>
  <c r="N26" i="23"/>
  <c r="N25" i="23"/>
  <c r="N24" i="23"/>
  <c r="N23" i="23"/>
  <c r="N22" i="23"/>
  <c r="N21" i="23"/>
  <c r="N20" i="23"/>
  <c r="D30" i="14"/>
  <c r="F30" i="14"/>
  <c r="H30" i="14"/>
  <c r="J30" i="14"/>
  <c r="L30" i="14"/>
  <c r="N30" i="14"/>
  <c r="P30" i="14"/>
  <c r="R30" i="14"/>
  <c r="V30" i="14"/>
  <c r="AH30" i="14"/>
  <c r="AL30" i="14"/>
  <c r="H5" i="14"/>
  <c r="J5" i="14"/>
  <c r="L5" i="14"/>
  <c r="N5" i="14"/>
  <c r="V5" i="14"/>
  <c r="V18" i="14" s="1"/>
  <c r="X5" i="14"/>
  <c r="X18" i="14" s="1"/>
  <c r="Z5" i="14"/>
  <c r="Z18" i="14" s="1"/>
  <c r="AD5" i="14"/>
  <c r="AD18" i="14" s="1"/>
  <c r="AF5" i="14"/>
  <c r="AF18" i="14" s="1"/>
  <c r="AJ5" i="14"/>
  <c r="AJ31" i="14" s="1"/>
  <c r="AJ35" i="14" s="1"/>
  <c r="AL5" i="14"/>
  <c r="AL18" i="14" s="1"/>
  <c r="AN5" i="14"/>
  <c r="AN18" i="14" s="1"/>
  <c r="AR5" i="14"/>
  <c r="D5" i="14"/>
  <c r="F5" i="14"/>
  <c r="R5" i="14"/>
  <c r="AB5" i="14"/>
  <c r="AB18" i="14" s="1"/>
  <c r="AH5" i="14"/>
  <c r="AH18" i="14" s="1"/>
  <c r="AP5" i="14"/>
  <c r="AP18" i="14" s="1"/>
  <c r="P17" i="14"/>
  <c r="AT17" i="14" s="1"/>
  <c r="E17" i="23" s="1"/>
  <c r="P11" i="14"/>
  <c r="P7" i="14" s="1"/>
  <c r="P5" i="14" s="1"/>
  <c r="AR18" i="14" l="1"/>
  <c r="AT5" i="14"/>
  <c r="AT7" i="14"/>
  <c r="E7" i="23" s="1"/>
  <c r="AT19" i="14"/>
  <c r="E19" i="23" s="1"/>
  <c r="T30" i="14"/>
  <c r="AT11" i="14"/>
  <c r="E11" i="23" s="1"/>
  <c r="N12" i="23"/>
  <c r="N14" i="23"/>
  <c r="N15" i="23"/>
  <c r="N6" i="23"/>
  <c r="AT38" i="14"/>
  <c r="N11" i="23"/>
  <c r="N9" i="23"/>
  <c r="N8" i="23"/>
  <c r="N17" i="23"/>
  <c r="N10" i="23"/>
  <c r="L31" i="14"/>
  <c r="AH31" i="14"/>
  <c r="AH35" i="14" s="1"/>
  <c r="AL31" i="14"/>
  <c r="AL35" i="14" s="1"/>
  <c r="H31" i="14"/>
  <c r="H35" i="14" s="1"/>
  <c r="P31" i="14"/>
  <c r="P35" i="14" s="1"/>
  <c r="P18" i="14"/>
  <c r="AJ18" i="14"/>
  <c r="H18" i="14"/>
  <c r="N31" i="14"/>
  <c r="N35" i="14" s="1"/>
  <c r="N18" i="14"/>
  <c r="R31" i="14"/>
  <c r="R35" i="14" s="1"/>
  <c r="R18" i="14"/>
  <c r="J31" i="14"/>
  <c r="J35" i="14" s="1"/>
  <c r="J18" i="14"/>
  <c r="L35" i="14"/>
  <c r="L18" i="14"/>
  <c r="F31" i="14"/>
  <c r="F35" i="14" s="1"/>
  <c r="F18" i="14"/>
  <c r="D31" i="14"/>
  <c r="D35" i="14" s="1"/>
  <c r="D18" i="14"/>
  <c r="N19" i="23"/>
  <c r="T31" i="14"/>
  <c r="T35" i="14" s="1"/>
  <c r="AR34" i="14"/>
  <c r="AP34" i="14"/>
  <c r="AN34" i="14"/>
  <c r="AF34" i="14"/>
  <c r="AD34" i="14"/>
  <c r="AB34" i="14"/>
  <c r="Z34" i="14"/>
  <c r="X34" i="14"/>
  <c r="V34" i="14"/>
  <c r="AR33" i="14"/>
  <c r="AP33" i="14"/>
  <c r="AN33" i="14"/>
  <c r="AF33" i="14"/>
  <c r="AD33" i="14"/>
  <c r="AB33" i="14"/>
  <c r="Z33" i="14"/>
  <c r="X33" i="14"/>
  <c r="X32" i="14" s="1"/>
  <c r="V33" i="14"/>
  <c r="AP32" i="14"/>
  <c r="AN32" i="14"/>
  <c r="AF32" i="14"/>
  <c r="AB32" i="14"/>
  <c r="Z32" i="14"/>
  <c r="V32" i="14"/>
  <c r="AR30" i="14"/>
  <c r="AP30" i="14"/>
  <c r="AN30" i="14"/>
  <c r="AN31" i="14" s="1"/>
  <c r="AN35" i="14" s="1"/>
  <c r="AF30" i="14"/>
  <c r="AD30" i="14"/>
  <c r="AD31" i="14" s="1"/>
  <c r="Z30" i="14"/>
  <c r="X30" i="14"/>
  <c r="D30" i="13"/>
  <c r="D18" i="13"/>
  <c r="F30" i="13"/>
  <c r="F31" i="13" s="1"/>
  <c r="L30" i="13"/>
  <c r="L31" i="13" s="1"/>
  <c r="N30" i="13"/>
  <c r="N31" i="13" s="1"/>
  <c r="R30" i="13"/>
  <c r="R31" i="13" s="1"/>
  <c r="T30" i="13"/>
  <c r="T31" i="13" s="1"/>
  <c r="H30" i="13"/>
  <c r="H31" i="13" s="1"/>
  <c r="J30" i="13"/>
  <c r="P30" i="13"/>
  <c r="P31" i="13" s="1"/>
  <c r="V30" i="13"/>
  <c r="V31" i="13" s="1"/>
  <c r="F33" i="13"/>
  <c r="F32" i="13" s="1"/>
  <c r="H33" i="13"/>
  <c r="J33" i="13"/>
  <c r="J32" i="13" s="1"/>
  <c r="L33" i="13"/>
  <c r="N33" i="13"/>
  <c r="N32" i="13" s="1"/>
  <c r="P33" i="13"/>
  <c r="R33" i="13"/>
  <c r="T33" i="13"/>
  <c r="T32" i="13" s="1"/>
  <c r="V33" i="13"/>
  <c r="F34" i="13"/>
  <c r="H34" i="13"/>
  <c r="J34" i="13"/>
  <c r="L34" i="13"/>
  <c r="N34" i="13"/>
  <c r="P34" i="13"/>
  <c r="R34" i="13"/>
  <c r="T34" i="13"/>
  <c r="V34" i="13"/>
  <c r="J15" i="13"/>
  <c r="J11" i="13"/>
  <c r="D34" i="13"/>
  <c r="D33" i="13"/>
  <c r="AT33" i="14" l="1"/>
  <c r="E33" i="23" s="1"/>
  <c r="E5" i="23"/>
  <c r="AR31" i="14"/>
  <c r="AT30" i="14"/>
  <c r="E30" i="23" s="1"/>
  <c r="AT34" i="14"/>
  <c r="E34" i="23" s="1"/>
  <c r="AT18" i="14"/>
  <c r="E18" i="23" s="1"/>
  <c r="N16" i="23"/>
  <c r="L32" i="13"/>
  <c r="L35" i="13" s="1"/>
  <c r="R32" i="13"/>
  <c r="R35" i="13" s="1"/>
  <c r="H32" i="13"/>
  <c r="H35" i="13" s="1"/>
  <c r="P32" i="13"/>
  <c r="P35" i="13" s="1"/>
  <c r="J31" i="13"/>
  <c r="J35" i="13" s="1"/>
  <c r="V32" i="13"/>
  <c r="V35" i="13" s="1"/>
  <c r="AR32" i="14"/>
  <c r="AD32" i="14"/>
  <c r="AD35" i="14" s="1"/>
  <c r="N33" i="23"/>
  <c r="N34" i="23"/>
  <c r="Z31" i="14"/>
  <c r="Z35" i="14" s="1"/>
  <c r="V31" i="14"/>
  <c r="V35" i="14" s="1"/>
  <c r="X31" i="14"/>
  <c r="X35" i="14" s="1"/>
  <c r="AB31" i="14"/>
  <c r="AB35" i="14" s="1"/>
  <c r="AF31" i="14"/>
  <c r="AF35" i="14" s="1"/>
  <c r="AP31" i="14"/>
  <c r="AP35" i="14" s="1"/>
  <c r="N35" i="13"/>
  <c r="F35" i="13"/>
  <c r="T35" i="13"/>
  <c r="T18" i="13"/>
  <c r="L18" i="13"/>
  <c r="D32" i="13"/>
  <c r="H32" i="23" s="1"/>
  <c r="D31" i="13"/>
  <c r="P18" i="13"/>
  <c r="H18" i="13"/>
  <c r="V18" i="13"/>
  <c r="R18" i="13"/>
  <c r="N18" i="13"/>
  <c r="J18" i="13"/>
  <c r="F18" i="13"/>
  <c r="H7" i="23"/>
  <c r="N7" i="23" s="1"/>
  <c r="H5" i="23"/>
  <c r="N5" i="23" s="1"/>
  <c r="AR35" i="14" l="1"/>
  <c r="AT35" i="14" s="1"/>
  <c r="E35" i="23" s="1"/>
  <c r="AT32" i="14"/>
  <c r="E32" i="23" s="1"/>
  <c r="AT31" i="14"/>
  <c r="E31" i="23" s="1"/>
  <c r="AU5" i="14"/>
  <c r="H30" i="23"/>
  <c r="N30" i="23" s="1"/>
  <c r="O22" i="23" s="1"/>
  <c r="Y28" i="13"/>
  <c r="Y20" i="13"/>
  <c r="Y25" i="13"/>
  <c r="Y24" i="13"/>
  <c r="Y23" i="13"/>
  <c r="Y22" i="13"/>
  <c r="Y21" i="13"/>
  <c r="Y27" i="13"/>
  <c r="Y26" i="13"/>
  <c r="Y29" i="13"/>
  <c r="N38" i="23"/>
  <c r="AU4" i="14"/>
  <c r="AU8" i="14"/>
  <c r="AU10" i="14"/>
  <c r="AU11" i="14"/>
  <c r="AU9" i="14"/>
  <c r="AU6" i="14"/>
  <c r="AU12" i="14"/>
  <c r="AU16" i="14"/>
  <c r="AU17" i="14"/>
  <c r="AU14" i="14"/>
  <c r="AU15" i="14"/>
  <c r="AU21" i="14"/>
  <c r="AU28" i="14"/>
  <c r="AU20" i="14"/>
  <c r="AU27" i="14"/>
  <c r="AU26" i="14"/>
  <c r="AU25" i="14"/>
  <c r="AU24" i="14"/>
  <c r="AU23" i="14"/>
  <c r="AU22" i="14"/>
  <c r="H31" i="23"/>
  <c r="N32" i="23"/>
  <c r="N31" i="23"/>
  <c r="D35" i="13"/>
  <c r="X35" i="13" s="1"/>
  <c r="H35" i="23" s="1"/>
  <c r="N35" i="23" s="1"/>
  <c r="O27" i="23" l="1"/>
  <c r="O29" i="23"/>
  <c r="O20" i="23"/>
  <c r="O26" i="23"/>
  <c r="O21" i="23"/>
  <c r="O24" i="23"/>
  <c r="O28" i="23"/>
  <c r="O25" i="23"/>
  <c r="O23" i="23"/>
  <c r="H18" i="23"/>
  <c r="N18" i="23" s="1"/>
  <c r="O5" i="23" s="1"/>
  <c r="Y4" i="13"/>
  <c r="Y12" i="13"/>
  <c r="Y8" i="13"/>
  <c r="Y16" i="13"/>
  <c r="Y9" i="13"/>
  <c r="Y15" i="13"/>
  <c r="Y11" i="13"/>
  <c r="Y6" i="13"/>
  <c r="Y14" i="13"/>
  <c r="Y10" i="13"/>
  <c r="Y17" i="13"/>
  <c r="O4" i="23" l="1"/>
  <c r="O13" i="23"/>
  <c r="O15" i="23"/>
  <c r="O12" i="23"/>
  <c r="O8" i="23"/>
  <c r="O17" i="23"/>
  <c r="O14" i="23"/>
  <c r="O10" i="23"/>
  <c r="O9" i="23"/>
  <c r="O6" i="23"/>
  <c r="O11" i="23"/>
  <c r="O16" i="23"/>
  <c r="O38" i="23" s="1"/>
</calcChain>
</file>

<file path=xl/sharedStrings.xml><?xml version="1.0" encoding="utf-8"?>
<sst xmlns="http://schemas.openxmlformats.org/spreadsheetml/2006/main" count="683" uniqueCount="170">
  <si>
    <t>ลำดับ</t>
  </si>
  <si>
    <t>ประมาณการรายจ่าย</t>
  </si>
  <si>
    <t>เมือง</t>
  </si>
  <si>
    <t>อรัญ</t>
  </si>
  <si>
    <t>วัฒนานคร</t>
  </si>
  <si>
    <t>ตาพระยา</t>
  </si>
  <si>
    <t>คลองหาด</t>
  </si>
  <si>
    <t>เขาฉกรรจ์</t>
  </si>
  <si>
    <t>วังสมบูรณ์</t>
  </si>
  <si>
    <t>โคกสูง</t>
  </si>
  <si>
    <t>ค่าจ้างลูกจ้าง</t>
  </si>
  <si>
    <t>ค่าใช้สอย</t>
  </si>
  <si>
    <t>ค่าวัสดุ</t>
  </si>
  <si>
    <t>ค่าสาธารณูปโภค</t>
  </si>
  <si>
    <t>แผนงาน/โครงการ</t>
  </si>
  <si>
    <t>ครุภัณฑ์</t>
  </si>
  <si>
    <t>สิ่งก่อสร้าง</t>
  </si>
  <si>
    <t>ยา/เวชภัณฑ์</t>
  </si>
  <si>
    <t>อื่นๆ</t>
  </si>
  <si>
    <t>รวมรายจ่าย</t>
  </si>
  <si>
    <t>สสอ.คลองหาด</t>
  </si>
  <si>
    <t>ค่าตอบแทน(ฉ5/ฉ11)</t>
  </si>
  <si>
    <t>เงินบำรุงคงเหลือ ณ 30 ก.ย.61</t>
  </si>
  <si>
    <t>ค่าบริการทางการแพทย์</t>
  </si>
  <si>
    <t>รับโอนจาก CUP</t>
  </si>
  <si>
    <t>เงินบำรุงคงเหลือ ณ 30 ก.ย.62</t>
  </si>
  <si>
    <t xml:space="preserve">บ้านชุมทอง </t>
  </si>
  <si>
    <t xml:space="preserve">คลองไก่เถื่อน </t>
  </si>
  <si>
    <t>บ้านน้ำคำ</t>
  </si>
  <si>
    <t xml:space="preserve">บ้านหินกอง </t>
  </si>
  <si>
    <t>บ้านหนองแวง</t>
  </si>
  <si>
    <t>ราชันย์</t>
  </si>
  <si>
    <t>บ้านทับทิมสยาม 05</t>
  </si>
  <si>
    <t xml:space="preserve">บ้านเขาตาง๊อก </t>
  </si>
  <si>
    <t>บ้านนาดี</t>
  </si>
  <si>
    <t>หน่วยงาน(สสอ./รพ.สต)                                                   รายการ</t>
  </si>
  <si>
    <t>ค่าจ้างลูกจ้าง/ค่าสาธารณูปโภค 2 เดือน</t>
  </si>
  <si>
    <t>เงินคงเหลือสุทธิ(1+2-3)</t>
  </si>
  <si>
    <t>ประมาณการรายรับ</t>
  </si>
  <si>
    <t>รวม</t>
  </si>
  <si>
    <t>รวมรายรับ(1+2)</t>
  </si>
  <si>
    <t>ลูกจ้าง</t>
  </si>
  <si>
    <t>สาธารณูปโภค</t>
  </si>
  <si>
    <t>อื่นๆ(เงินบริจาค กองทุนอื่นๆ ฯลฯ)</t>
  </si>
  <si>
    <t>ดอกเบี้ยเงินฝากธนาคาร</t>
  </si>
  <si>
    <t>สสอ.เมือง</t>
  </si>
  <si>
    <t>แก่งสีเสียด</t>
  </si>
  <si>
    <t xml:space="preserve">เขามะกา </t>
  </si>
  <si>
    <t xml:space="preserve">เขาสิงโต </t>
  </si>
  <si>
    <t xml:space="preserve">คลองน้ำใส </t>
  </si>
  <si>
    <t xml:space="preserve">คลองบุหรี่ </t>
  </si>
  <si>
    <t xml:space="preserve">คลองผักขม </t>
  </si>
  <si>
    <t>โคกปี่ฆ้อง</t>
  </si>
  <si>
    <t xml:space="preserve">โคกสัมพันธ์ </t>
  </si>
  <si>
    <t xml:space="preserve">ท่ากะบาก </t>
  </si>
  <si>
    <t xml:space="preserve">ท่าเกษม </t>
  </si>
  <si>
    <t xml:space="preserve">ท่าแยก </t>
  </si>
  <si>
    <t xml:space="preserve">น้ำซับเจริญ </t>
  </si>
  <si>
    <t xml:space="preserve">เนินแสนสุข </t>
  </si>
  <si>
    <t xml:space="preserve">บะขมิ้น </t>
  </si>
  <si>
    <t xml:space="preserve">ลุงพลู </t>
  </si>
  <si>
    <t xml:space="preserve">หนองไทร </t>
  </si>
  <si>
    <t>บ้านแก้ง</t>
  </si>
  <si>
    <t>ศาลาลำดวน</t>
  </si>
  <si>
    <t>ค่าตอบแทน(ฉ5/ฉ11/พตส)</t>
  </si>
  <si>
    <t>ค่าบริหารจัดการ</t>
  </si>
  <si>
    <t>เงินโอนตามผลงาน(QOF แผนไทย อื่นๆ)</t>
  </si>
  <si>
    <t xml:space="preserve"> </t>
  </si>
  <si>
    <t>คลองเจริญสุข</t>
  </si>
  <si>
    <t>สรุปรายงานการจัดทำแผนเงินบำรุง สสอ.  และ รพ.สต. ปี 2562 อำเภอเมืองสระแก้ว</t>
  </si>
  <si>
    <t>งบค่าเสื่อม</t>
  </si>
  <si>
    <t>บ้านถวายฯ</t>
  </si>
  <si>
    <t>วังใหม่</t>
  </si>
  <si>
    <t>ซับสิงโต</t>
  </si>
  <si>
    <t>ทุ่งกบินทร์</t>
  </si>
  <si>
    <t>สสอ.</t>
  </si>
  <si>
    <t>รพ.สต.</t>
  </si>
  <si>
    <t>สอน.</t>
  </si>
  <si>
    <t>เฉลิมพระเกียรติฯ</t>
  </si>
  <si>
    <t>สรุปรายงานการจัดทำแผนเงินบำรุง สสอ.  และ รพ.สต. ปี 2562 อำเภอวังสมบูรณ์</t>
  </si>
  <si>
    <t>วังน้ำเย็น</t>
  </si>
  <si>
    <t>หน่วยงาน(สสอ./รพ.สต)                         รายการ</t>
  </si>
  <si>
    <t>ค่าจ้างลูกจ้าง/ค่าสาธารณูปโภค 
2 เดือน</t>
  </si>
  <si>
    <t>คลองตะเคียนชัย</t>
  </si>
  <si>
    <t>ทุ่งมหาเจริญ</t>
  </si>
  <si>
    <t>ท่าตาสี</t>
  </si>
  <si>
    <t>คลองจระเข้</t>
  </si>
  <si>
    <t>ตาหลังใน</t>
  </si>
  <si>
    <t>คลอง
ปลาโด</t>
  </si>
  <si>
    <t xml:space="preserve">คลอง
มะละกอ </t>
  </si>
  <si>
    <t xml:space="preserve">คลอง
หมากนัด </t>
  </si>
  <si>
    <t>หันทราย</t>
  </si>
  <si>
    <t>กองทุนตำบล(แผนงาน/โครงการ)</t>
  </si>
  <si>
    <t>หนองสังข์</t>
  </si>
  <si>
    <t>คลองหว้า</t>
  </si>
  <si>
    <t>ทัพพริก</t>
  </si>
  <si>
    <t>บ้านใหม่
หนองไทร</t>
  </si>
  <si>
    <t>ท่าข้าม</t>
  </si>
  <si>
    <t>หนองปรือ</t>
  </si>
  <si>
    <t>ผ่านศึก</t>
  </si>
  <si>
    <t>คลองน้ำใส</t>
  </si>
  <si>
    <t>บ้านโรงเรียน</t>
  </si>
  <si>
    <t>ภูน้ำเกลี้ยง</t>
  </si>
  <si>
    <t>หนองแวง</t>
  </si>
  <si>
    <t>ช่องกุ่ม</t>
  </si>
  <si>
    <t>สรุปรายงานการจัดทำแผนเงินบำรุง สสอ.  และ รพ.สต. ปี 2562 อำเภอโคกสูง</t>
  </si>
  <si>
    <t>อ่างศิลา</t>
  </si>
  <si>
    <t>ไผ่งาม</t>
  </si>
  <si>
    <t>โนนหมากมุ่น</t>
  </si>
  <si>
    <t>คลองตะเคียน</t>
  </si>
  <si>
    <t>หนองมั่ง</t>
  </si>
  <si>
    <t>ละลมติม</t>
  </si>
  <si>
    <t>หนองม่วง</t>
  </si>
  <si>
    <t>สรุปรายงานการจัดทำแผนเงินบำรุง สสอ.  และ รพ.สต. ปี 2562  อำเภอคลองหาด</t>
  </si>
  <si>
    <t>หนองหว้า</t>
  </si>
  <si>
    <t>เขาสามสิบ</t>
  </si>
  <si>
    <t>ไทรทอง</t>
  </si>
  <si>
    <t>ซับมะนาว</t>
  </si>
  <si>
    <t>คลองเจริญ</t>
  </si>
  <si>
    <t>เมืองไผ่</t>
  </si>
  <si>
    <t>นิคมฯ</t>
  </si>
  <si>
    <t>ป่าไร่</t>
  </si>
  <si>
    <t>ฟากห้วย</t>
  </si>
  <si>
    <t>คลองทับจันทร์</t>
  </si>
  <si>
    <t>สรุปรายงานการจัดทำแผนเงินบำรุง สสอ.  และ รพ.สต. ปี 2562 อำเภอวังน้ำเย็น</t>
  </si>
  <si>
    <t>ทับทิมสยาม 03</t>
  </si>
  <si>
    <t>สรุปรายงานการจัดทำแผนเงินบำรุง สสอ.  และ รพ.สต. ปี 2562 อำเภอตาพระยา</t>
  </si>
  <si>
    <t>โคกแจง</t>
  </si>
  <si>
    <t>หนองติม</t>
  </si>
  <si>
    <t>ทัพไทย</t>
  </si>
  <si>
    <t>โคคลาน</t>
  </si>
  <si>
    <t>หนองผักแว่น</t>
  </si>
  <si>
    <t>กุดเวียน</t>
  </si>
  <si>
    <t>แสง์</t>
  </si>
  <si>
    <t>มะกอก</t>
  </si>
  <si>
    <t>นางาม</t>
  </si>
  <si>
    <t>โคกแพร็ก</t>
  </si>
  <si>
    <t>ทัพเซียม</t>
  </si>
  <si>
    <t>โคกไพล</t>
  </si>
  <si>
    <t>นวมินฯ</t>
  </si>
  <si>
    <t>รัตนะ</t>
  </si>
  <si>
    <t>สรุปรายงานการจัดทำแผนเงินบำรุง สสอ.  และ รพ.สต. ปี 2562 อำเภอเขาฉกรรจ์</t>
  </si>
  <si>
    <t>สรุปรายงานการจัดทำแผนเงินบำรุง สสอ.  และ รพ.สต. ปี 2562 อำเภอวัฒนานคร</t>
  </si>
  <si>
    <t>สรุปรายงานการจัดทำแผนเงินบำรุง สสอ.  และ รพ.สต. ปี 2562 อำเภออรัญประเทศ</t>
  </si>
  <si>
    <t>เงินบำรุงคงเหลือ ณ 30 ก.ย.62 
หลังหักค่าสาธารณูปโภค และ ค่าจ้างลูกจ้าง 2 เดือน</t>
  </si>
  <si>
    <t>เขาพรม
สุวรรณ</t>
  </si>
  <si>
    <t>ท่าช้าง</t>
  </si>
  <si>
    <t>ทับใหม่</t>
  </si>
  <si>
    <t>ซับนกแก้ว</t>
  </si>
  <si>
    <t>แซร์ออ</t>
  </si>
  <si>
    <t>ท่าเกวียน</t>
  </si>
  <si>
    <t>คลองมะนาว</t>
  </si>
  <si>
    <t>ห้วยเดื่อ</t>
  </si>
  <si>
    <t>บ่อนางชิง</t>
  </si>
  <si>
    <t>คลองทราย</t>
  </si>
  <si>
    <t>หนองหอย</t>
  </si>
  <si>
    <t>หนองน้ำใส</t>
  </si>
  <si>
    <t>หนอง
ตะเคียนบอน</t>
  </si>
  <si>
    <t>บ้านใหม่
ศรีจำปา</t>
  </si>
  <si>
    <t>ร้อยละของ
รายรับ/รายจ่าย</t>
  </si>
  <si>
    <t xml:space="preserve">  อำเภอ
                     รายการ</t>
  </si>
  <si>
    <t>คลองคันโท</t>
  </si>
  <si>
    <t>หนองเทา</t>
  </si>
  <si>
    <t>ห้วยชัน</t>
  </si>
  <si>
    <t xml:space="preserve">สรุปรายงานการจัดทำแผนเงินบำรุง สสอ.  และ รพ.สต. ปี 2562 </t>
  </si>
  <si>
    <t>ผลการ
ดำเนินงาน
ไตรมาส1</t>
  </si>
  <si>
    <t>รวมแผน</t>
  </si>
  <si>
    <t>รวมผล</t>
  </si>
  <si>
    <t>ร้อยละ
ผลการ
ดำเนินงาน</t>
  </si>
  <si>
    <t>หนอง
หมากฝ้าย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</si>
</sst>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0"/>
      <color rgb="FFFF0000"/>
      <name val="TH SarabunPSK"/>
      <family val="2"/>
    </font>
    <font>
      <b/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87" fontId="6" fillId="0" borderId="1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187" fontId="6" fillId="0" borderId="1" xfId="1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87" fontId="6" fillId="2" borderId="1" xfId="1" applyNumberFormat="1" applyFont="1" applyFill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87" fontId="6" fillId="0" borderId="1" xfId="1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87" fontId="6" fillId="4" borderId="1" xfId="1" applyNumberFormat="1" applyFont="1" applyFill="1" applyBorder="1" applyAlignment="1">
      <alignment horizontal="center" vertical="center" wrapText="1"/>
    </xf>
    <xf numFmtId="187" fontId="6" fillId="4" borderId="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187" fontId="4" fillId="0" borderId="0" xfId="0" applyNumberFormat="1" applyFont="1"/>
    <xf numFmtId="187" fontId="8" fillId="0" borderId="0" xfId="0" applyNumberFormat="1" applyFont="1"/>
    <xf numFmtId="187" fontId="9" fillId="0" borderId="1" xfId="1" applyNumberFormat="1" applyFont="1" applyFill="1" applyBorder="1" applyAlignment="1">
      <alignment vertical="center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87" fontId="5" fillId="0" borderId="1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87" fontId="5" fillId="3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87" fontId="5" fillId="0" borderId="0" xfId="1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87" fontId="5" fillId="2" borderId="1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87" fontId="5" fillId="0" borderId="1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87" fontId="5" fillId="0" borderId="1" xfId="1" applyNumberFormat="1" applyFont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/>
    <xf numFmtId="187" fontId="5" fillId="3" borderId="1" xfId="1" applyNumberFormat="1" applyFont="1" applyFill="1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 applyAlignment="1">
      <alignment vertical="top"/>
    </xf>
    <xf numFmtId="0" fontId="5" fillId="2" borderId="2" xfId="0" applyFont="1" applyFill="1" applyBorder="1"/>
    <xf numFmtId="0" fontId="5" fillId="2" borderId="3" xfId="0" applyFont="1" applyFill="1" applyBorder="1"/>
    <xf numFmtId="187" fontId="5" fillId="2" borderId="1" xfId="1" applyNumberFormat="1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1" xfId="0" applyFont="1" applyFill="1" applyBorder="1" applyAlignment="1">
      <alignment horizontal="left"/>
    </xf>
    <xf numFmtId="0" fontId="5" fillId="0" borderId="3" xfId="0" applyFont="1" applyBorder="1"/>
    <xf numFmtId="2" fontId="5" fillId="0" borderId="3" xfId="0" applyNumberFormat="1" applyFont="1" applyBorder="1"/>
    <xf numFmtId="0" fontId="5" fillId="2" borderId="1" xfId="0" applyFont="1" applyFill="1" applyBorder="1" applyAlignment="1">
      <alignment horizontal="left"/>
    </xf>
    <xf numFmtId="0" fontId="4" fillId="0" borderId="3" xfId="0" applyFont="1" applyBorder="1"/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/>
    <xf numFmtId="0" fontId="5" fillId="0" borderId="1" xfId="0" applyFont="1" applyFill="1" applyBorder="1" applyAlignment="1">
      <alignment horizontal="left" wrapText="1"/>
    </xf>
    <xf numFmtId="187" fontId="5" fillId="0" borderId="1" xfId="1" applyNumberFormat="1" applyFont="1" applyFill="1" applyBorder="1"/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7" fontId="6" fillId="0" borderId="3" xfId="1" applyNumberFormat="1" applyFont="1" applyFill="1" applyBorder="1" applyAlignment="1">
      <alignment vertical="center"/>
    </xf>
    <xf numFmtId="187" fontId="6" fillId="0" borderId="3" xfId="1" applyNumberFormat="1" applyFont="1" applyBorder="1" applyAlignment="1">
      <alignment vertical="center"/>
    </xf>
    <xf numFmtId="187" fontId="6" fillId="0" borderId="0" xfId="1" applyNumberFormat="1" applyFont="1" applyFill="1" applyAlignment="1">
      <alignment vertical="center"/>
    </xf>
    <xf numFmtId="187" fontId="6" fillId="0" borderId="3" xfId="1" applyNumberFormat="1" applyFont="1" applyFill="1" applyBorder="1" applyAlignment="1">
      <alignment vertical="top"/>
    </xf>
    <xf numFmtId="187" fontId="2" fillId="3" borderId="1" xfId="1" applyNumberFormat="1" applyFont="1" applyFill="1" applyBorder="1" applyAlignment="1">
      <alignment vertical="center"/>
    </xf>
    <xf numFmtId="187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7" fontId="2" fillId="2" borderId="1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187" fontId="5" fillId="0" borderId="1" xfId="1" applyNumberFormat="1" applyFont="1" applyFill="1" applyBorder="1" applyAlignment="1">
      <alignment vertical="top"/>
    </xf>
    <xf numFmtId="187" fontId="2" fillId="0" borderId="1" xfId="1" applyNumberFormat="1" applyFont="1" applyFill="1" applyBorder="1" applyAlignment="1">
      <alignment vertical="top"/>
    </xf>
    <xf numFmtId="43" fontId="6" fillId="0" borderId="1" xfId="1" applyNumberFormat="1" applyFont="1" applyBorder="1" applyAlignment="1">
      <alignment vertical="center"/>
    </xf>
    <xf numFmtId="43" fontId="6" fillId="0" borderId="1" xfId="1" applyNumberFormat="1" applyFont="1" applyBorder="1" applyAlignment="1">
      <alignment vertical="top"/>
    </xf>
    <xf numFmtId="43" fontId="6" fillId="4" borderId="1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3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43" fontId="5" fillId="0" borderId="1" xfId="1" applyNumberFormat="1" applyFont="1" applyBorder="1" applyAlignment="1">
      <alignment vertical="center"/>
    </xf>
    <xf numFmtId="43" fontId="5" fillId="0" borderId="1" xfId="1" applyNumberFormat="1" applyFont="1" applyBorder="1"/>
    <xf numFmtId="43" fontId="5" fillId="0" borderId="1" xfId="1" applyNumberFormat="1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87" fontId="5" fillId="4" borderId="1" xfId="1" applyNumberFormat="1" applyFont="1" applyFill="1" applyBorder="1" applyAlignment="1">
      <alignment horizontal="center" vertical="center" wrapText="1"/>
    </xf>
    <xf numFmtId="187" fontId="5" fillId="4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87" fontId="5" fillId="0" borderId="1" xfId="1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87" fontId="5" fillId="0" borderId="0" xfId="0" applyNumberFormat="1" applyFont="1"/>
    <xf numFmtId="187" fontId="2" fillId="0" borderId="0" xfId="0" applyNumberFormat="1" applyFont="1"/>
    <xf numFmtId="0" fontId="2" fillId="0" borderId="0" xfId="0" applyFont="1"/>
    <xf numFmtId="43" fontId="5" fillId="3" borderId="1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7" fontId="6" fillId="0" borderId="0" xfId="1" applyNumberFormat="1" applyFont="1" applyBorder="1" applyAlignment="1">
      <alignment vertical="center"/>
    </xf>
    <xf numFmtId="187" fontId="5" fillId="0" borderId="4" xfId="1" applyNumberFormat="1" applyFont="1" applyBorder="1" applyAlignment="1">
      <alignment vertical="center"/>
    </xf>
    <xf numFmtId="43" fontId="5" fillId="4" borderId="1" xfId="1" applyNumberFormat="1" applyFont="1" applyFill="1" applyBorder="1" applyAlignment="1">
      <alignment horizontal="center" vertical="center"/>
    </xf>
    <xf numFmtId="43" fontId="5" fillId="0" borderId="1" xfId="1" applyNumberFormat="1" applyFont="1" applyBorder="1" applyAlignment="1">
      <alignment horizontal="center" vertical="center"/>
    </xf>
    <xf numFmtId="43" fontId="5" fillId="0" borderId="1" xfId="1" applyNumberFormat="1" applyFont="1" applyBorder="1" applyAlignment="1">
      <alignment horizontal="center" vertical="top"/>
    </xf>
    <xf numFmtId="187" fontId="5" fillId="2" borderId="1" xfId="1" applyNumberFormat="1" applyFont="1" applyFill="1" applyBorder="1" applyAlignment="1">
      <alignment horizontal="center" vertical="center"/>
    </xf>
    <xf numFmtId="187" fontId="5" fillId="4" borderId="1" xfId="1" applyNumberFormat="1" applyFont="1" applyFill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187" fontId="6" fillId="0" borderId="3" xfId="1" applyNumberFormat="1" applyFont="1" applyBorder="1" applyAlignment="1">
      <alignment vertical="top"/>
    </xf>
    <xf numFmtId="187" fontId="5" fillId="0" borderId="0" xfId="1" applyNumberFormat="1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87" fontId="5" fillId="3" borderId="1" xfId="1" applyNumberFormat="1" applyFont="1" applyFill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87" fontId="6" fillId="3" borderId="1" xfId="1" applyNumberFormat="1" applyFont="1" applyFill="1" applyBorder="1" applyAlignment="1">
      <alignment vertical="center"/>
    </xf>
    <xf numFmtId="0" fontId="4" fillId="3" borderId="0" xfId="0" applyFont="1" applyFill="1"/>
    <xf numFmtId="187" fontId="2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87" fontId="6" fillId="3" borderId="1" xfId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/>
    </xf>
    <xf numFmtId="43" fontId="6" fillId="2" borderId="1" xfId="1" applyNumberFormat="1" applyFont="1" applyFill="1" applyBorder="1" applyAlignment="1">
      <alignment vertical="center"/>
    </xf>
    <xf numFmtId="43" fontId="5" fillId="3" borderId="1" xfId="1" applyNumberFormat="1" applyFont="1" applyFill="1" applyBorder="1"/>
    <xf numFmtId="43" fontId="5" fillId="2" borderId="1" xfId="1" applyNumberFormat="1" applyFont="1" applyFill="1" applyBorder="1"/>
    <xf numFmtId="43" fontId="5" fillId="2" borderId="1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8"/>
  <sheetViews>
    <sheetView tabSelected="1" view="pageBreakPreview" zoomScale="90" zoomScaleNormal="110" zoomScaleSheetLayoutView="90" workbookViewId="0">
      <pane xSplit="3" ySplit="3" topLeftCell="E4" activePane="bottomRight" state="frozen"/>
      <selection activeCell="K36" sqref="K36"/>
      <selection pane="topRight" activeCell="K36" sqref="K36"/>
      <selection pane="bottomLeft" activeCell="K36" sqref="K36"/>
      <selection pane="bottomRight" activeCell="G39" sqref="G39"/>
    </sheetView>
  </sheetViews>
  <sheetFormatPr defaultRowHeight="17.25" x14ac:dyDescent="0.4"/>
  <cols>
    <col min="1" max="1" width="3" style="2" customWidth="1"/>
    <col min="2" max="2" width="4.75" style="2" customWidth="1"/>
    <col min="3" max="3" width="21.25" style="2" customWidth="1"/>
    <col min="4" max="4" width="4.375" style="2" hidden="1" customWidth="1"/>
    <col min="5" max="7" width="12" style="2" customWidth="1"/>
    <col min="8" max="12" width="11.5" style="2" customWidth="1"/>
    <col min="13" max="13" width="11.5" style="153" customWidth="1"/>
    <col min="14" max="14" width="11.5" style="2" customWidth="1"/>
    <col min="15" max="15" width="11.5" style="166" customWidth="1"/>
    <col min="16" max="16384" width="9" style="2"/>
  </cols>
  <sheetData>
    <row r="1" spans="1:15" x14ac:dyDescent="0.4">
      <c r="A1" s="196" t="s">
        <v>164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55"/>
    </row>
    <row r="2" spans="1:15" x14ac:dyDescent="0.4">
      <c r="A2" s="197" t="s">
        <v>0</v>
      </c>
      <c r="B2" s="198"/>
      <c r="C2" s="201" t="s">
        <v>160</v>
      </c>
      <c r="D2" s="203" t="s">
        <v>45</v>
      </c>
      <c r="E2" s="203" t="s">
        <v>2</v>
      </c>
      <c r="F2" s="195" t="s">
        <v>3</v>
      </c>
      <c r="G2" s="195" t="s">
        <v>5</v>
      </c>
      <c r="H2" s="195" t="s">
        <v>6</v>
      </c>
      <c r="I2" s="195" t="s">
        <v>80</v>
      </c>
      <c r="J2" s="194" t="s">
        <v>8</v>
      </c>
      <c r="K2" s="195" t="s">
        <v>9</v>
      </c>
      <c r="L2" s="194" t="s">
        <v>7</v>
      </c>
      <c r="M2" s="194" t="s">
        <v>4</v>
      </c>
      <c r="N2" s="194" t="s">
        <v>39</v>
      </c>
      <c r="O2" s="194" t="s">
        <v>159</v>
      </c>
    </row>
    <row r="3" spans="1:15" x14ac:dyDescent="0.4">
      <c r="A3" s="199"/>
      <c r="B3" s="200"/>
      <c r="C3" s="202"/>
      <c r="D3" s="204"/>
      <c r="E3" s="20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104" customFormat="1" x14ac:dyDescent="0.2">
      <c r="A4" s="138">
        <v>1</v>
      </c>
      <c r="B4" s="139"/>
      <c r="C4" s="140" t="s">
        <v>22</v>
      </c>
      <c r="D4" s="141"/>
      <c r="E4" s="141">
        <f>+อ.เมือง!AT4</f>
        <v>4106406.8600000003</v>
      </c>
      <c r="F4" s="141">
        <f>+อรัญ!AL4</f>
        <v>4039947.9299999997</v>
      </c>
      <c r="G4" s="141">
        <f>+ตะพระยา!AH4</f>
        <v>3204060.3500000006</v>
      </c>
      <c r="H4" s="141">
        <f>+คลองหาด!X4</f>
        <v>4133734.26</v>
      </c>
      <c r="I4" s="141">
        <f>+วังน้ำเย็น!P4</f>
        <v>1455320.21</v>
      </c>
      <c r="J4" s="141">
        <f>+วังสมบูรณ์!R4</f>
        <v>2134366.9900000002</v>
      </c>
      <c r="K4" s="141">
        <f>+โคกสูง.!V4</f>
        <v>1459159.15</v>
      </c>
      <c r="L4" s="141">
        <f>+เขาฉกรรจ์!R4</f>
        <v>2738597.0300000003</v>
      </c>
      <c r="M4" s="141">
        <f>+วัฒนา!AR4</f>
        <v>9517834.9700000007</v>
      </c>
      <c r="N4" s="142">
        <f t="shared" ref="N4:N35" si="0">SUM(D4:M4)</f>
        <v>32789427.75</v>
      </c>
      <c r="O4" s="158">
        <f>+N4*100/N18</f>
        <v>15.74241363358013</v>
      </c>
    </row>
    <row r="5" spans="1:15" s="104" customFormat="1" x14ac:dyDescent="0.2">
      <c r="A5" s="138">
        <v>2</v>
      </c>
      <c r="B5" s="139"/>
      <c r="C5" s="143" t="s">
        <v>38</v>
      </c>
      <c r="D5" s="142">
        <f>+D6+D7+D14+D15+D16+D17</f>
        <v>0</v>
      </c>
      <c r="E5" s="142">
        <f>+อ.เมือง!AT5</f>
        <v>28360582.253333338</v>
      </c>
      <c r="F5" s="142">
        <f>+อรัญ!AL5</f>
        <v>26267858.359999999</v>
      </c>
      <c r="G5" s="142">
        <f>+ตะพระยา!AH5</f>
        <v>23550374.82</v>
      </c>
      <c r="H5" s="142">
        <f>+คลองหาด!X5</f>
        <v>10852824.99</v>
      </c>
      <c r="I5" s="142">
        <f>+วังน้ำเย็น!P5</f>
        <v>13666216.390000001</v>
      </c>
      <c r="J5" s="142">
        <f>+วังสมบูรณ์!R5</f>
        <v>15533971.27</v>
      </c>
      <c r="K5" s="142">
        <f>+โคกสูง.!V5</f>
        <v>12250195.620000001</v>
      </c>
      <c r="L5" s="142">
        <f>+เขาฉกรรจ์!R5</f>
        <v>16623640.920000002</v>
      </c>
      <c r="M5" s="142">
        <f>+วัฒนา!AR5</f>
        <v>28392077.009999998</v>
      </c>
      <c r="N5" s="142">
        <f t="shared" si="0"/>
        <v>175497741.63333333</v>
      </c>
      <c r="O5" s="158">
        <f>+N5*100/N18</f>
        <v>84.257586366419886</v>
      </c>
    </row>
    <row r="6" spans="1:15" s="104" customFormat="1" x14ac:dyDescent="0.2">
      <c r="A6" s="47"/>
      <c r="B6" s="48">
        <v>2.1</v>
      </c>
      <c r="C6" s="56" t="s">
        <v>23</v>
      </c>
      <c r="D6" s="50"/>
      <c r="E6" s="50">
        <f>+อ.เมือง!AT6</f>
        <v>381895.06</v>
      </c>
      <c r="F6" s="50">
        <f>+อรัญ!AL6</f>
        <v>910438.21</v>
      </c>
      <c r="G6" s="50">
        <f>+ตะพระยา!AH6</f>
        <v>28044.260000000002</v>
      </c>
      <c r="H6" s="50">
        <f>+คลองหาด!X6</f>
        <v>81468.33</v>
      </c>
      <c r="I6" s="50">
        <f>+วังน้ำเย็น!P6</f>
        <v>41611.480000000003</v>
      </c>
      <c r="J6" s="50">
        <f>+วังสมบูรณ์!R6</f>
        <v>193086</v>
      </c>
      <c r="K6" s="50">
        <f>+โคกสูง.!V6</f>
        <v>18306.669999999998</v>
      </c>
      <c r="L6" s="50">
        <f>+เขาฉกรรจ์!R6</f>
        <v>69204.42</v>
      </c>
      <c r="M6" s="50">
        <f>+วัฒนา!AR6</f>
        <v>136955</v>
      </c>
      <c r="N6" s="50">
        <f t="shared" si="0"/>
        <v>1861009.43</v>
      </c>
      <c r="O6" s="159">
        <f>+N6*100/N18</f>
        <v>0.89348251047330907</v>
      </c>
    </row>
    <row r="7" spans="1:15" s="104" customFormat="1" x14ac:dyDescent="0.2">
      <c r="A7" s="138"/>
      <c r="B7" s="139">
        <v>2.2000000000000002</v>
      </c>
      <c r="C7" s="143" t="s">
        <v>24</v>
      </c>
      <c r="D7" s="142">
        <f>SUM(D9:D12)</f>
        <v>0</v>
      </c>
      <c r="E7" s="142">
        <f>+อ.เมือง!AT7</f>
        <v>21857905.273333337</v>
      </c>
      <c r="F7" s="142">
        <f>+อรัญ!AL7</f>
        <v>20422171.189999998</v>
      </c>
      <c r="G7" s="142">
        <f>+ตะพระยา!AH7</f>
        <v>18356052.98</v>
      </c>
      <c r="H7" s="142">
        <f>+คลองหาด!X7</f>
        <v>9178034.5600000005</v>
      </c>
      <c r="I7" s="142">
        <f>+วังน้ำเย็น!P7</f>
        <v>11369621.98</v>
      </c>
      <c r="J7" s="142">
        <f>+วังสมบูรณ์!R7</f>
        <v>11084848</v>
      </c>
      <c r="K7" s="142">
        <f>+โคกสูง.!V7</f>
        <v>9794697</v>
      </c>
      <c r="L7" s="142">
        <f>+เขาฉกรรจ์!R7</f>
        <v>11964107.57</v>
      </c>
      <c r="M7" s="142">
        <f>+วัฒนา!AR7</f>
        <v>20010050.859999999</v>
      </c>
      <c r="N7" s="142">
        <f t="shared" si="0"/>
        <v>134037489.41333334</v>
      </c>
      <c r="O7" s="158"/>
    </row>
    <row r="8" spans="1:15" s="104" customFormat="1" x14ac:dyDescent="0.2">
      <c r="A8" s="47"/>
      <c r="B8" s="48"/>
      <c r="C8" s="49" t="s">
        <v>17</v>
      </c>
      <c r="D8" s="50"/>
      <c r="E8" s="50">
        <f>+อ.เมือง!AT8</f>
        <v>4919651.8833333338</v>
      </c>
      <c r="F8" s="50">
        <f>+อรัญ!AL8</f>
        <v>2719748.99</v>
      </c>
      <c r="G8" s="50">
        <f>+ตะพระยา!AH8</f>
        <v>3056160.19</v>
      </c>
      <c r="H8" s="50">
        <f>+คลองหาด!X8</f>
        <v>921477.56</v>
      </c>
      <c r="I8" s="50">
        <f>+วังน้ำเย็น!P8</f>
        <v>2555087.04</v>
      </c>
      <c r="J8" s="50">
        <f>+วังสมบูรณ์!R8</f>
        <v>2297060</v>
      </c>
      <c r="K8" s="50">
        <f>+โคกสูง.!V8</f>
        <v>1281909</v>
      </c>
      <c r="L8" s="50">
        <f>+เขาฉกรรจ์!R8</f>
        <v>1565602.77</v>
      </c>
      <c r="M8" s="50">
        <f>+วัฒนา!AR8</f>
        <v>3813690.8099999996</v>
      </c>
      <c r="N8" s="50">
        <f t="shared" si="0"/>
        <v>23130388.243333332</v>
      </c>
      <c r="O8" s="159">
        <f>+N8*100/N18</f>
        <v>11.105047090425424</v>
      </c>
    </row>
    <row r="9" spans="1:15" s="104" customFormat="1" x14ac:dyDescent="0.2">
      <c r="A9" s="47"/>
      <c r="B9" s="48"/>
      <c r="C9" s="49" t="s">
        <v>65</v>
      </c>
      <c r="D9" s="50"/>
      <c r="E9" s="50">
        <f>+อ.เมือง!AT9</f>
        <v>5169785</v>
      </c>
      <c r="F9" s="50">
        <f>+อรัญ!AL9</f>
        <v>4903197</v>
      </c>
      <c r="G9" s="50">
        <f>+ตะพระยา!AH9</f>
        <v>3503696.33</v>
      </c>
      <c r="H9" s="50">
        <f>+คลองหาด!X9</f>
        <v>2040000</v>
      </c>
      <c r="I9" s="50">
        <f>+วังน้ำเย็น!P9</f>
        <v>1248000</v>
      </c>
      <c r="J9" s="50">
        <f>+วังสมบูรณ์!R9</f>
        <v>1980000</v>
      </c>
      <c r="K9" s="50">
        <f>+โคกสูง.!V9</f>
        <v>2091000</v>
      </c>
      <c r="L9" s="50">
        <f>+เขาฉกรรจ์!R9</f>
        <v>1488000</v>
      </c>
      <c r="M9" s="50">
        <f>+วัฒนา!AR9</f>
        <v>5134182.8400000008</v>
      </c>
      <c r="N9" s="50">
        <f t="shared" si="0"/>
        <v>27557861.169999998</v>
      </c>
      <c r="O9" s="159">
        <f>+N9*100/N18</f>
        <v>13.230705113324721</v>
      </c>
    </row>
    <row r="10" spans="1:15" s="104" customFormat="1" x14ac:dyDescent="0.2">
      <c r="A10" s="47"/>
      <c r="B10" s="48"/>
      <c r="C10" s="49" t="s">
        <v>14</v>
      </c>
      <c r="D10" s="50"/>
      <c r="E10" s="50">
        <f>+อ.เมือง!AT10</f>
        <v>1462476.3900000001</v>
      </c>
      <c r="F10" s="50">
        <f>+อรัญ!AL10</f>
        <v>5039325.2</v>
      </c>
      <c r="G10" s="104">
        <f>+ตะพระยา!AH10</f>
        <v>2717302.39</v>
      </c>
      <c r="H10" s="50">
        <f>+คลองหาด!X10</f>
        <v>1495519</v>
      </c>
      <c r="I10" s="50">
        <f>+วังน้ำเย็น!P10</f>
        <v>2162759.94</v>
      </c>
      <c r="J10" s="50">
        <f>+วังสมบูรณ์!R10</f>
        <v>1438484</v>
      </c>
      <c r="K10" s="50">
        <f>+โคกสูง.!V10</f>
        <v>853540</v>
      </c>
      <c r="L10" s="50">
        <f>+เขาฉกรรจ์!R10</f>
        <v>1954075</v>
      </c>
      <c r="M10" s="50">
        <f>+วัฒนา!AR10</f>
        <v>1090667.21</v>
      </c>
      <c r="N10" s="50">
        <f t="shared" si="0"/>
        <v>18214149.130000003</v>
      </c>
      <c r="O10" s="159">
        <f>+N10*100/N18</f>
        <v>8.7447293003816977</v>
      </c>
    </row>
    <row r="11" spans="1:15" s="104" customFormat="1" x14ac:dyDescent="0.2">
      <c r="A11" s="47"/>
      <c r="B11" s="48"/>
      <c r="C11" s="58" t="s">
        <v>64</v>
      </c>
      <c r="D11" s="50"/>
      <c r="E11" s="50">
        <f>+อ.เมือง!AT11</f>
        <v>5272913</v>
      </c>
      <c r="F11" s="50">
        <f>+อรัญ!AL11</f>
        <v>2593192</v>
      </c>
      <c r="G11" s="50">
        <f>+ตะพระยา!AH11</f>
        <v>3488453.34</v>
      </c>
      <c r="H11" s="50">
        <f>+คลองหาด!X11</f>
        <v>1796200</v>
      </c>
      <c r="I11" s="50">
        <f>+วังน้ำเย็น!P11</f>
        <v>859800</v>
      </c>
      <c r="J11" s="50">
        <f>+วังสมบูรณ์!R11</f>
        <v>820800</v>
      </c>
      <c r="K11" s="50">
        <f>+โคกสูง.!V11</f>
        <v>2097200</v>
      </c>
      <c r="L11" s="50">
        <f>+เขาฉกรรจ์!R11</f>
        <v>970080</v>
      </c>
      <c r="M11" s="50">
        <f>+วัฒนา!AR11</f>
        <v>3015700</v>
      </c>
      <c r="N11" s="50">
        <f t="shared" si="0"/>
        <v>20914338.34</v>
      </c>
      <c r="O11" s="159">
        <f>+N11*100/N18</f>
        <v>10.041107381659737</v>
      </c>
    </row>
    <row r="12" spans="1:15" s="104" customFormat="1" x14ac:dyDescent="0.2">
      <c r="A12" s="47"/>
      <c r="B12" s="48"/>
      <c r="C12" s="49" t="s">
        <v>10</v>
      </c>
      <c r="D12" s="50"/>
      <c r="E12" s="157">
        <f>+อ.เมือง!AT12</f>
        <v>5033079</v>
      </c>
      <c r="F12" s="157">
        <f>+อรัญ!AL12</f>
        <v>5116708</v>
      </c>
      <c r="G12" s="157">
        <f>+ตะพระยา!AH12</f>
        <v>5473574.0700000003</v>
      </c>
      <c r="H12" s="104">
        <f>+คลองหาด!X12</f>
        <v>2924838</v>
      </c>
      <c r="I12" s="157">
        <f>+วังน้ำเย็น!P12</f>
        <v>4543975</v>
      </c>
      <c r="J12" s="157">
        <f>+วังสมบูรณ์!R12</f>
        <v>4548504</v>
      </c>
      <c r="K12" s="157">
        <f>+โคกสูง.!V12</f>
        <v>3471048</v>
      </c>
      <c r="L12" s="157">
        <f>+เขาฉกรรจ์!R12</f>
        <v>5986349.7999999998</v>
      </c>
      <c r="M12" s="50">
        <f>+วัฒนา!AR12</f>
        <v>6034110</v>
      </c>
      <c r="N12" s="50">
        <f t="shared" si="0"/>
        <v>43132185.869999997</v>
      </c>
      <c r="O12" s="159">
        <f>+N12*100/N18</f>
        <v>20.708037848754476</v>
      </c>
    </row>
    <row r="13" spans="1:15" s="104" customFormat="1" x14ac:dyDescent="0.2">
      <c r="A13" s="47"/>
      <c r="B13" s="48"/>
      <c r="C13" s="49" t="s">
        <v>70</v>
      </c>
      <c r="D13" s="50"/>
      <c r="E13" s="50">
        <f>+อ.เมือง!AT13</f>
        <v>0</v>
      </c>
      <c r="F13" s="50">
        <f>+อรัญ!AL13</f>
        <v>50000</v>
      </c>
      <c r="G13" s="50">
        <f>+ตะพระยา!AH13</f>
        <v>116866.66</v>
      </c>
      <c r="H13" s="56">
        <f>+คลองหาด!X13</f>
        <v>0</v>
      </c>
      <c r="I13" s="50">
        <f>+วังน้ำเย็น!P13</f>
        <v>0</v>
      </c>
      <c r="J13" s="50">
        <f>+วังสมบูรณ์!R13</f>
        <v>1375901.93</v>
      </c>
      <c r="K13" s="50">
        <f>+โคกสูง.!V13</f>
        <v>0</v>
      </c>
      <c r="L13" s="50">
        <f>+เขาฉกรรจ์!R13</f>
        <v>0</v>
      </c>
      <c r="M13" s="50">
        <f>+วัฒนา!AR13</f>
        <v>921700</v>
      </c>
      <c r="N13" s="50">
        <f t="shared" si="0"/>
        <v>2464468.59</v>
      </c>
      <c r="O13" s="159">
        <f>+N13*100/N18</f>
        <v>1.1832071064657723</v>
      </c>
    </row>
    <row r="14" spans="1:15" s="104" customFormat="1" x14ac:dyDescent="0.2">
      <c r="A14" s="47"/>
      <c r="B14" s="60">
        <v>2.2999999999999998</v>
      </c>
      <c r="C14" s="49" t="s">
        <v>44</v>
      </c>
      <c r="D14" s="50"/>
      <c r="E14" s="50">
        <f>+อ.เมือง!AT14</f>
        <v>39651.72</v>
      </c>
      <c r="F14" s="50">
        <f>+อรัญ!AL14</f>
        <v>28304.31</v>
      </c>
      <c r="G14" s="50">
        <f>+ตะพระยา!AH14</f>
        <v>20001.25</v>
      </c>
      <c r="H14" s="50">
        <f>+คลองหาด!X14</f>
        <v>17100.099999999999</v>
      </c>
      <c r="I14" s="50">
        <f>+วังน้ำเย็น!P14</f>
        <v>7166.87</v>
      </c>
      <c r="J14" s="50">
        <f>+วังสมบูรณ์!R14</f>
        <v>25913.47</v>
      </c>
      <c r="K14" s="50">
        <f>+โคกสูง.!V14</f>
        <v>10733.949999999999</v>
      </c>
      <c r="L14" s="50">
        <f>+เขาฉกรรจ์!R14</f>
        <v>14946.13</v>
      </c>
      <c r="M14" s="50">
        <f>+วัฒนา!AR14</f>
        <v>41484.579999999994</v>
      </c>
      <c r="N14" s="50">
        <f t="shared" si="0"/>
        <v>205302.38</v>
      </c>
      <c r="O14" s="159">
        <f>+N14*100/N18</f>
        <v>9.856698355824306E-2</v>
      </c>
    </row>
    <row r="15" spans="1:15" s="147" customFormat="1" x14ac:dyDescent="0.2">
      <c r="A15" s="144"/>
      <c r="B15" s="89">
        <v>2.4</v>
      </c>
      <c r="C15" s="145" t="s">
        <v>66</v>
      </c>
      <c r="D15" s="146"/>
      <c r="E15" s="146">
        <f>+อ.เมือง!AT15</f>
        <v>963115.88</v>
      </c>
      <c r="F15" s="146">
        <f>+อรัญ!AL15</f>
        <v>1616536.4000000001</v>
      </c>
      <c r="G15" s="146">
        <f>+ตะพระยา!AH15</f>
        <v>2009599.7800000003</v>
      </c>
      <c r="H15" s="146">
        <f>+คลองหาด!X15</f>
        <v>720342</v>
      </c>
      <c r="I15" s="146">
        <f>+วังน้ำเย็น!P15</f>
        <v>1456664.9</v>
      </c>
      <c r="J15" s="146">
        <f>+วังสมบูรณ์!R15</f>
        <v>1127032.8700000001</v>
      </c>
      <c r="K15" s="146">
        <f>+โคกสูง.!V15</f>
        <v>818500</v>
      </c>
      <c r="L15" s="146">
        <f>+เขาฉกรรจ์!R15</f>
        <v>1670639.33</v>
      </c>
      <c r="M15" s="146">
        <f>+วัฒนา!AR15</f>
        <v>4619980.66</v>
      </c>
      <c r="N15" s="146">
        <f t="shared" si="0"/>
        <v>15002411.820000002</v>
      </c>
      <c r="O15" s="160">
        <f>+N15*100/N18</f>
        <v>7.2027537098982073</v>
      </c>
    </row>
    <row r="16" spans="1:15" s="104" customFormat="1" x14ac:dyDescent="0.2">
      <c r="A16" s="61"/>
      <c r="B16" s="62">
        <v>2.5</v>
      </c>
      <c r="C16" s="63" t="s">
        <v>92</v>
      </c>
      <c r="D16" s="50"/>
      <c r="E16" s="50">
        <f>+อ.เมือง!AT16</f>
        <v>4008945</v>
      </c>
      <c r="F16" s="50">
        <f>+อรัญ!AL16</f>
        <v>2912535</v>
      </c>
      <c r="G16" s="50">
        <f>+ตะพระยา!AH16</f>
        <v>2613865</v>
      </c>
      <c r="H16" s="50">
        <f>+คลองหาด!X16</f>
        <v>846130</v>
      </c>
      <c r="I16" s="50">
        <f>+วังน้ำเย็น!P16</f>
        <v>523800</v>
      </c>
      <c r="J16" s="50">
        <f>+วังสมบูรณ์!R16</f>
        <v>608627</v>
      </c>
      <c r="K16" s="50">
        <f>+โคกสูง.!V16</f>
        <v>1305680</v>
      </c>
      <c r="L16" s="50">
        <f>+เขาฉกรรจ์!R16</f>
        <v>1858291</v>
      </c>
      <c r="M16" s="50">
        <f>+วัฒนา!AR16</f>
        <v>2693234</v>
      </c>
      <c r="N16" s="50">
        <f t="shared" si="0"/>
        <v>17371107</v>
      </c>
      <c r="O16" s="159">
        <f>+N16*100/N18</f>
        <v>8.3399793906796447</v>
      </c>
    </row>
    <row r="17" spans="1:15" s="147" customFormat="1" x14ac:dyDescent="0.2">
      <c r="A17" s="144"/>
      <c r="B17" s="89">
        <v>2.6</v>
      </c>
      <c r="C17" s="145" t="s">
        <v>43</v>
      </c>
      <c r="D17" s="146"/>
      <c r="E17" s="146">
        <f>+อ.เมือง!AT17</f>
        <v>1109069.32</v>
      </c>
      <c r="F17" s="146">
        <f>+อรัญ!AL17</f>
        <v>377873.25</v>
      </c>
      <c r="G17" s="146">
        <f>+ตะพระยา!AH17</f>
        <v>522811.55</v>
      </c>
      <c r="H17" s="146">
        <f>+คลองหาด!X17</f>
        <v>9750</v>
      </c>
      <c r="I17" s="146">
        <f>+วังน้ำเย็น!P17</f>
        <v>267351.15999999997</v>
      </c>
      <c r="J17" s="146">
        <f>+วังสมบูรณ์!R17</f>
        <v>1118562</v>
      </c>
      <c r="K17" s="146">
        <f>+โคกสูง.!V17</f>
        <v>302278</v>
      </c>
      <c r="L17" s="146">
        <f>+เขาฉกรรจ์!R17</f>
        <v>1046452.47</v>
      </c>
      <c r="M17" s="146">
        <f>+วัฒนา!AR17</f>
        <v>890371.91</v>
      </c>
      <c r="N17" s="146">
        <f t="shared" si="0"/>
        <v>5644519.6600000001</v>
      </c>
      <c r="O17" s="160">
        <f>+N17*100/N18</f>
        <v>2.7099699307986578</v>
      </c>
    </row>
    <row r="18" spans="1:15" s="104" customFormat="1" x14ac:dyDescent="0.2">
      <c r="A18" s="64"/>
      <c r="B18" s="65"/>
      <c r="C18" s="66" t="s">
        <v>40</v>
      </c>
      <c r="D18" s="67">
        <f>+D4+D5</f>
        <v>0</v>
      </c>
      <c r="E18" s="67">
        <f>+อ.เมือง!AT18</f>
        <v>32466989.113333333</v>
      </c>
      <c r="F18" s="67">
        <f>+อรัญ!AL18</f>
        <v>30307806.289999995</v>
      </c>
      <c r="G18" s="67">
        <f>+ตะพระยา!AH18</f>
        <v>26754435.170000002</v>
      </c>
      <c r="H18" s="67">
        <f>+คลองหาด!X18</f>
        <v>14986559.25</v>
      </c>
      <c r="I18" s="67">
        <f>+วังน้ำเย็น!P18</f>
        <v>15121536.600000001</v>
      </c>
      <c r="J18" s="67">
        <f>+วังสมบูรณ์!R18</f>
        <v>17668338.260000002</v>
      </c>
      <c r="K18" s="67">
        <f>+โคกสูง.!V18</f>
        <v>13709354.770000001</v>
      </c>
      <c r="L18" s="67">
        <f>+เขาฉกรรจ์!R18</f>
        <v>19362237.949999999</v>
      </c>
      <c r="M18" s="67">
        <f>+วัฒนา!AR18</f>
        <v>37909911.979999997</v>
      </c>
      <c r="N18" s="67">
        <f>SUM(D18:M18)</f>
        <v>208287169.3833333</v>
      </c>
      <c r="O18" s="186">
        <v>100</v>
      </c>
    </row>
    <row r="19" spans="1:15" s="104" customFormat="1" x14ac:dyDescent="0.2">
      <c r="A19" s="148">
        <v>3</v>
      </c>
      <c r="B19" s="149"/>
      <c r="C19" s="150" t="s">
        <v>1</v>
      </c>
      <c r="D19" s="142">
        <f>SUM(D21:D29)</f>
        <v>0</v>
      </c>
      <c r="E19" s="142">
        <f>+อ.เมือง!AT19</f>
        <v>28269745.577777773</v>
      </c>
      <c r="F19" s="142">
        <f>+อรัญ!AL19</f>
        <v>26452449.400000002</v>
      </c>
      <c r="G19" s="142">
        <f>+ตะพระยา!AH19</f>
        <v>24637610.740000002</v>
      </c>
      <c r="H19" s="142">
        <f>+คลองหาด!X19</f>
        <v>12241458.989999998</v>
      </c>
      <c r="I19" s="142">
        <f>+วังน้ำเย็น!P19</f>
        <v>12630470.07</v>
      </c>
      <c r="J19" s="142">
        <f>+วังสมบูรณ์!R19</f>
        <v>14915419.93</v>
      </c>
      <c r="K19" s="142">
        <f>+โคกสูง.!V19</f>
        <v>12911401.140000001</v>
      </c>
      <c r="L19" s="142">
        <f>+เขาฉกรรจ์!R19</f>
        <v>17423861.66</v>
      </c>
      <c r="M19" s="142">
        <f>+วัฒนา!AR19</f>
        <v>27124772.77</v>
      </c>
      <c r="N19" s="142">
        <f t="shared" si="0"/>
        <v>176607190.27777782</v>
      </c>
      <c r="O19" s="162"/>
    </row>
    <row r="20" spans="1:15" s="104" customFormat="1" x14ac:dyDescent="0.2">
      <c r="A20" s="61"/>
      <c r="B20" s="62">
        <v>3.1</v>
      </c>
      <c r="C20" s="63" t="s">
        <v>17</v>
      </c>
      <c r="D20" s="50"/>
      <c r="E20" s="50">
        <f>+อ.เมือง!AT20</f>
        <v>4747730.4977777777</v>
      </c>
      <c r="F20" s="50">
        <f>+อรัญ!AL20</f>
        <v>2142848.4099999997</v>
      </c>
      <c r="G20" s="50">
        <f>+ตะพระยา!AH20</f>
        <v>3001734.29</v>
      </c>
      <c r="H20" s="50">
        <f>+คลองหาด!X20</f>
        <v>921477.59000000008</v>
      </c>
      <c r="I20" s="50">
        <f>+วังน้ำเย็น!P20</f>
        <v>1588669.91</v>
      </c>
      <c r="J20" s="50">
        <f>+วังสมบูรณ์!R20</f>
        <v>1841452</v>
      </c>
      <c r="K20" s="50">
        <f>+โคกสูง.!V20</f>
        <v>1321746.1400000001</v>
      </c>
      <c r="L20" s="50">
        <f>+เขาฉกรรจ์!R20</f>
        <v>1470702.8599999999</v>
      </c>
      <c r="M20" s="50">
        <f>+วัฒนา!AR20</f>
        <v>3122924.2399999998</v>
      </c>
      <c r="N20" s="50">
        <f t="shared" si="0"/>
        <v>20159285.937777776</v>
      </c>
      <c r="O20" s="159">
        <f>+N20*100/N30</f>
        <v>11.414759447828883</v>
      </c>
    </row>
    <row r="21" spans="1:15" s="104" customFormat="1" x14ac:dyDescent="0.2">
      <c r="A21" s="61"/>
      <c r="B21" s="62">
        <v>3.2</v>
      </c>
      <c r="C21" s="58" t="s">
        <v>14</v>
      </c>
      <c r="D21" s="50"/>
      <c r="E21" s="50">
        <f>+อ.เมือง!AT21</f>
        <v>4009945</v>
      </c>
      <c r="F21" s="50">
        <f>+อรัญ!AL21</f>
        <v>7203724</v>
      </c>
      <c r="G21" s="50">
        <f>+ตะพระยา!AH21</f>
        <v>2942895</v>
      </c>
      <c r="H21" s="50">
        <f>+คลองหาด!X21</f>
        <v>3001309</v>
      </c>
      <c r="I21" s="50">
        <f>+วังน้ำเย็น!P21</f>
        <v>2534605</v>
      </c>
      <c r="J21" s="50">
        <f>+วังสมบูรณ์!R21</f>
        <v>2207275</v>
      </c>
      <c r="K21" s="50">
        <f>+โคกสูง.!V21</f>
        <v>2335476</v>
      </c>
      <c r="L21" s="50">
        <f>+เขาฉกรรจ์!R21</f>
        <v>4082882</v>
      </c>
      <c r="M21" s="50">
        <f>+วัฒนา!AR21</f>
        <v>2941147</v>
      </c>
      <c r="N21" s="50">
        <f t="shared" si="0"/>
        <v>31259258</v>
      </c>
      <c r="O21" s="159">
        <f>+N21*100/N30</f>
        <v>17.699878442567183</v>
      </c>
    </row>
    <row r="22" spans="1:15" s="104" customFormat="1" x14ac:dyDescent="0.2">
      <c r="A22" s="61"/>
      <c r="B22" s="62">
        <v>3.3</v>
      </c>
      <c r="C22" s="49" t="s">
        <v>10</v>
      </c>
      <c r="D22" s="50"/>
      <c r="E22" s="50">
        <f>+อ.เมือง!AT22</f>
        <v>7435524.4000000004</v>
      </c>
      <c r="F22" s="50">
        <f>+อรัญ!AL22</f>
        <v>4638407</v>
      </c>
      <c r="G22" s="50">
        <f>+ตะพระยา!AH22</f>
        <v>5485233.5099999998</v>
      </c>
      <c r="H22" s="50">
        <f>+คลองหาด!X22</f>
        <v>2924838</v>
      </c>
      <c r="I22" s="50">
        <f>+วังน้ำเย็น!P22</f>
        <v>4373288</v>
      </c>
      <c r="J22" s="50">
        <f>+วังสมบูรณ์!R22</f>
        <v>5257848</v>
      </c>
      <c r="K22" s="50">
        <f>+โคกสูง.!V22</f>
        <v>3563984</v>
      </c>
      <c r="L22" s="50">
        <f>+เขาฉกรรจ์!R22</f>
        <v>6102247.7999999998</v>
      </c>
      <c r="M22" s="50">
        <f>+วัฒนา!AR22</f>
        <v>7234801</v>
      </c>
      <c r="N22" s="50">
        <f t="shared" si="0"/>
        <v>47016171.709999993</v>
      </c>
      <c r="O22" s="159">
        <f>+N22*100/N30</f>
        <v>26.621889876652407</v>
      </c>
    </row>
    <row r="23" spans="1:15" s="104" customFormat="1" x14ac:dyDescent="0.2">
      <c r="A23" s="61"/>
      <c r="B23" s="62">
        <v>3.4</v>
      </c>
      <c r="C23" s="58" t="s">
        <v>64</v>
      </c>
      <c r="D23" s="50"/>
      <c r="E23" s="50">
        <f>+อ.เมือง!AT23</f>
        <v>5013170</v>
      </c>
      <c r="F23" s="50">
        <f>+อรัญ!AL23</f>
        <v>3327246</v>
      </c>
      <c r="G23" s="50">
        <f>+ตะพระยา!AH23</f>
        <v>3458096.44</v>
      </c>
      <c r="H23" s="50">
        <f>+คลองหาด!X23</f>
        <v>1847906</v>
      </c>
      <c r="I23" s="50">
        <f>+วังน้ำเย็น!P23</f>
        <v>1398820.67</v>
      </c>
      <c r="J23" s="50">
        <f>+วังสมบูรณ์!R23</f>
        <v>1928120</v>
      </c>
      <c r="K23" s="50">
        <f>+โคกสูง.!V23</f>
        <v>2097200</v>
      </c>
      <c r="L23" s="50">
        <f>+เขาฉกรรจ์!R23</f>
        <v>1653240</v>
      </c>
      <c r="M23" s="50">
        <f>+วัฒนา!AR23</f>
        <v>4377678.47</v>
      </c>
      <c r="N23" s="50">
        <f t="shared" si="0"/>
        <v>25101477.579999998</v>
      </c>
      <c r="O23" s="159">
        <f>+N23*100/N30</f>
        <v>14.213168524180114</v>
      </c>
    </row>
    <row r="24" spans="1:15" s="104" customFormat="1" x14ac:dyDescent="0.2">
      <c r="A24" s="61"/>
      <c r="B24" s="62">
        <v>3.5</v>
      </c>
      <c r="C24" s="58" t="s">
        <v>11</v>
      </c>
      <c r="D24" s="50"/>
      <c r="E24" s="50">
        <f>+อ.เมือง!AT24</f>
        <v>3427162.6799999997</v>
      </c>
      <c r="F24" s="50">
        <f>+อรัญ!AL24</f>
        <v>4231459</v>
      </c>
      <c r="G24" s="50">
        <f>+ตะพระยา!AH24</f>
        <v>5782814</v>
      </c>
      <c r="H24" s="50">
        <f>+คลองหาด!X24</f>
        <v>1600200</v>
      </c>
      <c r="I24" s="50">
        <f>+วังน้ำเย็น!P24</f>
        <v>1398288.2</v>
      </c>
      <c r="J24" s="50">
        <f>+วังสมบูรณ์!R24</f>
        <v>1321700</v>
      </c>
      <c r="K24" s="50">
        <f>+โคกสูง.!V24</f>
        <v>1182370</v>
      </c>
      <c r="L24" s="50">
        <f>+เขาฉกรรจ์!R24</f>
        <v>1459180</v>
      </c>
      <c r="M24" s="50">
        <f>+วัฒนา!AR24</f>
        <v>4936484</v>
      </c>
      <c r="N24" s="50">
        <f t="shared" si="0"/>
        <v>25339657.879999999</v>
      </c>
      <c r="O24" s="159">
        <f>+N24*100/N30</f>
        <v>14.348032965217524</v>
      </c>
    </row>
    <row r="25" spans="1:15" s="104" customFormat="1" x14ac:dyDescent="0.2">
      <c r="A25" s="61"/>
      <c r="B25" s="62">
        <v>3.6</v>
      </c>
      <c r="C25" s="58" t="s">
        <v>12</v>
      </c>
      <c r="D25" s="50"/>
      <c r="E25" s="50">
        <f>+อ.เมือง!AT25</f>
        <v>1321865</v>
      </c>
      <c r="F25" s="50">
        <f>+อรัญ!AL25</f>
        <v>1170073.6000000001</v>
      </c>
      <c r="G25" s="50">
        <f>+ตะพระยา!AH25</f>
        <v>1459643</v>
      </c>
      <c r="H25" s="50">
        <f>+คลองหาด!X25</f>
        <v>456520.4</v>
      </c>
      <c r="I25" s="50">
        <f>+วังน้ำเย็น!P25</f>
        <v>623941.17000000004</v>
      </c>
      <c r="J25" s="50">
        <f>+วังสมบูรณ์!R25</f>
        <v>716389</v>
      </c>
      <c r="K25" s="50">
        <f>+โคกสูง.!V25</f>
        <v>501975</v>
      </c>
      <c r="L25" s="50">
        <f>+เขาฉกรรจ์!R25</f>
        <v>943909</v>
      </c>
      <c r="M25" s="50">
        <f>+วัฒนา!AR25</f>
        <v>1419372</v>
      </c>
      <c r="N25" s="50">
        <f t="shared" si="0"/>
        <v>8613688.1699999999</v>
      </c>
      <c r="O25" s="159">
        <f>+N25*100/N30</f>
        <v>4.8773145399413815</v>
      </c>
    </row>
    <row r="26" spans="1:15" s="104" customFormat="1" x14ac:dyDescent="0.2">
      <c r="A26" s="61"/>
      <c r="B26" s="62">
        <v>3.7</v>
      </c>
      <c r="C26" s="58" t="s">
        <v>13</v>
      </c>
      <c r="D26" s="50"/>
      <c r="E26" s="50">
        <f>+อ.เมือง!AT26</f>
        <v>828018</v>
      </c>
      <c r="F26" s="50">
        <f>+อรัญ!AL26</f>
        <v>733654.39</v>
      </c>
      <c r="G26" s="50">
        <f>+ตะพระยา!AH26</f>
        <v>552544.5</v>
      </c>
      <c r="H26" s="50">
        <f>+คลองหาด!X26</f>
        <v>309518</v>
      </c>
      <c r="I26" s="50">
        <f>+วังน้ำเย็น!P26</f>
        <v>288957.12</v>
      </c>
      <c r="J26" s="50">
        <f>+วังสมบูรณ์!R26</f>
        <v>278084</v>
      </c>
      <c r="K26" s="50">
        <f>+โคกสูง.!V26</f>
        <v>268300</v>
      </c>
      <c r="L26" s="50">
        <f>+เขาฉกรรจ์!R26</f>
        <v>371800</v>
      </c>
      <c r="M26" s="50">
        <f>+วัฒนา!AR26</f>
        <v>781376.06</v>
      </c>
      <c r="N26" s="50">
        <f t="shared" si="0"/>
        <v>4412252.07</v>
      </c>
      <c r="O26" s="159">
        <f>+N26*100/N30</f>
        <v>2.498342260618132</v>
      </c>
    </row>
    <row r="27" spans="1:15" s="104" customFormat="1" x14ac:dyDescent="0.2">
      <c r="A27" s="61"/>
      <c r="B27" s="62">
        <v>3.8</v>
      </c>
      <c r="C27" s="58" t="s">
        <v>15</v>
      </c>
      <c r="D27" s="50"/>
      <c r="E27" s="50">
        <f>+อ.เมือง!AT27</f>
        <v>1373330</v>
      </c>
      <c r="F27" s="50">
        <f>+อรัญ!AL27</f>
        <v>1758200</v>
      </c>
      <c r="G27" s="50">
        <f>+ตะพระยา!AH27</f>
        <v>1954650</v>
      </c>
      <c r="H27" s="50">
        <f>+คลองหาด!X27</f>
        <v>1058750</v>
      </c>
      <c r="I27" s="50">
        <f>+วังน้ำเย็น!P27</f>
        <v>331900</v>
      </c>
      <c r="J27" s="50">
        <f>+วังสมบูรณ์!R27</f>
        <v>774351.92999999993</v>
      </c>
      <c r="K27" s="50">
        <f>+โคกสูง.!V27</f>
        <v>487550</v>
      </c>
      <c r="L27" s="50">
        <f>+เขาฉกรรจ์!R27</f>
        <v>789900</v>
      </c>
      <c r="M27" s="50">
        <f>+วัฒนา!AR27</f>
        <v>2130990</v>
      </c>
      <c r="N27" s="50">
        <f t="shared" si="0"/>
        <v>10659621.93</v>
      </c>
      <c r="O27" s="159">
        <f>+N27*100/N30</f>
        <v>6.0357802608341942</v>
      </c>
    </row>
    <row r="28" spans="1:15" s="104" customFormat="1" x14ac:dyDescent="0.2">
      <c r="A28" s="61"/>
      <c r="B28" s="62">
        <v>3.9</v>
      </c>
      <c r="C28" s="58" t="s">
        <v>16</v>
      </c>
      <c r="D28" s="50"/>
      <c r="E28" s="50">
        <f>+อ.เมือง!AT28</f>
        <v>0</v>
      </c>
      <c r="F28" s="50">
        <f>+อรัญ!AL28</f>
        <v>1246837</v>
      </c>
      <c r="G28" s="50">
        <f>+ตะพระยา!AH28</f>
        <v>0</v>
      </c>
      <c r="H28" s="50">
        <f>+คลองหาด!X28</f>
        <v>51840</v>
      </c>
      <c r="I28" s="50">
        <f>+วังน้ำเย็น!P28</f>
        <v>92000</v>
      </c>
      <c r="J28" s="50">
        <f>+วังสมบูรณ์!R28</f>
        <v>590200</v>
      </c>
      <c r="K28" s="50">
        <f>+โคกสูง.!V28</f>
        <v>1152800</v>
      </c>
      <c r="L28" s="50">
        <f>+เขาฉกรรจ์!R28</f>
        <v>550000</v>
      </c>
      <c r="M28" s="50">
        <f>+วัฒนา!AR28</f>
        <v>180000</v>
      </c>
      <c r="N28" s="50">
        <f t="shared" si="0"/>
        <v>3863677</v>
      </c>
      <c r="O28" s="159">
        <f>+N28*100/N30</f>
        <v>2.1877234975104862</v>
      </c>
    </row>
    <row r="29" spans="1:15" s="104" customFormat="1" x14ac:dyDescent="0.2">
      <c r="A29" s="61"/>
      <c r="B29" s="71">
        <v>3.1</v>
      </c>
      <c r="C29" s="58" t="s">
        <v>18</v>
      </c>
      <c r="D29" s="50"/>
      <c r="E29" s="50">
        <f>+อ.เมือง!AT29</f>
        <v>0</v>
      </c>
      <c r="F29" s="50">
        <f>+อรัญ!AL29</f>
        <v>0</v>
      </c>
      <c r="G29" s="50">
        <f>+ตะพระยา!AH29</f>
        <v>0</v>
      </c>
      <c r="H29" s="50">
        <f>+คลองหาด!X29</f>
        <v>69100</v>
      </c>
      <c r="I29" s="50">
        <f>+วังน้ำเย็น!P29</f>
        <v>0</v>
      </c>
      <c r="J29" s="50">
        <f>+วังสมบูรณ์!R29</f>
        <v>0</v>
      </c>
      <c r="K29" s="50">
        <f>+โคกสูง.!V29</f>
        <v>0</v>
      </c>
      <c r="L29" s="50">
        <f>+เขาฉกรรจ์!R29</f>
        <v>0</v>
      </c>
      <c r="M29" s="50">
        <f>+วัฒนา!AR29</f>
        <v>0</v>
      </c>
      <c r="N29" s="50">
        <f t="shared" si="0"/>
        <v>69100</v>
      </c>
      <c r="O29" s="159">
        <f>+N29*100/N30</f>
        <v>3.9126379787434246E-2</v>
      </c>
    </row>
    <row r="30" spans="1:15" s="104" customFormat="1" x14ac:dyDescent="0.2">
      <c r="A30" s="64"/>
      <c r="B30" s="65"/>
      <c r="C30" s="72" t="s">
        <v>19</v>
      </c>
      <c r="D30" s="67">
        <f>+D19</f>
        <v>0</v>
      </c>
      <c r="E30" s="67">
        <f>+อ.เมือง!AT30</f>
        <v>28269745.577777773</v>
      </c>
      <c r="F30" s="67">
        <f>+อรัญ!AL30</f>
        <v>26452449.400000002</v>
      </c>
      <c r="G30" s="67">
        <f>+ตะพระยา!AH30</f>
        <v>24637610.740000002</v>
      </c>
      <c r="H30" s="67">
        <f>+คลองหาด!X30</f>
        <v>12241458.989999998</v>
      </c>
      <c r="I30" s="67">
        <f>+วังน้ำเย็น!P30</f>
        <v>12630470.07</v>
      </c>
      <c r="J30" s="67">
        <f>+วังสมบูรณ์!R30</f>
        <v>14915419.93</v>
      </c>
      <c r="K30" s="67">
        <f>+โคกสูง.!V30</f>
        <v>12911401.140000001</v>
      </c>
      <c r="L30" s="67">
        <f>+เขาฉกรรจ์!R30</f>
        <v>17423861.66</v>
      </c>
      <c r="M30" s="67">
        <f>+วัฒนา!AR30</f>
        <v>27124772.77</v>
      </c>
      <c r="N30" s="67">
        <f t="shared" si="0"/>
        <v>176607190.27777782</v>
      </c>
      <c r="O30" s="186">
        <v>100</v>
      </c>
    </row>
    <row r="31" spans="1:15" s="104" customFormat="1" x14ac:dyDescent="0.2">
      <c r="A31" s="64">
        <v>4</v>
      </c>
      <c r="B31" s="65"/>
      <c r="C31" s="72" t="s">
        <v>37</v>
      </c>
      <c r="D31" s="67">
        <f>+D4+D5-D30</f>
        <v>0</v>
      </c>
      <c r="E31" s="67">
        <f>+อ.เมือง!AT31</f>
        <v>4197243.5355555564</v>
      </c>
      <c r="F31" s="67">
        <f>+อรัญ!AL31</f>
        <v>3855356.8900000006</v>
      </c>
      <c r="G31" s="67">
        <f>+ตะพระยา!AH31</f>
        <v>2116824.4300000016</v>
      </c>
      <c r="H31" s="67">
        <f>+คลองหาด!X31</f>
        <v>2745100.26</v>
      </c>
      <c r="I31" s="67">
        <f>+วังน้ำเย็น!P31</f>
        <v>2491066.5299999998</v>
      </c>
      <c r="J31" s="67">
        <f>+วังสมบูรณ์!R31</f>
        <v>2752918.3299999996</v>
      </c>
      <c r="K31" s="67">
        <f>+โคกสูง.!V31</f>
        <v>797953.62999999989</v>
      </c>
      <c r="L31" s="67">
        <f>+เขาฉกรรจ์!R31</f>
        <v>1938376.2900000003</v>
      </c>
      <c r="M31" s="67">
        <f>+วัฒนา!AR31</f>
        <v>10785139.209999999</v>
      </c>
      <c r="N31" s="67">
        <f t="shared" si="0"/>
        <v>31679979.105555557</v>
      </c>
      <c r="O31" s="161"/>
    </row>
    <row r="32" spans="1:15" s="104" customFormat="1" ht="34.5" x14ac:dyDescent="0.2">
      <c r="A32" s="144">
        <v>5</v>
      </c>
      <c r="B32" s="62"/>
      <c r="C32" s="63" t="s">
        <v>82</v>
      </c>
      <c r="D32" s="50">
        <f>+D33+D34</f>
        <v>0</v>
      </c>
      <c r="E32" s="50">
        <f>+อ.เมือง!AT32</f>
        <v>1377257.0666666667</v>
      </c>
      <c r="F32" s="50">
        <f>+อรัญ!AL32</f>
        <v>895343.56499999983</v>
      </c>
      <c r="G32" s="50">
        <f>+ตะพระยา!AH32</f>
        <v>1006296.335</v>
      </c>
      <c r="H32" s="50">
        <f>+คลองหาด!X32</f>
        <v>539059.33333333337</v>
      </c>
      <c r="I32" s="50">
        <f>+วังน้ำเย็น!P32</f>
        <v>777040.85333333327</v>
      </c>
      <c r="J32" s="50">
        <f>+วังสมบูรณ์!R32</f>
        <v>922655.33333333337</v>
      </c>
      <c r="K32" s="50">
        <f>+โคกสูง.!V32</f>
        <v>638714</v>
      </c>
      <c r="L32" s="50">
        <f>+เขาฉกรรจ์!R32</f>
        <v>1079007.9666666666</v>
      </c>
      <c r="M32" s="50">
        <f>+วัฒนา!AR32</f>
        <v>1336029.51</v>
      </c>
      <c r="N32" s="50">
        <f t="shared" si="0"/>
        <v>8571403.9633333329</v>
      </c>
      <c r="O32" s="163"/>
    </row>
    <row r="33" spans="1:15" s="104" customFormat="1" x14ac:dyDescent="0.2">
      <c r="A33" s="61"/>
      <c r="B33" s="62"/>
      <c r="C33" s="56" t="s">
        <v>41</v>
      </c>
      <c r="D33" s="50">
        <f>+D22/12*2</f>
        <v>0</v>
      </c>
      <c r="E33" s="50">
        <f>+อ.เมือง!AT33</f>
        <v>1239254.0666666667</v>
      </c>
      <c r="F33" s="50">
        <f>+อรัญ!AL33</f>
        <v>773067.83333333337</v>
      </c>
      <c r="G33" s="50">
        <f>+ตะพระยา!AH33</f>
        <v>914205.58499999985</v>
      </c>
      <c r="H33" s="50">
        <f>+คลองหาด!X33</f>
        <v>487473</v>
      </c>
      <c r="I33" s="50">
        <f>+วังน้ำเย็น!P33</f>
        <v>728881.33333333337</v>
      </c>
      <c r="J33" s="50">
        <f>+วังสมบูรณ์!R33</f>
        <v>876308</v>
      </c>
      <c r="K33" s="50">
        <f>+โคกสูง.!V33</f>
        <v>593997.33333333337</v>
      </c>
      <c r="L33" s="50">
        <f>+เขาฉกรรจ์!R33</f>
        <v>1017041.3</v>
      </c>
      <c r="M33" s="50">
        <f>+วัฒนา!AR33</f>
        <v>1205800.1666666667</v>
      </c>
      <c r="N33" s="50">
        <f t="shared" si="0"/>
        <v>7836028.6183333332</v>
      </c>
      <c r="O33" s="163"/>
    </row>
    <row r="34" spans="1:15" s="104" customFormat="1" x14ac:dyDescent="0.2">
      <c r="A34" s="61"/>
      <c r="B34" s="62"/>
      <c r="C34" s="56" t="s">
        <v>42</v>
      </c>
      <c r="D34" s="50">
        <f>+D26/12*2</f>
        <v>0</v>
      </c>
      <c r="E34" s="50">
        <f>+อ.เมือง!AT34</f>
        <v>138003</v>
      </c>
      <c r="F34" s="50">
        <f>+อรัญ!AL34</f>
        <v>122275.73166666669</v>
      </c>
      <c r="G34" s="50">
        <f>+ตะพระยา!AH34</f>
        <v>92090.75</v>
      </c>
      <c r="H34" s="50">
        <f>+คลองหาด!X34</f>
        <v>51586.333333333336</v>
      </c>
      <c r="I34" s="50">
        <f>+วังน้ำเย็น!P34</f>
        <v>48159.519999999997</v>
      </c>
      <c r="J34" s="50">
        <f>+วังสมบูรณ์!R34</f>
        <v>46347.333333333336</v>
      </c>
      <c r="K34" s="50">
        <f>+โคกสูง.!V34</f>
        <v>44716.666666666672</v>
      </c>
      <c r="L34" s="50">
        <f>+เขาฉกรรจ์!R34</f>
        <v>61966.666666666672</v>
      </c>
      <c r="M34" s="50">
        <f>+วัฒนา!AR34</f>
        <v>130229.34333333332</v>
      </c>
      <c r="N34" s="50">
        <f t="shared" si="0"/>
        <v>735375.34499999997</v>
      </c>
      <c r="O34" s="163"/>
    </row>
    <row r="35" spans="1:15" s="104" customFormat="1" x14ac:dyDescent="0.2">
      <c r="A35" s="74">
        <v>6</v>
      </c>
      <c r="B35" s="75"/>
      <c r="C35" s="76" t="s">
        <v>25</v>
      </c>
      <c r="D35" s="77">
        <f>+D31-D32</f>
        <v>0</v>
      </c>
      <c r="E35" s="77">
        <f>+อ.เมือง!AT35</f>
        <v>2819986.4688888891</v>
      </c>
      <c r="F35" s="77">
        <f>+อรัญ!AL35</f>
        <v>2960013.3250000011</v>
      </c>
      <c r="G35" s="77">
        <f>+ตะพระยา!AH35</f>
        <v>1110528.0950000014</v>
      </c>
      <c r="H35" s="77">
        <f>+คลองหาด!X35</f>
        <v>2206040.9266666663</v>
      </c>
      <c r="I35" s="77">
        <f>+วังน้ำเย็น!P35</f>
        <v>1714025.6766666663</v>
      </c>
      <c r="J35" s="77">
        <f>+วังสมบูรณ์!R35</f>
        <v>1830262.9966666664</v>
      </c>
      <c r="K35" s="77">
        <f>+โคกสูง.!V35</f>
        <v>159239.62999999992</v>
      </c>
      <c r="L35" s="77">
        <f>+เขาฉกรรจ์!R35</f>
        <v>859368.3233333336</v>
      </c>
      <c r="M35" s="77">
        <f>+วัฒนา!AR35</f>
        <v>9449109.6999999993</v>
      </c>
      <c r="N35" s="77">
        <f t="shared" si="0"/>
        <v>23108575.142222226</v>
      </c>
      <c r="O35" s="164"/>
    </row>
    <row r="38" spans="1:15" x14ac:dyDescent="0.4">
      <c r="F38" s="151">
        <f t="shared" ref="F38:N38" si="1">+F16-F21</f>
        <v>-4291189</v>
      </c>
      <c r="G38" s="151">
        <f t="shared" si="1"/>
        <v>-329030</v>
      </c>
      <c r="H38" s="151">
        <f t="shared" si="1"/>
        <v>-2155179</v>
      </c>
      <c r="I38" s="151">
        <f t="shared" si="1"/>
        <v>-2010805</v>
      </c>
      <c r="J38" s="151">
        <f t="shared" si="1"/>
        <v>-1598648</v>
      </c>
      <c r="K38" s="151">
        <f t="shared" si="1"/>
        <v>-1029796</v>
      </c>
      <c r="L38" s="151">
        <f t="shared" si="1"/>
        <v>-2224591</v>
      </c>
      <c r="M38" s="152">
        <f t="shared" si="1"/>
        <v>-247913</v>
      </c>
      <c r="N38" s="151">
        <f t="shared" si="1"/>
        <v>-13888151</v>
      </c>
      <c r="O38" s="165">
        <f t="shared" ref="O38" si="2">+O16-O21</f>
        <v>-9.3598990518875382</v>
      </c>
    </row>
  </sheetData>
  <mergeCells count="15">
    <mergeCell ref="O2:O3"/>
    <mergeCell ref="K2:K3"/>
    <mergeCell ref="L2:L3"/>
    <mergeCell ref="M2:M3"/>
    <mergeCell ref="A1:N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rintOptions horizontalCentered="1"/>
  <pageMargins left="0.15748031496062992" right="0.15748031496062992" top="0.19685039370078741" bottom="0.19685039370078741" header="0.11811023622047245" footer="0.11811023622047245"/>
  <pageSetup paperSize="5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41"/>
  <sheetViews>
    <sheetView view="pageBreakPreview" zoomScale="120" zoomScaleNormal="110" zoomScaleSheetLayoutView="120" workbookViewId="0">
      <pane xSplit="3" ySplit="3" topLeftCell="AE22" activePane="bottomRight" state="frozen"/>
      <selection activeCell="G16" sqref="G16"/>
      <selection pane="topRight" activeCell="G16" sqref="G16"/>
      <selection pane="bottomLeft" activeCell="G16" sqref="G16"/>
      <selection pane="bottomRight" activeCell="AM30" sqref="AM30"/>
    </sheetView>
  </sheetViews>
  <sheetFormatPr defaultRowHeight="24" x14ac:dyDescent="0.55000000000000004"/>
  <cols>
    <col min="1" max="1" width="2" style="1" customWidth="1"/>
    <col min="2" max="2" width="3.125" style="1" customWidth="1"/>
    <col min="3" max="3" width="15.5" style="1" customWidth="1"/>
    <col min="4" max="4" width="6.5" style="1" bestFit="1" customWidth="1"/>
    <col min="5" max="5" width="6.125" style="1" customWidth="1"/>
    <col min="6" max="6" width="6.5" style="1" bestFit="1" customWidth="1"/>
    <col min="7" max="7" width="6.125" style="1" customWidth="1"/>
    <col min="8" max="8" width="6.5" style="1" customWidth="1"/>
    <col min="9" max="9" width="6.125" style="1" customWidth="1"/>
    <col min="10" max="10" width="6.5" style="1" bestFit="1" customWidth="1"/>
    <col min="11" max="11" width="6.125" style="1" customWidth="1"/>
    <col min="12" max="12" width="6.5" style="1" bestFit="1" customWidth="1"/>
    <col min="13" max="13" width="6.125" style="1" customWidth="1"/>
    <col min="14" max="14" width="6.5" style="1" bestFit="1" customWidth="1"/>
    <col min="15" max="15" width="6.125" style="1" customWidth="1"/>
    <col min="16" max="16" width="6.375" style="1" bestFit="1" customWidth="1"/>
    <col min="17" max="17" width="6.125" style="1" customWidth="1"/>
    <col min="18" max="18" width="6.5" style="1" bestFit="1" customWidth="1"/>
    <col min="19" max="19" width="6.125" style="1" customWidth="1"/>
    <col min="20" max="20" width="6.5" style="1" bestFit="1" customWidth="1"/>
    <col min="21" max="21" width="6.125" style="1" customWidth="1"/>
    <col min="22" max="22" width="6.5" style="1" bestFit="1" customWidth="1"/>
    <col min="23" max="23" width="6.125" style="1" customWidth="1"/>
    <col min="24" max="24" width="7" style="1" bestFit="1" customWidth="1"/>
    <col min="25" max="25" width="6.125" style="1" customWidth="1"/>
    <col min="26" max="26" width="6.5" style="1" bestFit="1" customWidth="1"/>
    <col min="27" max="27" width="6.125" style="1" customWidth="1"/>
    <col min="28" max="28" width="6.5" style="1" bestFit="1" customWidth="1"/>
    <col min="29" max="29" width="6.125" style="1" customWidth="1"/>
    <col min="30" max="30" width="7.125" style="1" bestFit="1" customWidth="1"/>
    <col min="31" max="31" width="6.125" style="1" customWidth="1"/>
    <col min="32" max="32" width="6.5" style="1" bestFit="1" customWidth="1"/>
    <col min="33" max="33" width="6.125" style="1" customWidth="1"/>
    <col min="34" max="34" width="6.375" style="1" customWidth="1"/>
    <col min="35" max="35" width="6.125" style="1" customWidth="1"/>
    <col min="36" max="36" width="6.5" style="1" bestFit="1" customWidth="1"/>
    <col min="37" max="37" width="6.125" style="1" customWidth="1"/>
    <col min="38" max="38" width="6.5" style="1" bestFit="1" customWidth="1"/>
    <col min="39" max="39" width="6.125" style="1" customWidth="1"/>
    <col min="40" max="40" width="6.5" style="1" customWidth="1"/>
    <col min="41" max="41" width="6.125" style="1" customWidth="1"/>
    <col min="42" max="42" width="6.5" style="1" bestFit="1" customWidth="1"/>
    <col min="43" max="43" width="6.125" style="1" customWidth="1"/>
    <col min="44" max="44" width="7.125" style="1" bestFit="1" customWidth="1"/>
    <col min="45" max="45" width="6.875" style="1" customWidth="1"/>
    <col min="46" max="46" width="7" style="1" customWidth="1"/>
    <col min="47" max="47" width="6.125" style="1" bestFit="1" customWidth="1"/>
    <col min="48" max="16384" width="9" style="1"/>
  </cols>
  <sheetData>
    <row r="1" spans="1:47" ht="16.5" customHeight="1" x14ac:dyDescent="0.55000000000000004">
      <c r="A1" s="207" t="s">
        <v>142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</row>
    <row r="2" spans="1:47" s="2" customFormat="1" ht="18" customHeight="1" x14ac:dyDescent="0.4">
      <c r="A2" s="197" t="s">
        <v>0</v>
      </c>
      <c r="B2" s="198"/>
      <c r="C2" s="201" t="s">
        <v>81</v>
      </c>
      <c r="D2" s="195" t="s">
        <v>103</v>
      </c>
      <c r="E2" s="203" t="s">
        <v>165</v>
      </c>
      <c r="F2" s="194" t="s">
        <v>104</v>
      </c>
      <c r="G2" s="203" t="s">
        <v>165</v>
      </c>
      <c r="H2" s="194" t="s">
        <v>148</v>
      </c>
      <c r="I2" s="203" t="s">
        <v>165</v>
      </c>
      <c r="J2" s="195" t="s">
        <v>149</v>
      </c>
      <c r="K2" s="203" t="s">
        <v>165</v>
      </c>
      <c r="L2" s="194" t="s">
        <v>150</v>
      </c>
      <c r="M2" s="203" t="s">
        <v>165</v>
      </c>
      <c r="N2" s="195" t="s">
        <v>152</v>
      </c>
      <c r="O2" s="203" t="s">
        <v>165</v>
      </c>
      <c r="P2" s="195" t="s">
        <v>154</v>
      </c>
      <c r="Q2" s="203" t="s">
        <v>165</v>
      </c>
      <c r="R2" s="195" t="s">
        <v>155</v>
      </c>
      <c r="S2" s="203" t="s">
        <v>165</v>
      </c>
      <c r="T2" s="194" t="s">
        <v>158</v>
      </c>
      <c r="U2" s="203" t="s">
        <v>165</v>
      </c>
      <c r="V2" s="194" t="s">
        <v>145</v>
      </c>
      <c r="W2" s="203" t="s">
        <v>165</v>
      </c>
      <c r="X2" s="194" t="s">
        <v>151</v>
      </c>
      <c r="Y2" s="203" t="s">
        <v>165</v>
      </c>
      <c r="Z2" s="195" t="s">
        <v>153</v>
      </c>
      <c r="AA2" s="203" t="s">
        <v>165</v>
      </c>
      <c r="AB2" s="195" t="s">
        <v>156</v>
      </c>
      <c r="AC2" s="203" t="s">
        <v>165</v>
      </c>
      <c r="AD2" s="194" t="s">
        <v>157</v>
      </c>
      <c r="AE2" s="203" t="s">
        <v>165</v>
      </c>
      <c r="AF2" s="194" t="s">
        <v>147</v>
      </c>
      <c r="AG2" s="203" t="s">
        <v>165</v>
      </c>
      <c r="AH2" s="195" t="s">
        <v>161</v>
      </c>
      <c r="AI2" s="203" t="s">
        <v>165</v>
      </c>
      <c r="AJ2" s="195" t="s">
        <v>162</v>
      </c>
      <c r="AK2" s="203" t="s">
        <v>165</v>
      </c>
      <c r="AL2" s="194" t="s">
        <v>169</v>
      </c>
      <c r="AM2" s="203" t="s">
        <v>165</v>
      </c>
      <c r="AN2" s="195" t="s">
        <v>163</v>
      </c>
      <c r="AO2" s="203" t="s">
        <v>165</v>
      </c>
      <c r="AP2" s="195" t="s">
        <v>146</v>
      </c>
      <c r="AQ2" s="203" t="s">
        <v>165</v>
      </c>
      <c r="AR2" s="194" t="s">
        <v>166</v>
      </c>
      <c r="AS2" s="194" t="s">
        <v>159</v>
      </c>
      <c r="AT2" s="194" t="s">
        <v>167</v>
      </c>
      <c r="AU2" s="194" t="s">
        <v>168</v>
      </c>
    </row>
    <row r="3" spans="1:47" s="2" customFormat="1" ht="28.5" customHeight="1" x14ac:dyDescent="0.4">
      <c r="A3" s="199"/>
      <c r="B3" s="200"/>
      <c r="C3" s="202"/>
      <c r="D3" s="195"/>
      <c r="E3" s="206"/>
      <c r="F3" s="195"/>
      <c r="G3" s="206"/>
      <c r="H3" s="195"/>
      <c r="I3" s="206"/>
      <c r="J3" s="195"/>
      <c r="K3" s="206"/>
      <c r="L3" s="195"/>
      <c r="M3" s="206"/>
      <c r="N3" s="195"/>
      <c r="O3" s="206"/>
      <c r="P3" s="195"/>
      <c r="Q3" s="206"/>
      <c r="R3" s="195"/>
      <c r="S3" s="206"/>
      <c r="T3" s="195"/>
      <c r="U3" s="206"/>
      <c r="V3" s="195"/>
      <c r="W3" s="206"/>
      <c r="X3" s="195"/>
      <c r="Y3" s="206"/>
      <c r="Z3" s="195"/>
      <c r="AA3" s="206"/>
      <c r="AB3" s="195"/>
      <c r="AC3" s="206"/>
      <c r="AD3" s="195"/>
      <c r="AE3" s="206"/>
      <c r="AF3" s="195"/>
      <c r="AG3" s="206"/>
      <c r="AH3" s="195"/>
      <c r="AI3" s="206"/>
      <c r="AJ3" s="195"/>
      <c r="AK3" s="206"/>
      <c r="AL3" s="195"/>
      <c r="AM3" s="206"/>
      <c r="AN3" s="195"/>
      <c r="AO3" s="206"/>
      <c r="AP3" s="195"/>
      <c r="AQ3" s="206"/>
      <c r="AR3" s="195"/>
      <c r="AS3" s="195"/>
      <c r="AT3" s="195"/>
      <c r="AU3" s="195"/>
    </row>
    <row r="4" spans="1:47" s="181" customFormat="1" ht="16.5" customHeight="1" x14ac:dyDescent="0.2">
      <c r="A4" s="177">
        <v>1</v>
      </c>
      <c r="B4" s="178"/>
      <c r="C4" s="179" t="s">
        <v>22</v>
      </c>
      <c r="D4" s="180">
        <v>689188.96</v>
      </c>
      <c r="E4" s="171"/>
      <c r="F4" s="180">
        <v>418092.52</v>
      </c>
      <c r="G4" s="171"/>
      <c r="H4" s="180">
        <v>235871.32</v>
      </c>
      <c r="I4" s="171"/>
      <c r="J4" s="180">
        <v>388454.01</v>
      </c>
      <c r="K4" s="171"/>
      <c r="L4" s="180">
        <v>384911.49</v>
      </c>
      <c r="M4" s="171"/>
      <c r="N4" s="180">
        <v>944882.94</v>
      </c>
      <c r="O4" s="171"/>
      <c r="P4" s="180">
        <v>72260</v>
      </c>
      <c r="Q4" s="171"/>
      <c r="R4" s="180">
        <v>412674.34</v>
      </c>
      <c r="S4" s="171"/>
      <c r="T4" s="180">
        <v>289819</v>
      </c>
      <c r="U4" s="171"/>
      <c r="V4" s="180">
        <v>571006</v>
      </c>
      <c r="W4" s="171"/>
      <c r="X4" s="180">
        <v>140401.34</v>
      </c>
      <c r="Y4" s="171"/>
      <c r="Z4" s="180">
        <v>1301031.95</v>
      </c>
      <c r="AA4" s="171"/>
      <c r="AB4" s="180">
        <v>863737.83</v>
      </c>
      <c r="AC4" s="171"/>
      <c r="AD4" s="180">
        <v>314471.31</v>
      </c>
      <c r="AE4" s="171"/>
      <c r="AF4" s="180">
        <v>359127.05</v>
      </c>
      <c r="AG4" s="171"/>
      <c r="AH4" s="180">
        <v>378150.02</v>
      </c>
      <c r="AI4" s="171"/>
      <c r="AJ4" s="180">
        <v>231220.95</v>
      </c>
      <c r="AK4" s="171"/>
      <c r="AL4" s="180">
        <v>779957.22</v>
      </c>
      <c r="AM4" s="171"/>
      <c r="AN4" s="180">
        <v>406570.55</v>
      </c>
      <c r="AO4" s="171"/>
      <c r="AP4" s="174">
        <v>336006.17</v>
      </c>
      <c r="AQ4" s="171"/>
      <c r="AR4" s="174">
        <f>+D4+F4+H4+J4+L4+N4+P4+R4+T4+V4+X4+Z4+AB4+AD4+AF4+AH4+AJ4+AL4+AN4+AP4</f>
        <v>9517834.9700000007</v>
      </c>
      <c r="AS4" s="172">
        <f>+AR4*100/AR18</f>
        <v>25.106454942499717</v>
      </c>
      <c r="AT4" s="172">
        <f>+E4+G4+I4+K4+M4+O4+Q4+S4+U4+W4+Y4+AA4+AC4+AE4+AG4+AI4++AK4+AM4+AO4+AQ4</f>
        <v>0</v>
      </c>
      <c r="AU4" s="172"/>
    </row>
    <row r="5" spans="1:47" s="181" customFormat="1" ht="16.5" customHeight="1" x14ac:dyDescent="0.2">
      <c r="A5" s="177">
        <v>2</v>
      </c>
      <c r="B5" s="178"/>
      <c r="C5" s="182" t="s">
        <v>38</v>
      </c>
      <c r="D5" s="174">
        <f>+D6+D7+D14+D15+D16+D17</f>
        <v>1845249.79</v>
      </c>
      <c r="E5" s="55"/>
      <c r="F5" s="174">
        <f t="shared" ref="F5:AP5" si="0">+F6+F7+F14+F15+F16+F17</f>
        <v>1459385.3499999999</v>
      </c>
      <c r="G5" s="55"/>
      <c r="H5" s="174">
        <f t="shared" si="0"/>
        <v>1106401.2</v>
      </c>
      <c r="I5" s="55"/>
      <c r="J5" s="174">
        <f t="shared" si="0"/>
        <v>2779788.83</v>
      </c>
      <c r="K5" s="55"/>
      <c r="L5" s="174">
        <f t="shared" si="0"/>
        <v>1506761.5999999999</v>
      </c>
      <c r="M5" s="55"/>
      <c r="N5" s="174">
        <f t="shared" si="0"/>
        <v>940431.12</v>
      </c>
      <c r="O5" s="55"/>
      <c r="P5" s="174">
        <f t="shared" si="0"/>
        <v>1668517.84</v>
      </c>
      <c r="Q5" s="55"/>
      <c r="R5" s="174">
        <f t="shared" si="0"/>
        <v>1282958.5399999998</v>
      </c>
      <c r="S5" s="55"/>
      <c r="T5" s="174">
        <f t="shared" si="0"/>
        <v>863328.16999999993</v>
      </c>
      <c r="U5" s="55"/>
      <c r="V5" s="174">
        <f>+V6+V7+V14+V15+V16+V17</f>
        <v>1124357.0799999998</v>
      </c>
      <c r="W5" s="55"/>
      <c r="X5" s="174">
        <f>+X6+X7+X14+X15+X16+X17</f>
        <v>2026255.4400000002</v>
      </c>
      <c r="Y5" s="55"/>
      <c r="Z5" s="174">
        <f t="shared" ref="Z5:AB5" si="1">+Z6+Z7+Z14+Z15+Z16+Z17</f>
        <v>2599365.36</v>
      </c>
      <c r="AA5" s="55"/>
      <c r="AB5" s="174">
        <f t="shared" si="1"/>
        <v>1655346.7499999998</v>
      </c>
      <c r="AC5" s="55"/>
      <c r="AD5" s="174">
        <f>+AD6+AD7+AD14+AD15+AD16+AD17</f>
        <v>1454287.01</v>
      </c>
      <c r="AE5" s="55"/>
      <c r="AF5" s="174">
        <f>+AF6+AF7+AF14+AF15+AF16+AF17</f>
        <v>1385299.13</v>
      </c>
      <c r="AG5" s="55"/>
      <c r="AH5" s="174">
        <f t="shared" si="0"/>
        <v>566003.04</v>
      </c>
      <c r="AI5" s="55"/>
      <c r="AJ5" s="174">
        <f t="shared" si="0"/>
        <v>1186982.21</v>
      </c>
      <c r="AK5" s="55"/>
      <c r="AL5" s="174">
        <f>+AL6+AL7+AL14+AL15+AL16+AL17</f>
        <v>812852.3899999999</v>
      </c>
      <c r="AM5" s="55"/>
      <c r="AN5" s="174">
        <f t="shared" si="0"/>
        <v>1345800</v>
      </c>
      <c r="AO5" s="55"/>
      <c r="AP5" s="174">
        <f t="shared" si="0"/>
        <v>782706.16</v>
      </c>
      <c r="AQ5" s="55"/>
      <c r="AR5" s="174">
        <f>+D5+F5+H5+J5+L5+N5+P5+R5+T5+V5+X5+Z5+AB5+AD5+AF5+AH5+AJ5+AL5+AN5+AP5</f>
        <v>28392077.009999998</v>
      </c>
      <c r="AS5" s="172">
        <f>+AR5*100/AR18</f>
        <v>74.89354505750029</v>
      </c>
      <c r="AT5" s="172">
        <f t="shared" ref="AT5:AT32" si="2">+E5+G5+I5+K5+M5+O5+Q5+S5+U5+W5+Y5+AA5+AC5+AE5+AG5+AI5++AK5+AM5+AO5+AQ5</f>
        <v>0</v>
      </c>
      <c r="AU5" s="172"/>
    </row>
    <row r="6" spans="1:47" s="7" customFormat="1" ht="16.5" customHeight="1" x14ac:dyDescent="0.2">
      <c r="A6" s="3"/>
      <c r="B6" s="4">
        <v>2.1</v>
      </c>
      <c r="C6" s="8" t="s">
        <v>23</v>
      </c>
      <c r="D6" s="6">
        <v>4305</v>
      </c>
      <c r="E6" s="50"/>
      <c r="F6" s="6">
        <v>3613.82</v>
      </c>
      <c r="G6" s="50"/>
      <c r="H6" s="6">
        <v>7771</v>
      </c>
      <c r="I6" s="50"/>
      <c r="J6" s="6">
        <v>21540.17</v>
      </c>
      <c r="K6" s="50"/>
      <c r="L6" s="6">
        <v>1647</v>
      </c>
      <c r="M6" s="50"/>
      <c r="N6" s="6">
        <v>1390</v>
      </c>
      <c r="O6" s="50"/>
      <c r="P6" s="6">
        <v>4500</v>
      </c>
      <c r="Q6" s="50"/>
      <c r="R6" s="6">
        <v>19085</v>
      </c>
      <c r="S6" s="50"/>
      <c r="T6" s="6">
        <v>343.33</v>
      </c>
      <c r="U6" s="50"/>
      <c r="V6" s="108">
        <v>3685.33</v>
      </c>
      <c r="W6" s="50"/>
      <c r="X6" s="6">
        <v>30000</v>
      </c>
      <c r="Y6" s="50"/>
      <c r="Z6" s="6">
        <v>4921.67</v>
      </c>
      <c r="AA6" s="50"/>
      <c r="AB6" s="6">
        <v>5612.67</v>
      </c>
      <c r="AC6" s="50"/>
      <c r="AD6" s="6">
        <v>6620</v>
      </c>
      <c r="AE6" s="50"/>
      <c r="AF6" s="6">
        <v>4920</v>
      </c>
      <c r="AG6" s="50"/>
      <c r="AH6" s="6">
        <v>336.67</v>
      </c>
      <c r="AI6" s="50"/>
      <c r="AJ6" s="6">
        <v>3899.67</v>
      </c>
      <c r="AK6" s="50"/>
      <c r="AL6" s="6">
        <v>12173.67</v>
      </c>
      <c r="AM6" s="50"/>
      <c r="AN6" s="6"/>
      <c r="AO6" s="50"/>
      <c r="AP6" s="6">
        <v>590</v>
      </c>
      <c r="AQ6" s="50"/>
      <c r="AR6" s="6">
        <f>+D6+F6+H6+J6+L6+N6+P6+R6+T6+V6+X6+Z6+AB6+AD6+AF6+AH6+AJ6+AL6+AN6+AP6</f>
        <v>136955</v>
      </c>
      <c r="AS6" s="129">
        <f>+AR6*100/AR18</f>
        <v>0.36126435764940018</v>
      </c>
      <c r="AT6" s="129">
        <f t="shared" si="2"/>
        <v>0</v>
      </c>
      <c r="AU6" s="129"/>
    </row>
    <row r="7" spans="1:47" s="181" customFormat="1" ht="16.5" customHeight="1" x14ac:dyDescent="0.2">
      <c r="A7" s="177"/>
      <c r="B7" s="178">
        <v>2.2000000000000002</v>
      </c>
      <c r="C7" s="182" t="s">
        <v>24</v>
      </c>
      <c r="D7" s="174">
        <f>SUM(D8:D13)</f>
        <v>1265891.83</v>
      </c>
      <c r="E7" s="55"/>
      <c r="F7" s="174">
        <f t="shared" ref="F7:AP7" si="3">SUM(F8:F13)</f>
        <v>749320</v>
      </c>
      <c r="G7" s="55"/>
      <c r="H7" s="174">
        <f t="shared" si="3"/>
        <v>745870</v>
      </c>
      <c r="I7" s="55"/>
      <c r="J7" s="174">
        <f t="shared" si="3"/>
        <v>2255089.37</v>
      </c>
      <c r="K7" s="55"/>
      <c r="L7" s="174">
        <f t="shared" si="3"/>
        <v>1126280</v>
      </c>
      <c r="M7" s="55"/>
      <c r="N7" s="174">
        <f t="shared" si="3"/>
        <v>685281.88</v>
      </c>
      <c r="O7" s="55"/>
      <c r="P7" s="174">
        <f t="shared" si="3"/>
        <v>1400080</v>
      </c>
      <c r="Q7" s="55"/>
      <c r="R7" s="174">
        <f t="shared" si="3"/>
        <v>953019.59</v>
      </c>
      <c r="S7" s="55"/>
      <c r="T7" s="174">
        <f t="shared" si="3"/>
        <v>644400</v>
      </c>
      <c r="U7" s="55"/>
      <c r="V7" s="174">
        <f t="shared" si="3"/>
        <v>942360</v>
      </c>
      <c r="W7" s="55"/>
      <c r="X7" s="174">
        <f t="shared" si="3"/>
        <v>1379923.33</v>
      </c>
      <c r="Y7" s="55"/>
      <c r="Z7" s="174">
        <f t="shared" si="3"/>
        <v>1664834.76</v>
      </c>
      <c r="AA7" s="55"/>
      <c r="AB7" s="174">
        <f t="shared" si="3"/>
        <v>1183255.21</v>
      </c>
      <c r="AC7" s="55"/>
      <c r="AD7" s="174">
        <f t="shared" si="3"/>
        <v>1001503.21</v>
      </c>
      <c r="AE7" s="55"/>
      <c r="AF7" s="174">
        <f t="shared" si="3"/>
        <v>985339.22</v>
      </c>
      <c r="AG7" s="55"/>
      <c r="AH7" s="174">
        <f t="shared" si="3"/>
        <v>502443.18</v>
      </c>
      <c r="AI7" s="55"/>
      <c r="AJ7" s="174">
        <f t="shared" si="3"/>
        <v>859100</v>
      </c>
      <c r="AK7" s="55"/>
      <c r="AL7" s="174">
        <f t="shared" si="3"/>
        <v>615675.21</v>
      </c>
      <c r="AM7" s="55"/>
      <c r="AN7" s="174">
        <f t="shared" si="3"/>
        <v>438400</v>
      </c>
      <c r="AO7" s="55"/>
      <c r="AP7" s="174">
        <f t="shared" si="3"/>
        <v>611984.07000000007</v>
      </c>
      <c r="AQ7" s="55"/>
      <c r="AR7" s="174">
        <f>+D7+F7+H7+J7+L7+N7+P7+R7+T7+V7+X7+Z7+AB7+AD7+AF7+AH7+AJ7+AL7+AN7+AP7</f>
        <v>20010050.859999999</v>
      </c>
      <c r="AS7" s="174"/>
      <c r="AT7" s="172">
        <f t="shared" si="2"/>
        <v>0</v>
      </c>
      <c r="AU7" s="172"/>
    </row>
    <row r="8" spans="1:47" s="7" customFormat="1" ht="16.5" customHeight="1" x14ac:dyDescent="0.2">
      <c r="A8" s="3"/>
      <c r="B8" s="4"/>
      <c r="C8" s="5" t="s">
        <v>17</v>
      </c>
      <c r="D8" s="6">
        <v>200771.83</v>
      </c>
      <c r="E8" s="50"/>
      <c r="F8" s="6">
        <v>154000</v>
      </c>
      <c r="G8" s="50"/>
      <c r="H8" s="6">
        <v>102070</v>
      </c>
      <c r="I8" s="50"/>
      <c r="J8" s="6">
        <v>511000</v>
      </c>
      <c r="K8" s="50"/>
      <c r="L8" s="6">
        <v>158000</v>
      </c>
      <c r="M8" s="50"/>
      <c r="N8" s="6">
        <v>100035.21</v>
      </c>
      <c r="O8" s="50"/>
      <c r="P8" s="6">
        <v>865920</v>
      </c>
      <c r="Q8" s="50"/>
      <c r="R8" s="6">
        <v>138942.35999999999</v>
      </c>
      <c r="S8" s="50"/>
      <c r="T8" s="6">
        <v>90000</v>
      </c>
      <c r="U8" s="50"/>
      <c r="V8" s="109">
        <v>150000</v>
      </c>
      <c r="W8" s="50"/>
      <c r="X8" s="6">
        <v>266000</v>
      </c>
      <c r="Y8" s="50"/>
      <c r="Z8" s="6">
        <v>201000</v>
      </c>
      <c r="AA8" s="50"/>
      <c r="AB8" s="6">
        <v>100035.21</v>
      </c>
      <c r="AC8" s="50"/>
      <c r="AD8" s="6">
        <v>100035.21</v>
      </c>
      <c r="AE8" s="50"/>
      <c r="AF8" s="6">
        <v>172500</v>
      </c>
      <c r="AG8" s="50"/>
      <c r="AH8" s="6">
        <v>83391.570000000007</v>
      </c>
      <c r="AI8" s="50"/>
      <c r="AJ8" s="6">
        <v>126000</v>
      </c>
      <c r="AK8" s="50"/>
      <c r="AL8" s="6">
        <v>100035.21</v>
      </c>
      <c r="AM8" s="50"/>
      <c r="AN8" s="6">
        <v>100000</v>
      </c>
      <c r="AO8" s="50"/>
      <c r="AP8" s="6">
        <v>93954.21</v>
      </c>
      <c r="AQ8" s="50"/>
      <c r="AR8" s="6">
        <f>+D8+F8+H8+J8+L8+N8+P8+R8+T8+V8+X8+Z8+AB8+AD8+AF8+AH8+AJ8+AL8+AN8+AP8</f>
        <v>3813690.8099999996</v>
      </c>
      <c r="AS8" s="129">
        <f>+AR8*100/AR18</f>
        <v>10.059877775532623</v>
      </c>
      <c r="AT8" s="129">
        <f t="shared" si="2"/>
        <v>0</v>
      </c>
      <c r="AU8" s="129"/>
    </row>
    <row r="9" spans="1:47" s="7" customFormat="1" ht="16.5" customHeight="1" x14ac:dyDescent="0.2">
      <c r="A9" s="3"/>
      <c r="B9" s="4"/>
      <c r="C9" s="5" t="s">
        <v>65</v>
      </c>
      <c r="D9" s="6">
        <v>330000</v>
      </c>
      <c r="E9" s="50"/>
      <c r="F9" s="6">
        <v>240000</v>
      </c>
      <c r="G9" s="50"/>
      <c r="H9" s="6">
        <v>300000</v>
      </c>
      <c r="I9" s="50"/>
      <c r="J9" s="6">
        <v>328889.37</v>
      </c>
      <c r="K9" s="50"/>
      <c r="L9" s="6">
        <v>240000</v>
      </c>
      <c r="M9" s="50"/>
      <c r="N9" s="6">
        <v>216000</v>
      </c>
      <c r="O9" s="50"/>
      <c r="P9" s="6">
        <v>216000</v>
      </c>
      <c r="Q9" s="50"/>
      <c r="R9" s="6">
        <v>240000</v>
      </c>
      <c r="S9" s="50"/>
      <c r="T9" s="6">
        <v>215280</v>
      </c>
      <c r="U9" s="50"/>
      <c r="V9" s="108">
        <v>240000</v>
      </c>
      <c r="W9" s="50"/>
      <c r="X9" s="6">
        <v>240000</v>
      </c>
      <c r="Y9" s="50"/>
      <c r="Z9" s="6">
        <v>630000</v>
      </c>
      <c r="AA9" s="50"/>
      <c r="AB9" s="6">
        <v>270000</v>
      </c>
      <c r="AC9" s="50"/>
      <c r="AD9" s="6">
        <v>240000</v>
      </c>
      <c r="AE9" s="50"/>
      <c r="AF9" s="6">
        <v>216000</v>
      </c>
      <c r="AG9" s="50"/>
      <c r="AH9" s="6">
        <v>287651.61</v>
      </c>
      <c r="AI9" s="50"/>
      <c r="AJ9" s="6"/>
      <c r="AK9" s="50"/>
      <c r="AL9" s="6">
        <v>192000</v>
      </c>
      <c r="AM9" s="50"/>
      <c r="AN9" s="6">
        <v>216000</v>
      </c>
      <c r="AO9" s="50"/>
      <c r="AP9" s="6">
        <v>276361.86</v>
      </c>
      <c r="AQ9" s="50"/>
      <c r="AR9" s="6">
        <f>+D9+F9+H9+J9+L9+N9+P9+R9+T9+V9+X9+Z9+AB9+AD9+AF9+AH9+AJ9+AL9+AN9+AP9</f>
        <v>5134182.8400000008</v>
      </c>
      <c r="AS9" s="129">
        <f>+AR9*100/AR18</f>
        <v>13.543114641649984</v>
      </c>
      <c r="AT9" s="129">
        <f t="shared" si="2"/>
        <v>0</v>
      </c>
      <c r="AU9" s="129"/>
    </row>
    <row r="10" spans="1:47" s="7" customFormat="1" ht="16.5" customHeight="1" x14ac:dyDescent="0.2">
      <c r="A10" s="3"/>
      <c r="B10" s="4"/>
      <c r="C10" s="5" t="s">
        <v>14</v>
      </c>
      <c r="D10" s="6"/>
      <c r="E10" s="50"/>
      <c r="F10" s="8"/>
      <c r="G10" s="50"/>
      <c r="I10" s="50"/>
      <c r="J10" s="6"/>
      <c r="K10" s="50"/>
      <c r="L10" s="6"/>
      <c r="M10" s="50"/>
      <c r="N10" s="6">
        <v>110816.67</v>
      </c>
      <c r="O10" s="50"/>
      <c r="P10" s="6">
        <v>40000</v>
      </c>
      <c r="Q10" s="50"/>
      <c r="R10" s="6">
        <v>162877.23000000001</v>
      </c>
      <c r="S10" s="50"/>
      <c r="T10" s="6"/>
      <c r="U10" s="50"/>
      <c r="V10" s="110"/>
      <c r="W10" s="50"/>
      <c r="X10" s="6">
        <f>41283.33+80000</f>
        <v>121283.33</v>
      </c>
      <c r="Y10" s="50"/>
      <c r="Z10" s="6">
        <v>113034.76</v>
      </c>
      <c r="AA10" s="50"/>
      <c r="AB10" s="6">
        <v>185000</v>
      </c>
      <c r="AC10" s="50"/>
      <c r="AD10" s="6"/>
      <c r="AE10" s="50"/>
      <c r="AF10" s="6">
        <v>22339.22</v>
      </c>
      <c r="AG10" s="50"/>
      <c r="AH10" s="6"/>
      <c r="AI10" s="50"/>
      <c r="AJ10" s="6">
        <v>300000</v>
      </c>
      <c r="AK10" s="50"/>
      <c r="AL10" s="6"/>
      <c r="AM10" s="50"/>
      <c r="AN10" s="6"/>
      <c r="AO10" s="50"/>
      <c r="AP10" s="6">
        <v>35316</v>
      </c>
      <c r="AQ10" s="50"/>
      <c r="AR10" s="6">
        <f>+D10+F10+H10+J10+L10+N10+P10+R10+T10+V10+X10+Z10+AB10+AD10+AF10+AH10+AJ10+AL10+AN10+AP10</f>
        <v>1090667.21</v>
      </c>
      <c r="AS10" s="129">
        <f>+AR10*100/AR18</f>
        <v>2.8769974738411412</v>
      </c>
      <c r="AT10" s="129">
        <f t="shared" si="2"/>
        <v>0</v>
      </c>
      <c r="AU10" s="129"/>
    </row>
    <row r="11" spans="1:47" s="7" customFormat="1" ht="16.5" customHeight="1" x14ac:dyDescent="0.2">
      <c r="A11" s="3"/>
      <c r="B11" s="4"/>
      <c r="C11" s="9" t="s">
        <v>64</v>
      </c>
      <c r="D11" s="6">
        <v>151200</v>
      </c>
      <c r="E11" s="50"/>
      <c r="F11" s="6">
        <v>151200</v>
      </c>
      <c r="G11" s="50"/>
      <c r="H11" s="6">
        <v>122400</v>
      </c>
      <c r="I11" s="50"/>
      <c r="J11" s="6">
        <v>151200</v>
      </c>
      <c r="K11" s="50"/>
      <c r="L11" s="6">
        <v>151200</v>
      </c>
      <c r="M11" s="50"/>
      <c r="N11" s="6">
        <v>122400</v>
      </c>
      <c r="O11" s="50"/>
      <c r="P11" s="6">
        <v>122400</v>
      </c>
      <c r="Q11" s="50"/>
      <c r="R11" s="6">
        <v>151200</v>
      </c>
      <c r="S11" s="50"/>
      <c r="T11" s="6">
        <v>122400</v>
      </c>
      <c r="U11" s="50"/>
      <c r="V11" s="108">
        <v>151200</v>
      </c>
      <c r="W11" s="50"/>
      <c r="X11" s="6">
        <v>151200</v>
      </c>
      <c r="Y11" s="50"/>
      <c r="Z11" s="6">
        <v>290000</v>
      </c>
      <c r="AA11" s="50"/>
      <c r="AB11" s="6">
        <v>151200</v>
      </c>
      <c r="AC11" s="50"/>
      <c r="AD11" s="6">
        <f>151200+74000</f>
        <v>225200</v>
      </c>
      <c r="AE11" s="50"/>
      <c r="AF11" s="6">
        <f>124000+52200</f>
        <v>176200</v>
      </c>
      <c r="AG11" s="50"/>
      <c r="AH11" s="6">
        <f>122400+9000</f>
        <v>131400</v>
      </c>
      <c r="AI11" s="50"/>
      <c r="AJ11" s="6">
        <f>122400+4100</f>
        <v>126500</v>
      </c>
      <c r="AK11" s="50"/>
      <c r="AL11" s="6">
        <v>122400</v>
      </c>
      <c r="AM11" s="50"/>
      <c r="AN11" s="6">
        <v>122400</v>
      </c>
      <c r="AO11" s="50"/>
      <c r="AP11" s="6">
        <v>122400</v>
      </c>
      <c r="AQ11" s="50"/>
      <c r="AR11" s="6">
        <f>+D11+F11+H11+J11+L11+N11+P11+R11+T11+V11+X11+Z11+AB11+AD11+AF11+AH11+AJ11+AL11+AN11+AP11</f>
        <v>3015700</v>
      </c>
      <c r="AS11" s="129">
        <f>+AR11*100/AR18</f>
        <v>7.9549116378613132</v>
      </c>
      <c r="AT11" s="129">
        <f t="shared" si="2"/>
        <v>0</v>
      </c>
      <c r="AU11" s="129"/>
    </row>
    <row r="12" spans="1:47" s="7" customFormat="1" ht="16.5" customHeight="1" x14ac:dyDescent="0.2">
      <c r="A12" s="3"/>
      <c r="B12" s="4"/>
      <c r="C12" s="5" t="s">
        <v>10</v>
      </c>
      <c r="D12" s="6">
        <v>583920</v>
      </c>
      <c r="E12" s="56"/>
      <c r="F12" s="6">
        <v>204120</v>
      </c>
      <c r="G12" s="56"/>
      <c r="H12" s="6">
        <v>221400</v>
      </c>
      <c r="I12" s="56"/>
      <c r="J12" s="6">
        <v>450000</v>
      </c>
      <c r="K12" s="56"/>
      <c r="L12" s="6">
        <v>577080</v>
      </c>
      <c r="M12" s="56"/>
      <c r="N12" s="6">
        <v>136030</v>
      </c>
      <c r="O12" s="56"/>
      <c r="P12" s="6">
        <v>155760</v>
      </c>
      <c r="Q12" s="56"/>
      <c r="R12" s="6">
        <v>260000</v>
      </c>
      <c r="S12" s="56"/>
      <c r="T12" s="6">
        <v>216720</v>
      </c>
      <c r="U12" s="56"/>
      <c r="V12" s="108">
        <v>401160</v>
      </c>
      <c r="W12" s="56"/>
      <c r="X12" s="6">
        <v>601440</v>
      </c>
      <c r="Y12" s="56"/>
      <c r="Z12" s="6">
        <v>430800</v>
      </c>
      <c r="AA12" s="56"/>
      <c r="AB12" s="6">
        <v>441120</v>
      </c>
      <c r="AC12" s="56"/>
      <c r="AD12" s="6">
        <v>400368</v>
      </c>
      <c r="AE12" s="56"/>
      <c r="AF12" s="6">
        <v>362400</v>
      </c>
      <c r="AG12" s="56"/>
      <c r="AH12" s="6"/>
      <c r="AI12" s="56"/>
      <c r="AJ12" s="6">
        <v>306600</v>
      </c>
      <c r="AK12" s="56"/>
      <c r="AL12" s="6">
        <v>201240</v>
      </c>
      <c r="AM12" s="56"/>
      <c r="AN12" s="6"/>
      <c r="AO12" s="56"/>
      <c r="AP12" s="6">
        <v>83952</v>
      </c>
      <c r="AQ12" s="56"/>
      <c r="AR12" s="6">
        <f>+D12+F12+H12+J12+L12+N12+P12+R12+T12+V12+X12+Z12+AB12+AD12+AF12+AH12+AJ12+AL12+AN12+AP12</f>
        <v>6034110</v>
      </c>
      <c r="AS12" s="129">
        <f>+AR12*100/AR18</f>
        <v>15.916971801948247</v>
      </c>
      <c r="AT12" s="129">
        <f t="shared" si="2"/>
        <v>0</v>
      </c>
      <c r="AU12" s="129"/>
    </row>
    <row r="13" spans="1:47" s="7" customFormat="1" ht="16.5" customHeight="1" x14ac:dyDescent="0.2">
      <c r="A13" s="3"/>
      <c r="B13" s="4"/>
      <c r="C13" s="5" t="s">
        <v>70</v>
      </c>
      <c r="D13" s="6"/>
      <c r="E13" s="59"/>
      <c r="F13" s="6"/>
      <c r="G13" s="59"/>
      <c r="H13" s="6"/>
      <c r="I13" s="59"/>
      <c r="J13" s="6">
        <v>814000</v>
      </c>
      <c r="K13" s="59"/>
      <c r="L13" s="6"/>
      <c r="M13" s="59"/>
      <c r="N13" s="6"/>
      <c r="O13" s="59"/>
      <c r="P13" s="6"/>
      <c r="Q13" s="59"/>
      <c r="R13" s="6"/>
      <c r="S13" s="59"/>
      <c r="T13" s="6"/>
      <c r="U13" s="59"/>
      <c r="V13" s="108"/>
      <c r="W13" s="59"/>
      <c r="X13" s="6"/>
      <c r="Y13" s="59"/>
      <c r="Z13" s="6"/>
      <c r="AA13" s="59"/>
      <c r="AB13" s="6">
        <v>35900</v>
      </c>
      <c r="AC13" s="59"/>
      <c r="AD13" s="6">
        <v>35900</v>
      </c>
      <c r="AE13" s="59"/>
      <c r="AF13" s="6">
        <v>35900</v>
      </c>
      <c r="AG13" s="59"/>
      <c r="AH13" s="6"/>
      <c r="AI13" s="59"/>
      <c r="AJ13" s="6"/>
      <c r="AK13" s="59"/>
      <c r="AL13" s="6"/>
      <c r="AM13" s="59"/>
      <c r="AN13" s="6"/>
      <c r="AO13" s="59"/>
      <c r="AP13" s="6"/>
      <c r="AQ13" s="59"/>
      <c r="AR13" s="6">
        <f>+D13+F13+H13+J13+L13+N13+P13+R13+T13+V13+X13+Z13+AB13+AD13+AF13+AH13+AJ13+AL13+AN13+AP13</f>
        <v>921700</v>
      </c>
      <c r="AS13" s="129">
        <f>+AR13*100/AR18</f>
        <v>2.4312902664776908</v>
      </c>
      <c r="AT13" s="129">
        <f t="shared" si="2"/>
        <v>0</v>
      </c>
      <c r="AU13" s="129"/>
    </row>
    <row r="14" spans="1:47" s="7" customFormat="1" ht="16.5" customHeight="1" x14ac:dyDescent="0.2">
      <c r="A14" s="3"/>
      <c r="B14" s="10">
        <v>2.2999999999999998</v>
      </c>
      <c r="C14" s="5" t="s">
        <v>44</v>
      </c>
      <c r="D14" s="6">
        <v>2924.19</v>
      </c>
      <c r="E14" s="50"/>
      <c r="F14" s="6">
        <v>2340.8200000000002</v>
      </c>
      <c r="G14" s="50"/>
      <c r="H14" s="6">
        <v>1821.4</v>
      </c>
      <c r="I14" s="50"/>
      <c r="J14" s="6">
        <v>1164.3900000000001</v>
      </c>
      <c r="K14" s="50"/>
      <c r="L14" s="6">
        <v>2193.9699999999998</v>
      </c>
      <c r="M14" s="50"/>
      <c r="N14" s="6">
        <v>3112.85</v>
      </c>
      <c r="O14" s="50"/>
      <c r="P14" s="6">
        <v>474.84</v>
      </c>
      <c r="Q14" s="50"/>
      <c r="R14" s="6">
        <v>1917.44</v>
      </c>
      <c r="S14" s="50"/>
      <c r="T14" s="6">
        <v>1133.97</v>
      </c>
      <c r="U14" s="50"/>
      <c r="V14" s="108">
        <v>2200.75</v>
      </c>
      <c r="W14" s="50"/>
      <c r="X14" s="6">
        <v>963.66</v>
      </c>
      <c r="Y14" s="50"/>
      <c r="Z14" s="6">
        <v>5713.27</v>
      </c>
      <c r="AA14" s="50"/>
      <c r="AB14" s="6">
        <v>3495.39</v>
      </c>
      <c r="AC14" s="50"/>
      <c r="AD14" s="6">
        <v>2000</v>
      </c>
      <c r="AE14" s="50"/>
      <c r="AF14" s="6">
        <v>1722.55</v>
      </c>
      <c r="AG14" s="50"/>
      <c r="AH14" s="6">
        <v>1317.88</v>
      </c>
      <c r="AI14" s="50"/>
      <c r="AJ14" s="6">
        <v>1131.1099999999999</v>
      </c>
      <c r="AK14" s="50"/>
      <c r="AL14" s="6">
        <v>2546.09</v>
      </c>
      <c r="AM14" s="50"/>
      <c r="AN14" s="6">
        <v>2000</v>
      </c>
      <c r="AO14" s="50"/>
      <c r="AP14" s="6">
        <v>1310.01</v>
      </c>
      <c r="AQ14" s="50"/>
      <c r="AR14" s="6">
        <f>+D14+F14+H14+J14+L14+N14+P14+R14+T14+V14+X14+Z14+AB14+AD14+AF14+AH14+AJ14+AL14+AN14+AP14</f>
        <v>41484.579999999994</v>
      </c>
      <c r="AS14" s="129">
        <f>+AR14*100/AR18</f>
        <v>0.10942937567854516</v>
      </c>
      <c r="AT14" s="129">
        <f t="shared" si="2"/>
        <v>0</v>
      </c>
      <c r="AU14" s="129"/>
    </row>
    <row r="15" spans="1:47" s="15" customFormat="1" ht="30" x14ac:dyDescent="0.2">
      <c r="A15" s="11"/>
      <c r="B15" s="12">
        <v>2.4</v>
      </c>
      <c r="C15" s="13" t="s">
        <v>66</v>
      </c>
      <c r="D15" s="14">
        <f>327096.21+116562</f>
        <v>443658.21</v>
      </c>
      <c r="E15" s="50"/>
      <c r="F15" s="14">
        <f>103197.72+200000</f>
        <v>303197.71999999997</v>
      </c>
      <c r="G15" s="50"/>
      <c r="H15" s="14">
        <f>132770.75+91013.23</f>
        <v>223783.97999999998</v>
      </c>
      <c r="I15" s="50"/>
      <c r="J15" s="14">
        <f>234292.05+241801.45</f>
        <v>476093.5</v>
      </c>
      <c r="K15" s="50"/>
      <c r="L15" s="14">
        <f>100000+110226+40750</f>
        <v>250976</v>
      </c>
      <c r="M15" s="50"/>
      <c r="N15" s="14">
        <f>111222.78+8184.56</f>
        <v>119407.34</v>
      </c>
      <c r="O15" s="50"/>
      <c r="P15" s="14">
        <f>65663+17200</f>
        <v>82863</v>
      </c>
      <c r="Q15" s="50"/>
      <c r="R15" s="14">
        <v>116230.62</v>
      </c>
      <c r="S15" s="50"/>
      <c r="T15" s="14">
        <f>12000+86450.87</f>
        <v>98450.87</v>
      </c>
      <c r="U15" s="50"/>
      <c r="V15" s="111">
        <v>145834.6</v>
      </c>
      <c r="W15" s="50"/>
      <c r="X15" s="14">
        <f>98478.59+150000+200000</f>
        <v>448478.58999999997</v>
      </c>
      <c r="Y15" s="50"/>
      <c r="Z15" s="14">
        <f>196092.61+356304.21</f>
        <v>552396.82000000007</v>
      </c>
      <c r="AA15" s="50"/>
      <c r="AB15" s="14">
        <f>130000+120000</f>
        <v>250000</v>
      </c>
      <c r="AC15" s="50"/>
      <c r="AD15" s="14">
        <f>18803.8+80000</f>
        <v>98803.8</v>
      </c>
      <c r="AE15" s="50"/>
      <c r="AF15" s="14">
        <f>100000+31221.38</f>
        <v>131221.38</v>
      </c>
      <c r="AG15" s="50"/>
      <c r="AH15" s="14">
        <f>54387.31+6852</f>
        <v>61239.31</v>
      </c>
      <c r="AI15" s="50"/>
      <c r="AJ15" s="14">
        <v>26312.95</v>
      </c>
      <c r="AK15" s="50"/>
      <c r="AL15" s="14">
        <f>43145.73+100000</f>
        <v>143145.73000000001</v>
      </c>
      <c r="AM15" s="50"/>
      <c r="AN15" s="14">
        <f>200000+200000+100000</f>
        <v>500000</v>
      </c>
      <c r="AO15" s="50"/>
      <c r="AP15" s="14">
        <f>34293.84+13592.4+100000</f>
        <v>147886.24</v>
      </c>
      <c r="AQ15" s="50"/>
      <c r="AR15" s="14">
        <f>+D15+F15+H15+J15+L15+N15+P15+R15+T15+V15+X15+Z15+AB15+AD15+AF15+AH15+AJ15+AL15+AN15+AP15</f>
        <v>4619980.66</v>
      </c>
      <c r="AS15" s="130">
        <f>+AR15*100/AR18</f>
        <v>12.186735391095995</v>
      </c>
      <c r="AT15" s="130">
        <f t="shared" si="2"/>
        <v>0</v>
      </c>
      <c r="AU15" s="130"/>
    </row>
    <row r="16" spans="1:47" s="7" customFormat="1" ht="16.5" customHeight="1" x14ac:dyDescent="0.2">
      <c r="A16" s="16"/>
      <c r="B16" s="17">
        <v>2.5</v>
      </c>
      <c r="C16" s="18" t="s">
        <v>92</v>
      </c>
      <c r="D16" s="6">
        <v>113000</v>
      </c>
      <c r="E16" s="50"/>
      <c r="F16" s="6">
        <v>392418</v>
      </c>
      <c r="G16" s="50"/>
      <c r="H16" s="6">
        <v>93300</v>
      </c>
      <c r="I16" s="50"/>
      <c r="J16" s="6"/>
      <c r="K16" s="50"/>
      <c r="L16" s="6">
        <v>109100</v>
      </c>
      <c r="M16" s="50"/>
      <c r="N16" s="6">
        <v>121550</v>
      </c>
      <c r="O16" s="50"/>
      <c r="P16" s="6">
        <v>140600</v>
      </c>
      <c r="Q16" s="50"/>
      <c r="R16" s="6">
        <v>159600</v>
      </c>
      <c r="S16" s="50"/>
      <c r="T16" s="6">
        <v>12000</v>
      </c>
      <c r="U16" s="50"/>
      <c r="V16" s="108"/>
      <c r="W16" s="50"/>
      <c r="X16" s="6">
        <v>108600</v>
      </c>
      <c r="Y16" s="50"/>
      <c r="Z16" s="6">
        <v>356956</v>
      </c>
      <c r="AA16" s="50"/>
      <c r="AB16" s="6">
        <v>97300</v>
      </c>
      <c r="AC16" s="50"/>
      <c r="AD16" s="6">
        <v>274860</v>
      </c>
      <c r="AE16" s="50"/>
      <c r="AF16" s="6">
        <v>150900</v>
      </c>
      <c r="AG16" s="50"/>
      <c r="AH16" s="6"/>
      <c r="AI16" s="50"/>
      <c r="AJ16" s="6">
        <v>177650</v>
      </c>
      <c r="AK16" s="50"/>
      <c r="AL16" s="6"/>
      <c r="AM16" s="50"/>
      <c r="AN16" s="6">
        <v>385400</v>
      </c>
      <c r="AO16" s="50"/>
      <c r="AP16" s="6"/>
      <c r="AQ16" s="50"/>
      <c r="AR16" s="6">
        <f>+D16+F16+H16+J16+L16+N16+P16+R16+T16+V16+X16+Z16+AB16+AD16+AF16+AH16+AJ16+AL16+AN16+AP16</f>
        <v>2693234</v>
      </c>
      <c r="AS16" s="129">
        <f>+AR16*100/AR18</f>
        <v>7.1043003249937913</v>
      </c>
      <c r="AT16" s="129">
        <f t="shared" si="2"/>
        <v>0</v>
      </c>
      <c r="AU16" s="129"/>
    </row>
    <row r="17" spans="1:47" s="15" customFormat="1" ht="30.75" customHeight="1" x14ac:dyDescent="0.2">
      <c r="A17" s="11"/>
      <c r="B17" s="12">
        <v>2.6</v>
      </c>
      <c r="C17" s="13" t="s">
        <v>43</v>
      </c>
      <c r="D17" s="14">
        <v>15470.56</v>
      </c>
      <c r="E17" s="50"/>
      <c r="F17" s="14">
        <f>8398.99+96</f>
        <v>8494.99</v>
      </c>
      <c r="G17" s="50"/>
      <c r="H17" s="14">
        <v>33854.82</v>
      </c>
      <c r="I17" s="50"/>
      <c r="J17" s="14">
        <v>25901.4</v>
      </c>
      <c r="K17" s="50"/>
      <c r="L17" s="14">
        <v>16564.63</v>
      </c>
      <c r="M17" s="50"/>
      <c r="N17" s="14">
        <v>9689.0499999999993</v>
      </c>
      <c r="O17" s="50"/>
      <c r="P17" s="14">
        <v>40000</v>
      </c>
      <c r="Q17" s="50"/>
      <c r="R17" s="14">
        <v>33105.89</v>
      </c>
      <c r="S17" s="50"/>
      <c r="T17" s="14">
        <f>25000+12000+70000</f>
        <v>107000</v>
      </c>
      <c r="U17" s="50"/>
      <c r="V17" s="111">
        <v>30276.400000000001</v>
      </c>
      <c r="W17" s="50"/>
      <c r="X17" s="14">
        <f>18289.86+40000</f>
        <v>58289.86</v>
      </c>
      <c r="Y17" s="50"/>
      <c r="Z17" s="14">
        <v>14542.84</v>
      </c>
      <c r="AA17" s="50"/>
      <c r="AB17" s="14">
        <f>15683.48+100000</f>
        <v>115683.48</v>
      </c>
      <c r="AC17" s="50"/>
      <c r="AD17" s="14">
        <v>70500</v>
      </c>
      <c r="AE17" s="50"/>
      <c r="AF17" s="14">
        <f>16218.76+94977.22</f>
        <v>111195.98</v>
      </c>
      <c r="AG17" s="50"/>
      <c r="AH17" s="14">
        <v>666</v>
      </c>
      <c r="AI17" s="50"/>
      <c r="AJ17" s="14">
        <f>7581.81+11306.67+100000</f>
        <v>118888.48</v>
      </c>
      <c r="AK17" s="50"/>
      <c r="AL17" s="14">
        <v>39311.69</v>
      </c>
      <c r="AM17" s="50"/>
      <c r="AN17" s="14">
        <v>20000</v>
      </c>
      <c r="AO17" s="50"/>
      <c r="AP17" s="14">
        <v>20935.84</v>
      </c>
      <c r="AQ17" s="50"/>
      <c r="AR17" s="14">
        <f>+D17+F17+H17+J17+L17+N17+P17+R17+T17+V17+X17+Z17+AB17+AD17+AF17+AH17+AJ17+AL17+AN17+AP17</f>
        <v>890371.91</v>
      </c>
      <c r="AS17" s="130">
        <f>+AR17*100/AR18</f>
        <v>2.348652010771564</v>
      </c>
      <c r="AT17" s="130">
        <f t="shared" si="2"/>
        <v>0</v>
      </c>
      <c r="AU17" s="130"/>
    </row>
    <row r="18" spans="1:47" s="7" customFormat="1" ht="16.5" customHeight="1" x14ac:dyDescent="0.2">
      <c r="A18" s="19"/>
      <c r="B18" s="20"/>
      <c r="C18" s="21" t="s">
        <v>40</v>
      </c>
      <c r="D18" s="22">
        <f t="shared" ref="D18:AP18" si="4">+D4+D5</f>
        <v>2534438.75</v>
      </c>
      <c r="E18" s="67"/>
      <c r="F18" s="22">
        <f t="shared" si="4"/>
        <v>1877477.8699999999</v>
      </c>
      <c r="G18" s="67"/>
      <c r="H18" s="22">
        <f t="shared" si="4"/>
        <v>1342272.52</v>
      </c>
      <c r="I18" s="67"/>
      <c r="J18" s="22">
        <f t="shared" si="4"/>
        <v>3168242.84</v>
      </c>
      <c r="K18" s="67"/>
      <c r="L18" s="22">
        <f t="shared" si="4"/>
        <v>1891673.0899999999</v>
      </c>
      <c r="M18" s="67"/>
      <c r="N18" s="22">
        <f t="shared" si="4"/>
        <v>1885314.06</v>
      </c>
      <c r="O18" s="67"/>
      <c r="P18" s="22">
        <f t="shared" si="4"/>
        <v>1740777.84</v>
      </c>
      <c r="Q18" s="67"/>
      <c r="R18" s="22">
        <f t="shared" si="4"/>
        <v>1695632.88</v>
      </c>
      <c r="S18" s="67"/>
      <c r="T18" s="22">
        <f t="shared" si="4"/>
        <v>1153147.17</v>
      </c>
      <c r="U18" s="67"/>
      <c r="V18" s="22">
        <f t="shared" ref="V18" si="5">+V4+V5</f>
        <v>1695363.0799999998</v>
      </c>
      <c r="W18" s="67"/>
      <c r="X18" s="22">
        <f>+X4+X5</f>
        <v>2166656.7800000003</v>
      </c>
      <c r="Y18" s="67"/>
      <c r="Z18" s="22">
        <f t="shared" ref="Z18:AF18" si="6">+Z4+Z5</f>
        <v>3900397.3099999996</v>
      </c>
      <c r="AA18" s="67"/>
      <c r="AB18" s="22">
        <f t="shared" si="6"/>
        <v>2519084.5799999996</v>
      </c>
      <c r="AC18" s="67"/>
      <c r="AD18" s="22">
        <f t="shared" si="6"/>
        <v>1768758.32</v>
      </c>
      <c r="AE18" s="67"/>
      <c r="AF18" s="22">
        <f t="shared" si="6"/>
        <v>1744426.18</v>
      </c>
      <c r="AG18" s="67"/>
      <c r="AH18" s="22">
        <f t="shared" si="4"/>
        <v>944153.06</v>
      </c>
      <c r="AI18" s="67"/>
      <c r="AJ18" s="22">
        <f t="shared" si="4"/>
        <v>1418203.16</v>
      </c>
      <c r="AK18" s="67"/>
      <c r="AL18" s="22">
        <f t="shared" si="4"/>
        <v>1592809.6099999999</v>
      </c>
      <c r="AM18" s="67"/>
      <c r="AN18" s="22">
        <f t="shared" si="4"/>
        <v>1752370.55</v>
      </c>
      <c r="AO18" s="67"/>
      <c r="AP18" s="22">
        <f t="shared" si="4"/>
        <v>1118712.33</v>
      </c>
      <c r="AQ18" s="67"/>
      <c r="AR18" s="22">
        <f>+D18+F18+H18+J18+L18+N18+P18+R18+T18+V18+X18+Z18+AB18+AD18+AF18+AH18+AJ18+AL18+AN18+AP18</f>
        <v>37909911.979999997</v>
      </c>
      <c r="AS18" s="187">
        <f>+AS5+AS4</f>
        <v>100</v>
      </c>
      <c r="AT18" s="22">
        <f t="shared" si="2"/>
        <v>0</v>
      </c>
      <c r="AU18" s="22"/>
    </row>
    <row r="19" spans="1:47" s="181" customFormat="1" ht="16.5" customHeight="1" x14ac:dyDescent="0.2">
      <c r="A19" s="183">
        <v>3</v>
      </c>
      <c r="B19" s="184"/>
      <c r="C19" s="185" t="s">
        <v>1</v>
      </c>
      <c r="D19" s="174">
        <f>SUM(D20:D29)</f>
        <v>1870677</v>
      </c>
      <c r="E19" s="55"/>
      <c r="F19" s="174">
        <f t="shared" ref="F19:AP19" si="7">SUM(F20:F29)</f>
        <v>1458842</v>
      </c>
      <c r="G19" s="55"/>
      <c r="H19" s="174">
        <f t="shared" si="7"/>
        <v>1108795</v>
      </c>
      <c r="I19" s="55"/>
      <c r="J19" s="174">
        <f t="shared" si="7"/>
        <v>2510220</v>
      </c>
      <c r="K19" s="55"/>
      <c r="L19" s="174">
        <f t="shared" si="7"/>
        <v>1466615.8</v>
      </c>
      <c r="M19" s="55"/>
      <c r="N19" s="174">
        <f t="shared" si="7"/>
        <v>941192.64</v>
      </c>
      <c r="O19" s="55"/>
      <c r="P19" s="174">
        <f t="shared" si="7"/>
        <v>935680.66000000015</v>
      </c>
      <c r="Q19" s="55"/>
      <c r="R19" s="174">
        <f t="shared" si="7"/>
        <v>1272841.3599999999</v>
      </c>
      <c r="S19" s="55"/>
      <c r="T19" s="174">
        <f t="shared" si="7"/>
        <v>715787</v>
      </c>
      <c r="U19" s="55"/>
      <c r="V19" s="174">
        <f t="shared" si="7"/>
        <v>1219510</v>
      </c>
      <c r="W19" s="55"/>
      <c r="X19" s="174">
        <f t="shared" si="7"/>
        <v>1780780</v>
      </c>
      <c r="Y19" s="55"/>
      <c r="Z19" s="174">
        <f t="shared" si="7"/>
        <v>2545357</v>
      </c>
      <c r="AA19" s="55"/>
      <c r="AB19" s="174">
        <f t="shared" si="7"/>
        <v>1631633.23</v>
      </c>
      <c r="AC19" s="55"/>
      <c r="AD19" s="174">
        <f t="shared" si="7"/>
        <v>1347288.23</v>
      </c>
      <c r="AE19" s="55"/>
      <c r="AF19" s="174">
        <f t="shared" si="7"/>
        <v>1331629</v>
      </c>
      <c r="AG19" s="55"/>
      <c r="AH19" s="174">
        <f t="shared" si="7"/>
        <v>706762.5</v>
      </c>
      <c r="AI19" s="55"/>
      <c r="AJ19" s="174">
        <f t="shared" si="7"/>
        <v>1219560</v>
      </c>
      <c r="AK19" s="55"/>
      <c r="AL19" s="174">
        <f t="shared" si="7"/>
        <v>807155.27</v>
      </c>
      <c r="AM19" s="55"/>
      <c r="AN19" s="174">
        <f t="shared" si="7"/>
        <v>1405073.72</v>
      </c>
      <c r="AO19" s="55"/>
      <c r="AP19" s="174">
        <f t="shared" si="7"/>
        <v>849372.36</v>
      </c>
      <c r="AQ19" s="55"/>
      <c r="AR19" s="174">
        <f>+D19+F19+H19+J19+L19+N19+P19+R19+T19+V19+X19+Z19+AB19+AD19+AF19+AH19+AJ19+AL19+AN19+AP19</f>
        <v>27124772.77</v>
      </c>
      <c r="AS19" s="174"/>
      <c r="AT19" s="174">
        <f t="shared" si="2"/>
        <v>0</v>
      </c>
      <c r="AU19" s="174"/>
    </row>
    <row r="20" spans="1:47" s="7" customFormat="1" ht="16.5" customHeight="1" x14ac:dyDescent="0.2">
      <c r="A20" s="16"/>
      <c r="B20" s="17">
        <v>3.1</v>
      </c>
      <c r="C20" s="18" t="s">
        <v>17</v>
      </c>
      <c r="D20" s="6">
        <f>133000+22500+13500+12000+3000+42500</f>
        <v>226500</v>
      </c>
      <c r="E20" s="50"/>
      <c r="F20" s="6">
        <f>100000+17000+10000+15000+12000</f>
        <v>154000</v>
      </c>
      <c r="G20" s="50"/>
      <c r="H20" s="6">
        <v>105500</v>
      </c>
      <c r="I20" s="50"/>
      <c r="J20" s="6">
        <f>440000+10000+18000+15000</f>
        <v>483000</v>
      </c>
      <c r="K20" s="50"/>
      <c r="L20" s="6">
        <f>124000+12000+8500+6000</f>
        <v>150500</v>
      </c>
      <c r="M20" s="50"/>
      <c r="N20" s="6">
        <v>101565.23</v>
      </c>
      <c r="O20" s="50"/>
      <c r="P20" s="6">
        <v>133751.32</v>
      </c>
      <c r="Q20" s="50"/>
      <c r="R20" s="6">
        <v>138942.35999999999</v>
      </c>
      <c r="S20" s="50"/>
      <c r="T20" s="6">
        <v>90000</v>
      </c>
      <c r="U20" s="50"/>
      <c r="V20" s="6">
        <f>100000+20000+10000+10000+10000</f>
        <v>150000</v>
      </c>
      <c r="W20" s="50"/>
      <c r="X20" s="6">
        <v>238000</v>
      </c>
      <c r="Y20" s="50"/>
      <c r="Z20" s="6">
        <f>130000+18000+30000+15000+8000</f>
        <v>201000</v>
      </c>
      <c r="AA20" s="50"/>
      <c r="AB20" s="6">
        <v>101565.23</v>
      </c>
      <c r="AC20" s="50"/>
      <c r="AD20" s="6">
        <v>101565.23</v>
      </c>
      <c r="AE20" s="50"/>
      <c r="AF20" s="6">
        <v>175500</v>
      </c>
      <c r="AG20" s="50"/>
      <c r="AH20" s="6">
        <v>48119.96</v>
      </c>
      <c r="AI20" s="50"/>
      <c r="AJ20" s="6">
        <v>114000</v>
      </c>
      <c r="AK20" s="50"/>
      <c r="AL20" s="6">
        <v>139029.26999999999</v>
      </c>
      <c r="AM20" s="50"/>
      <c r="AN20" s="6">
        <v>76124.28</v>
      </c>
      <c r="AO20" s="50"/>
      <c r="AP20" s="6">
        <v>194261.36</v>
      </c>
      <c r="AQ20" s="50"/>
      <c r="AR20" s="6">
        <f>+D20+F20+H20+J20+L20+N20+P20+R20+T20+V20+X20+Z20+AB20+AD20+AF20+AH20+AJ20+AL20+AN20+AP20</f>
        <v>3122924.2399999998</v>
      </c>
      <c r="AS20" s="129">
        <f>+AR20*100/AR30</f>
        <v>11.513181203324049</v>
      </c>
      <c r="AT20" s="129">
        <f t="shared" si="2"/>
        <v>0</v>
      </c>
      <c r="AU20" s="129"/>
    </row>
    <row r="21" spans="1:47" s="7" customFormat="1" ht="16.5" customHeight="1" x14ac:dyDescent="0.2">
      <c r="A21" s="16"/>
      <c r="B21" s="17">
        <v>3.2</v>
      </c>
      <c r="C21" s="9" t="s">
        <v>14</v>
      </c>
      <c r="D21" s="6">
        <v>113000</v>
      </c>
      <c r="E21" s="50"/>
      <c r="F21" s="6">
        <v>392418</v>
      </c>
      <c r="G21" s="50"/>
      <c r="H21" s="6">
        <v>93300</v>
      </c>
      <c r="I21" s="50"/>
      <c r="J21" s="6">
        <v>76150</v>
      </c>
      <c r="K21" s="50"/>
      <c r="L21" s="6">
        <v>127100</v>
      </c>
      <c r="M21" s="50"/>
      <c r="N21" s="6">
        <v>121550</v>
      </c>
      <c r="O21" s="50"/>
      <c r="P21" s="6">
        <v>140600</v>
      </c>
      <c r="Q21" s="50"/>
      <c r="R21" s="6">
        <v>159600</v>
      </c>
      <c r="S21" s="50"/>
      <c r="T21" s="6">
        <v>24000</v>
      </c>
      <c r="U21" s="50"/>
      <c r="V21" s="6">
        <v>12000</v>
      </c>
      <c r="W21" s="50"/>
      <c r="X21" s="6">
        <v>108600</v>
      </c>
      <c r="Y21" s="50"/>
      <c r="Z21" s="6">
        <v>428213</v>
      </c>
      <c r="AA21" s="50"/>
      <c r="AB21" s="6">
        <v>120490</v>
      </c>
      <c r="AC21" s="50"/>
      <c r="AD21" s="6">
        <v>274860</v>
      </c>
      <c r="AE21" s="50"/>
      <c r="AF21" s="6">
        <v>150900</v>
      </c>
      <c r="AG21" s="50"/>
      <c r="AH21" s="6"/>
      <c r="AI21" s="50"/>
      <c r="AJ21" s="6">
        <v>177650</v>
      </c>
      <c r="AK21" s="50"/>
      <c r="AL21" s="6"/>
      <c r="AM21" s="50"/>
      <c r="AN21" s="6">
        <v>385400</v>
      </c>
      <c r="AO21" s="50"/>
      <c r="AP21" s="6">
        <v>35316</v>
      </c>
      <c r="AQ21" s="50"/>
      <c r="AR21" s="6">
        <f>+D21+F21+H21+J21+L21+N21+P21+R21+T21+V21+X21+Z21+AB21+AD21+AF21+AH21+AJ21+AL21+AN21+AP21</f>
        <v>2941147</v>
      </c>
      <c r="AS21" s="129">
        <f>+AR21*100/AR30</f>
        <v>10.843029082451555</v>
      </c>
      <c r="AT21" s="129">
        <f t="shared" si="2"/>
        <v>0</v>
      </c>
      <c r="AU21" s="129"/>
    </row>
    <row r="22" spans="1:47" s="7" customFormat="1" ht="16.5" customHeight="1" x14ac:dyDescent="0.2">
      <c r="A22" s="16"/>
      <c r="B22" s="17">
        <v>3.3</v>
      </c>
      <c r="C22" s="5" t="s">
        <v>10</v>
      </c>
      <c r="D22" s="6">
        <f>157320+117480+191520+105600+72000+72000</f>
        <v>715920</v>
      </c>
      <c r="E22" s="50"/>
      <c r="F22" s="6">
        <f>197760+72000+72000+48000+9000</f>
        <v>398760</v>
      </c>
      <c r="G22" s="50"/>
      <c r="H22" s="6">
        <f>113760+98040+10590+4236</f>
        <v>226626</v>
      </c>
      <c r="I22" s="50"/>
      <c r="J22" s="6">
        <f>128568+116556+106656</f>
        <v>351780</v>
      </c>
      <c r="K22" s="50"/>
      <c r="L22" s="6">
        <v>580104</v>
      </c>
      <c r="M22" s="50"/>
      <c r="N22" s="6">
        <f>120840+55200</f>
        <v>176040</v>
      </c>
      <c r="O22" s="50"/>
      <c r="P22" s="6">
        <f>155760+84000+57600+23976</f>
        <v>321336</v>
      </c>
      <c r="Q22" s="50"/>
      <c r="R22" s="6">
        <f>151680+94560+72000+15912</f>
        <v>334152</v>
      </c>
      <c r="S22" s="50"/>
      <c r="T22" s="6">
        <f>72000+96720+48000+9174</f>
        <v>225894</v>
      </c>
      <c r="U22" s="50"/>
      <c r="V22" s="6">
        <f>165120+126720+117480</f>
        <v>409320</v>
      </c>
      <c r="W22" s="50"/>
      <c r="X22" s="6">
        <f>208320+208320+88800+72000</f>
        <v>577440</v>
      </c>
      <c r="Y22" s="50"/>
      <c r="Z22" s="6">
        <v>578940</v>
      </c>
      <c r="AA22" s="50"/>
      <c r="AB22" s="6">
        <v>463176</v>
      </c>
      <c r="AC22" s="50"/>
      <c r="AD22" s="6">
        <f>197640+72000+119760+54000+19656</f>
        <v>463056</v>
      </c>
      <c r="AE22" s="50"/>
      <c r="AF22" s="6">
        <f>151680+197760+72000+37152</f>
        <v>458592</v>
      </c>
      <c r="AG22" s="50"/>
      <c r="AH22" s="6">
        <f>72000</f>
        <v>72000</v>
      </c>
      <c r="AI22" s="50"/>
      <c r="AJ22" s="6">
        <v>453300</v>
      </c>
      <c r="AK22" s="50"/>
      <c r="AL22" s="6">
        <v>199200</v>
      </c>
      <c r="AM22" s="50"/>
      <c r="AN22" s="6">
        <v>134665</v>
      </c>
      <c r="AO22" s="50"/>
      <c r="AP22" s="6">
        <f>90000+4500</f>
        <v>94500</v>
      </c>
      <c r="AQ22" s="50"/>
      <c r="AR22" s="6">
        <f>+D22+F22+H22+J22+L22+N22+P22+R22+T22+V22+X22+Z22+AB22+AD22+AF22+AH22+AJ22+AL22+AN22+AP22</f>
        <v>7234801</v>
      </c>
      <c r="AS22" s="129">
        <f>+AR22*100/AR30</f>
        <v>26.672300857029448</v>
      </c>
      <c r="AT22" s="129">
        <f t="shared" si="2"/>
        <v>0</v>
      </c>
      <c r="AU22" s="129"/>
    </row>
    <row r="23" spans="1:47" s="7" customFormat="1" ht="16.5" customHeight="1" x14ac:dyDescent="0.2">
      <c r="A23" s="16"/>
      <c r="B23" s="17">
        <v>3.4</v>
      </c>
      <c r="C23" s="9" t="s">
        <v>64</v>
      </c>
      <c r="D23" s="6">
        <f>159000+112800+3725</f>
        <v>275525</v>
      </c>
      <c r="E23" s="50"/>
      <c r="F23" s="6">
        <f>144000+73200+12000</f>
        <v>229200</v>
      </c>
      <c r="G23" s="50"/>
      <c r="H23" s="6">
        <f>140000+40374</f>
        <v>180374</v>
      </c>
      <c r="I23" s="50"/>
      <c r="J23" s="6">
        <f>198000+159600+3000</f>
        <v>360600</v>
      </c>
      <c r="K23" s="50"/>
      <c r="L23" s="6">
        <v>207868.79999999999</v>
      </c>
      <c r="M23" s="50"/>
      <c r="N23" s="6">
        <f>127320+58000+9000</f>
        <v>194320</v>
      </c>
      <c r="O23" s="50"/>
      <c r="P23" s="6">
        <f>143366.67+23400+3000</f>
        <v>169766.67</v>
      </c>
      <c r="Q23" s="50"/>
      <c r="R23" s="6">
        <f>170000+80000</f>
        <v>250000</v>
      </c>
      <c r="S23" s="50"/>
      <c r="T23" s="6">
        <f>122400+30000</f>
        <v>152400</v>
      </c>
      <c r="U23" s="50"/>
      <c r="V23" s="6">
        <f>135720+33600</f>
        <v>169320</v>
      </c>
      <c r="W23" s="50"/>
      <c r="X23" s="6">
        <f>151200+138000+6000</f>
        <v>295200</v>
      </c>
      <c r="Y23" s="50"/>
      <c r="Z23" s="6">
        <v>443400</v>
      </c>
      <c r="AA23" s="50"/>
      <c r="AB23" s="6">
        <v>203160</v>
      </c>
      <c r="AC23" s="50"/>
      <c r="AD23" s="6">
        <v>194044</v>
      </c>
      <c r="AE23" s="50"/>
      <c r="AF23" s="6">
        <f>124000+52200</f>
        <v>176200</v>
      </c>
      <c r="AG23" s="50"/>
      <c r="AH23" s="6">
        <v>134760</v>
      </c>
      <c r="AI23" s="50"/>
      <c r="AJ23" s="6">
        <v>175200</v>
      </c>
      <c r="AK23" s="50"/>
      <c r="AL23" s="6">
        <v>135000</v>
      </c>
      <c r="AM23" s="50"/>
      <c r="AN23" s="6">
        <v>296340</v>
      </c>
      <c r="AO23" s="50"/>
      <c r="AP23" s="6">
        <v>135000</v>
      </c>
      <c r="AQ23" s="50"/>
      <c r="AR23" s="6">
        <f>+D23+F23+H23+J23+L23+N23+P23+R23+T23+V23+X23+Z23+AB23+AD23+AF23+AH23+AJ23+AL23+AN23+AP23</f>
        <v>4377678.47</v>
      </c>
      <c r="AS23" s="129">
        <f>+AR23*100/AR30</f>
        <v>16.139042000903736</v>
      </c>
      <c r="AT23" s="129">
        <f t="shared" si="2"/>
        <v>0</v>
      </c>
      <c r="AU23" s="129"/>
    </row>
    <row r="24" spans="1:47" s="7" customFormat="1" ht="16.5" customHeight="1" x14ac:dyDescent="0.2">
      <c r="A24" s="16"/>
      <c r="B24" s="17">
        <v>3.5</v>
      </c>
      <c r="C24" s="9" t="s">
        <v>11</v>
      </c>
      <c r="D24" s="6">
        <f>33000+10000+3600+4900+19600+4000+6000+30000+15000+28032</f>
        <v>154132</v>
      </c>
      <c r="E24" s="50"/>
      <c r="F24" s="6">
        <f>20000+50000+2700+10000+5000+5000+4000+50000</f>
        <v>146700</v>
      </c>
      <c r="G24" s="50"/>
      <c r="H24" s="6">
        <f>80000+69500+119000+3000</f>
        <v>271500</v>
      </c>
      <c r="I24" s="50"/>
      <c r="J24" s="6">
        <f>35000+40000+350000+48000+4800+18000+71440+25000+12500+35000+30000</f>
        <v>669740</v>
      </c>
      <c r="K24" s="50"/>
      <c r="L24" s="6">
        <v>238800</v>
      </c>
      <c r="M24" s="50"/>
      <c r="N24" s="6">
        <f>30000+35000+55000+55200</f>
        <v>175200</v>
      </c>
      <c r="O24" s="50"/>
      <c r="P24" s="6">
        <v>56456</v>
      </c>
      <c r="Q24" s="50"/>
      <c r="R24" s="6">
        <v>182600</v>
      </c>
      <c r="S24" s="50"/>
      <c r="T24" s="6">
        <f>15000+10000+2700+1000+36000</f>
        <v>64700</v>
      </c>
      <c r="U24" s="50"/>
      <c r="V24" s="6">
        <v>250000</v>
      </c>
      <c r="W24" s="50"/>
      <c r="X24" s="6">
        <v>245000</v>
      </c>
      <c r="Y24" s="50"/>
      <c r="Z24" s="6">
        <v>529500</v>
      </c>
      <c r="AA24" s="50"/>
      <c r="AB24" s="6">
        <v>571150</v>
      </c>
      <c r="AC24" s="50"/>
      <c r="AD24" s="6">
        <f>15000+17000+4000+4000+3000+1500+5000+11200+45000</f>
        <v>105700</v>
      </c>
      <c r="AE24" s="50"/>
      <c r="AF24" s="6">
        <f>20000+120000+54000+2400</f>
        <v>196400</v>
      </c>
      <c r="AG24" s="50"/>
      <c r="AH24" s="6">
        <v>280880</v>
      </c>
      <c r="AI24" s="50"/>
      <c r="AJ24" s="6">
        <v>125200</v>
      </c>
      <c r="AK24" s="50"/>
      <c r="AL24" s="6">
        <v>199726</v>
      </c>
      <c r="AM24" s="50"/>
      <c r="AN24" s="6">
        <v>311800</v>
      </c>
      <c r="AO24" s="50"/>
      <c r="AP24" s="6">
        <v>161300</v>
      </c>
      <c r="AQ24" s="50"/>
      <c r="AR24" s="6">
        <f>+D24+F24+H24+J24+L24+N24+P24+R24+T24+V24+X24+Z24+AB24+AD24+AF24+AH24+AJ24+AL24+AN24+AP24</f>
        <v>4936484</v>
      </c>
      <c r="AS24" s="129">
        <f>+AR24*100/AR30</f>
        <v>18.199171811900861</v>
      </c>
      <c r="AT24" s="129">
        <f t="shared" si="2"/>
        <v>0</v>
      </c>
      <c r="AU24" s="129"/>
    </row>
    <row r="25" spans="1:47" s="7" customFormat="1" ht="16.5" customHeight="1" x14ac:dyDescent="0.2">
      <c r="A25" s="16"/>
      <c r="B25" s="17">
        <v>3.6</v>
      </c>
      <c r="C25" s="9" t="s">
        <v>12</v>
      </c>
      <c r="D25" s="6">
        <f>17880+12680+27740+4150+17800</f>
        <v>80250</v>
      </c>
      <c r="E25" s="50"/>
      <c r="F25" s="6">
        <f>17780+11200+15194+15090</f>
        <v>59264</v>
      </c>
      <c r="G25" s="50"/>
      <c r="H25" s="6">
        <f>14000+15180+10460+20555</f>
        <v>60195</v>
      </c>
      <c r="I25" s="50"/>
      <c r="J25" s="6">
        <f>27530+4460+32160+7440+24060</f>
        <v>95650</v>
      </c>
      <c r="K25" s="50"/>
      <c r="L25" s="6">
        <v>46943</v>
      </c>
      <c r="M25" s="50"/>
      <c r="N25" s="6">
        <v>48321</v>
      </c>
      <c r="O25" s="50"/>
      <c r="P25" s="6">
        <v>44677</v>
      </c>
      <c r="Q25" s="50"/>
      <c r="R25" s="6">
        <v>77847</v>
      </c>
      <c r="S25" s="50"/>
      <c r="T25" s="6">
        <f>20905+6496+17840+18052</f>
        <v>63293</v>
      </c>
      <c r="U25" s="50"/>
      <c r="V25" s="6">
        <v>60670</v>
      </c>
      <c r="W25" s="50"/>
      <c r="X25" s="6">
        <v>173540</v>
      </c>
      <c r="Y25" s="50"/>
      <c r="Z25" s="6">
        <v>86604</v>
      </c>
      <c r="AA25" s="50"/>
      <c r="AB25" s="6">
        <v>66752</v>
      </c>
      <c r="AC25" s="50"/>
      <c r="AD25" s="6">
        <v>98063</v>
      </c>
      <c r="AE25" s="50"/>
      <c r="AF25" s="6">
        <f>17523+16200+24258+22756</f>
        <v>80737</v>
      </c>
      <c r="AG25" s="50"/>
      <c r="AH25" s="6">
        <v>79799</v>
      </c>
      <c r="AI25" s="50"/>
      <c r="AJ25" s="6">
        <v>46510</v>
      </c>
      <c r="AK25" s="50"/>
      <c r="AL25" s="6">
        <v>52800</v>
      </c>
      <c r="AM25" s="50"/>
      <c r="AN25" s="6">
        <v>47962</v>
      </c>
      <c r="AO25" s="50"/>
      <c r="AP25" s="6">
        <v>49495</v>
      </c>
      <c r="AQ25" s="50"/>
      <c r="AR25" s="6">
        <f>+D25+F25+H25+J25+L25+N25+P25+R25+T25+V25+X25+Z25+AB25+AD25+AF25+AH25+AJ25+AL25+AN25+AP25</f>
        <v>1419372</v>
      </c>
      <c r="AS25" s="129">
        <f>+AR25*100/AR30</f>
        <v>5.2327516696096552</v>
      </c>
      <c r="AT25" s="129">
        <f t="shared" si="2"/>
        <v>0</v>
      </c>
      <c r="AU25" s="129"/>
    </row>
    <row r="26" spans="1:47" s="7" customFormat="1" ht="16.5" customHeight="1" x14ac:dyDescent="0.2">
      <c r="A26" s="16"/>
      <c r="B26" s="17">
        <v>3.7</v>
      </c>
      <c r="C26" s="9" t="s">
        <v>13</v>
      </c>
      <c r="D26" s="6">
        <f>29500+2950</f>
        <v>32450</v>
      </c>
      <c r="E26" s="50"/>
      <c r="F26" s="6">
        <f>30000+3500</f>
        <v>33500</v>
      </c>
      <c r="G26" s="50"/>
      <c r="H26" s="6">
        <f>25000+1000</f>
        <v>26000</v>
      </c>
      <c r="I26" s="50"/>
      <c r="J26" s="6">
        <v>62000</v>
      </c>
      <c r="K26" s="50"/>
      <c r="L26" s="6">
        <v>55000</v>
      </c>
      <c r="M26" s="50"/>
      <c r="N26" s="6">
        <f>18479.41+1417</f>
        <v>19896.41</v>
      </c>
      <c r="O26" s="50"/>
      <c r="P26" s="6">
        <v>32703.67</v>
      </c>
      <c r="Q26" s="50"/>
      <c r="R26" s="6">
        <f>43000+4200</f>
        <v>47200</v>
      </c>
      <c r="S26" s="50"/>
      <c r="T26" s="6">
        <f>24000+2000</f>
        <v>26000</v>
      </c>
      <c r="U26" s="50"/>
      <c r="V26" s="6">
        <v>39600</v>
      </c>
      <c r="W26" s="50"/>
      <c r="X26" s="6">
        <v>63000</v>
      </c>
      <c r="Y26" s="50"/>
      <c r="Z26" s="6">
        <v>86900</v>
      </c>
      <c r="AA26" s="50"/>
      <c r="AB26" s="6">
        <v>38640</v>
      </c>
      <c r="AC26" s="50"/>
      <c r="AD26" s="6">
        <f>18000+6000</f>
        <v>24000</v>
      </c>
      <c r="AE26" s="50"/>
      <c r="AF26" s="6">
        <f>35000+5000+1400</f>
        <v>41400</v>
      </c>
      <c r="AG26" s="50"/>
      <c r="AH26" s="6">
        <v>23303.54</v>
      </c>
      <c r="AI26" s="50"/>
      <c r="AJ26" s="6">
        <v>24000</v>
      </c>
      <c r="AK26" s="50"/>
      <c r="AL26" s="6">
        <v>35000</v>
      </c>
      <c r="AM26" s="50"/>
      <c r="AN26" s="6">
        <v>46782.44</v>
      </c>
      <c r="AO26" s="50"/>
      <c r="AP26" s="6">
        <v>24000</v>
      </c>
      <c r="AQ26" s="50"/>
      <c r="AR26" s="6">
        <f>+D26+F26+H26+J26+L26+N26+P26+R26+T26+V26+X26+Z26+AB26+AD26+AF26+AH26+AJ26+AL26+AN26+AP26</f>
        <v>781376.06</v>
      </c>
      <c r="AS26" s="129">
        <f>+AR26*100/AR30</f>
        <v>2.8806732009353531</v>
      </c>
      <c r="AT26" s="129">
        <f t="shared" si="2"/>
        <v>0</v>
      </c>
      <c r="AU26" s="129"/>
    </row>
    <row r="27" spans="1:47" s="7" customFormat="1" ht="16.5" customHeight="1" x14ac:dyDescent="0.2">
      <c r="A27" s="16"/>
      <c r="B27" s="17">
        <v>3.8</v>
      </c>
      <c r="C27" s="9" t="s">
        <v>15</v>
      </c>
      <c r="D27" s="6">
        <f>17000+8500+9500+22000+30000+5900</f>
        <v>92900</v>
      </c>
      <c r="E27" s="50"/>
      <c r="F27" s="6">
        <v>45000</v>
      </c>
      <c r="G27" s="50"/>
      <c r="H27" s="6">
        <v>145300</v>
      </c>
      <c r="I27" s="50"/>
      <c r="J27" s="6">
        <v>411300</v>
      </c>
      <c r="K27" s="50"/>
      <c r="L27" s="6">
        <v>60300</v>
      </c>
      <c r="M27" s="50"/>
      <c r="N27" s="6">
        <v>104300</v>
      </c>
      <c r="O27" s="50"/>
      <c r="P27" s="6">
        <v>36390</v>
      </c>
      <c r="Q27" s="50"/>
      <c r="R27" s="6">
        <v>82500</v>
      </c>
      <c r="S27" s="50"/>
      <c r="T27" s="6">
        <v>69500</v>
      </c>
      <c r="U27" s="50"/>
      <c r="V27" s="6">
        <v>128600</v>
      </c>
      <c r="W27" s="50"/>
      <c r="X27" s="6">
        <v>80000</v>
      </c>
      <c r="Y27" s="50"/>
      <c r="Z27" s="6">
        <v>190800</v>
      </c>
      <c r="AA27" s="50"/>
      <c r="AB27" s="6">
        <v>66700</v>
      </c>
      <c r="AC27" s="50"/>
      <c r="AD27" s="6">
        <v>86000</v>
      </c>
      <c r="AE27" s="50"/>
      <c r="AF27" s="6">
        <v>51900</v>
      </c>
      <c r="AG27" s="50"/>
      <c r="AH27" s="6">
        <v>67900</v>
      </c>
      <c r="AI27" s="50"/>
      <c r="AJ27" s="6">
        <v>103700</v>
      </c>
      <c r="AK27" s="50"/>
      <c r="AL27" s="6">
        <v>46400</v>
      </c>
      <c r="AM27" s="50"/>
      <c r="AN27" s="6">
        <v>106000</v>
      </c>
      <c r="AO27" s="50"/>
      <c r="AP27" s="6">
        <v>155500</v>
      </c>
      <c r="AQ27" s="50"/>
      <c r="AR27" s="6">
        <f>+D27+F27+H27+J27+L27+N27+P27+R27+T27+V27+X27+Z27+AB27+AD27+AF27+AH27+AJ27+AL27+AN27+AP27</f>
        <v>2130990</v>
      </c>
      <c r="AS27" s="129">
        <f>+AR27*100/AR30</f>
        <v>7.856250144727019</v>
      </c>
      <c r="AT27" s="129">
        <f t="shared" si="2"/>
        <v>0</v>
      </c>
      <c r="AU27" s="129"/>
    </row>
    <row r="28" spans="1:47" s="7" customFormat="1" ht="16.5" customHeight="1" x14ac:dyDescent="0.2">
      <c r="A28" s="16"/>
      <c r="B28" s="17">
        <v>3.9</v>
      </c>
      <c r="C28" s="9" t="s">
        <v>16</v>
      </c>
      <c r="D28" s="6">
        <v>180000</v>
      </c>
      <c r="E28" s="50"/>
      <c r="F28" s="6"/>
      <c r="G28" s="50"/>
      <c r="H28" s="6"/>
      <c r="I28" s="50"/>
      <c r="J28" s="6"/>
      <c r="K28" s="50"/>
      <c r="L28" s="6"/>
      <c r="M28" s="50"/>
      <c r="N28" s="6"/>
      <c r="O28" s="50"/>
      <c r="P28" s="6"/>
      <c r="Q28" s="50"/>
      <c r="R28" s="6"/>
      <c r="S28" s="50"/>
      <c r="T28" s="6"/>
      <c r="U28" s="50"/>
      <c r="V28" s="6"/>
      <c r="W28" s="50"/>
      <c r="X28" s="6"/>
      <c r="Y28" s="50"/>
      <c r="Z28" s="6"/>
      <c r="AA28" s="50"/>
      <c r="AB28" s="6"/>
      <c r="AC28" s="50"/>
      <c r="AD28" s="6"/>
      <c r="AE28" s="50"/>
      <c r="AF28" s="6"/>
      <c r="AG28" s="50"/>
      <c r="AH28" s="6"/>
      <c r="AI28" s="50"/>
      <c r="AJ28" s="6"/>
      <c r="AK28" s="50"/>
      <c r="AL28" s="6"/>
      <c r="AM28" s="50"/>
      <c r="AN28" s="6"/>
      <c r="AO28" s="50"/>
      <c r="AP28" s="6"/>
      <c r="AQ28" s="50"/>
      <c r="AR28" s="6">
        <f>+D28+F28+H28+J28+L28+N28+P28+R28+T28+V28+X28+Z28+AB28+AD28+AF28+AH28+AJ28+AL28+AN28+AP28</f>
        <v>180000</v>
      </c>
      <c r="AS28" s="129">
        <f>+AR28*100/AR30</f>
        <v>0.66360002911832694</v>
      </c>
      <c r="AT28" s="129">
        <f t="shared" si="2"/>
        <v>0</v>
      </c>
      <c r="AU28" s="129"/>
    </row>
    <row r="29" spans="1:47" s="7" customFormat="1" ht="16.5" customHeight="1" x14ac:dyDescent="0.2">
      <c r="A29" s="16"/>
      <c r="B29" s="23">
        <v>3.1</v>
      </c>
      <c r="C29" s="9" t="s">
        <v>18</v>
      </c>
      <c r="D29" s="6"/>
      <c r="E29" s="50"/>
      <c r="F29" s="6"/>
      <c r="G29" s="50"/>
      <c r="H29" s="6"/>
      <c r="I29" s="50"/>
      <c r="J29" s="6"/>
      <c r="K29" s="50"/>
      <c r="L29" s="6"/>
      <c r="M29" s="50"/>
      <c r="N29" s="6"/>
      <c r="O29" s="50"/>
      <c r="P29" s="6"/>
      <c r="Q29" s="50"/>
      <c r="R29" s="6"/>
      <c r="S29" s="50"/>
      <c r="T29" s="6"/>
      <c r="U29" s="50"/>
      <c r="V29" s="6"/>
      <c r="W29" s="50"/>
      <c r="X29" s="6"/>
      <c r="Y29" s="50"/>
      <c r="Z29" s="6"/>
      <c r="AA29" s="50"/>
      <c r="AB29" s="6"/>
      <c r="AC29" s="50"/>
      <c r="AD29" s="6"/>
      <c r="AE29" s="50"/>
      <c r="AF29" s="6"/>
      <c r="AG29" s="50"/>
      <c r="AH29" s="6"/>
      <c r="AI29" s="50"/>
      <c r="AJ29" s="6"/>
      <c r="AK29" s="50"/>
      <c r="AL29" s="6"/>
      <c r="AM29" s="50"/>
      <c r="AN29" s="6"/>
      <c r="AO29" s="50"/>
      <c r="AP29" s="6"/>
      <c r="AQ29" s="50"/>
      <c r="AR29" s="6">
        <f>+D29+F29+H29+J29+L29+N29+P29+R29+T29+V29+X29+Z29+AB29+AD29+AF29+AH29+AJ29+AL29+AN29+AP29</f>
        <v>0</v>
      </c>
      <c r="AS29" s="6"/>
      <c r="AT29" s="6">
        <f t="shared" si="2"/>
        <v>0</v>
      </c>
      <c r="AU29" s="6"/>
    </row>
    <row r="30" spans="1:47" s="7" customFormat="1" ht="16.5" customHeight="1" x14ac:dyDescent="0.2">
      <c r="A30" s="19"/>
      <c r="B30" s="20"/>
      <c r="C30" s="24" t="s">
        <v>19</v>
      </c>
      <c r="D30" s="22">
        <f>+D19</f>
        <v>1870677</v>
      </c>
      <c r="E30" s="67"/>
      <c r="F30" s="22">
        <f t="shared" ref="F30:L30" si="8">+F19</f>
        <v>1458842</v>
      </c>
      <c r="G30" s="67"/>
      <c r="H30" s="22">
        <f t="shared" si="8"/>
        <v>1108795</v>
      </c>
      <c r="I30" s="67"/>
      <c r="J30" s="22">
        <f t="shared" si="8"/>
        <v>2510220</v>
      </c>
      <c r="K30" s="67"/>
      <c r="L30" s="22">
        <f t="shared" si="8"/>
        <v>1466615.8</v>
      </c>
      <c r="M30" s="67"/>
      <c r="N30" s="22">
        <f>+N19</f>
        <v>941192.64</v>
      </c>
      <c r="O30" s="67"/>
      <c r="P30" s="22">
        <f t="shared" ref="P30:AP30" si="9">+P19</f>
        <v>935680.66000000015</v>
      </c>
      <c r="Q30" s="67"/>
      <c r="R30" s="22">
        <f>+R19</f>
        <v>1272841.3599999999</v>
      </c>
      <c r="S30" s="67"/>
      <c r="T30" s="22">
        <f t="shared" si="9"/>
        <v>715787</v>
      </c>
      <c r="U30" s="67"/>
      <c r="V30" s="22">
        <f t="shared" si="9"/>
        <v>1219510</v>
      </c>
      <c r="W30" s="67"/>
      <c r="X30" s="22">
        <f t="shared" si="9"/>
        <v>1780780</v>
      </c>
      <c r="Y30" s="67"/>
      <c r="Z30" s="22">
        <f t="shared" ref="Z30:AF30" si="10">+Z19</f>
        <v>2545357</v>
      </c>
      <c r="AA30" s="67"/>
      <c r="AB30" s="22">
        <f t="shared" si="10"/>
        <v>1631633.23</v>
      </c>
      <c r="AC30" s="67"/>
      <c r="AD30" s="22">
        <f t="shared" si="10"/>
        <v>1347288.23</v>
      </c>
      <c r="AE30" s="67"/>
      <c r="AF30" s="22">
        <f t="shared" si="10"/>
        <v>1331629</v>
      </c>
      <c r="AG30" s="67"/>
      <c r="AH30" s="22">
        <f t="shared" si="9"/>
        <v>706762.5</v>
      </c>
      <c r="AI30" s="67"/>
      <c r="AJ30" s="22">
        <f t="shared" si="9"/>
        <v>1219560</v>
      </c>
      <c r="AK30" s="67"/>
      <c r="AL30" s="22">
        <f t="shared" si="9"/>
        <v>807155.27</v>
      </c>
      <c r="AM30" s="67"/>
      <c r="AN30" s="22">
        <f t="shared" si="9"/>
        <v>1405073.72</v>
      </c>
      <c r="AO30" s="67"/>
      <c r="AP30" s="22">
        <f t="shared" si="9"/>
        <v>849372.36</v>
      </c>
      <c r="AQ30" s="67"/>
      <c r="AR30" s="22">
        <f>+D30+F30+H30+J30+L30+N30+P30+R30+T30+V30+X30+Z30+AB30+AD30+AF30+AH30+AJ30+AL30+AN30+AP30</f>
        <v>27124772.77</v>
      </c>
      <c r="AS30" s="187">
        <f>SUM(AS20:AS29)</f>
        <v>99.999999999999986</v>
      </c>
      <c r="AT30" s="22">
        <f t="shared" si="2"/>
        <v>0</v>
      </c>
      <c r="AU30" s="22"/>
    </row>
    <row r="31" spans="1:47" s="7" customFormat="1" ht="16.5" customHeight="1" x14ac:dyDescent="0.2">
      <c r="A31" s="19">
        <v>4</v>
      </c>
      <c r="B31" s="20"/>
      <c r="C31" s="24" t="s">
        <v>37</v>
      </c>
      <c r="D31" s="22">
        <f t="shared" ref="D31:AJ31" si="11">+D4+D5-D30</f>
        <v>663761.75</v>
      </c>
      <c r="E31" s="67"/>
      <c r="F31" s="22">
        <f t="shared" si="11"/>
        <v>418635.86999999988</v>
      </c>
      <c r="G31" s="67"/>
      <c r="H31" s="22">
        <f t="shared" si="11"/>
        <v>233477.52000000002</v>
      </c>
      <c r="I31" s="67"/>
      <c r="J31" s="22">
        <f t="shared" si="11"/>
        <v>658022.83999999985</v>
      </c>
      <c r="K31" s="67"/>
      <c r="L31" s="22">
        <f t="shared" si="11"/>
        <v>425057.2899999998</v>
      </c>
      <c r="M31" s="67"/>
      <c r="N31" s="22">
        <f t="shared" si="11"/>
        <v>944121.42</v>
      </c>
      <c r="O31" s="67"/>
      <c r="P31" s="22">
        <f t="shared" si="11"/>
        <v>805097.17999999993</v>
      </c>
      <c r="Q31" s="67"/>
      <c r="R31" s="22">
        <f t="shared" si="11"/>
        <v>422791.52</v>
      </c>
      <c r="S31" s="67"/>
      <c r="T31" s="22">
        <f t="shared" si="11"/>
        <v>437360.16999999993</v>
      </c>
      <c r="U31" s="67"/>
      <c r="V31" s="22">
        <f t="shared" ref="V31" si="12">+V4+V5-V30</f>
        <v>475853.07999999984</v>
      </c>
      <c r="W31" s="67"/>
      <c r="X31" s="22">
        <f t="shared" ref="X31:AD31" si="13">+X4+X5-X30</f>
        <v>385876.78000000026</v>
      </c>
      <c r="Y31" s="67"/>
      <c r="Z31" s="22">
        <f t="shared" si="13"/>
        <v>1355040.3099999996</v>
      </c>
      <c r="AA31" s="67"/>
      <c r="AB31" s="22">
        <f t="shared" si="13"/>
        <v>887451.34999999963</v>
      </c>
      <c r="AC31" s="67"/>
      <c r="AD31" s="22">
        <f t="shared" si="13"/>
        <v>421470.09000000008</v>
      </c>
      <c r="AE31" s="67"/>
      <c r="AF31" s="22">
        <f>+AF4+AF5-AF30</f>
        <v>412797.17999999993</v>
      </c>
      <c r="AG31" s="67"/>
      <c r="AH31" s="22">
        <f>+AH4+AH5-AH30</f>
        <v>237390.56000000006</v>
      </c>
      <c r="AI31" s="67"/>
      <c r="AJ31" s="22">
        <f t="shared" si="11"/>
        <v>198643.15999999992</v>
      </c>
      <c r="AK31" s="67"/>
      <c r="AL31" s="22">
        <f>+AL4+AL5-AL30</f>
        <v>785654.33999999985</v>
      </c>
      <c r="AM31" s="67"/>
      <c r="AN31" s="22">
        <f>+AN4+AN5-AN30</f>
        <v>347296.83000000007</v>
      </c>
      <c r="AO31" s="67"/>
      <c r="AP31" s="22">
        <f>+AP4+AP5-AP30</f>
        <v>269339.97000000009</v>
      </c>
      <c r="AQ31" s="67"/>
      <c r="AR31" s="22">
        <f>+D31+F31+H31+J31+L31+N31+P31+R31+T31+V31+X31+Z31+AB31+AD31+AF31+AH31+AJ31+AL31+AN31+AP31</f>
        <v>10785139.209999999</v>
      </c>
      <c r="AS31" s="22"/>
      <c r="AT31" s="22">
        <f t="shared" si="2"/>
        <v>0</v>
      </c>
      <c r="AU31" s="22"/>
    </row>
    <row r="32" spans="1:47" s="7" customFormat="1" ht="27" customHeight="1" x14ac:dyDescent="0.2">
      <c r="A32" s="11">
        <v>5</v>
      </c>
      <c r="B32" s="17"/>
      <c r="C32" s="18" t="s">
        <v>82</v>
      </c>
      <c r="D32" s="6">
        <f t="shared" ref="D32:AP32" si="14">+D33+D34</f>
        <v>124728.33333333333</v>
      </c>
      <c r="E32" s="50"/>
      <c r="F32" s="6">
        <f t="shared" si="14"/>
        <v>72043.333333333328</v>
      </c>
      <c r="G32" s="50"/>
      <c r="H32" s="6">
        <f t="shared" si="14"/>
        <v>42104.333333333336</v>
      </c>
      <c r="I32" s="50"/>
      <c r="J32" s="6">
        <f t="shared" si="14"/>
        <v>68963.333333333328</v>
      </c>
      <c r="K32" s="50"/>
      <c r="L32" s="6">
        <f>+L33+L34</f>
        <v>105850.66666666667</v>
      </c>
      <c r="M32" s="50"/>
      <c r="N32" s="6">
        <f t="shared" si="14"/>
        <v>32656.068333333333</v>
      </c>
      <c r="O32" s="50"/>
      <c r="P32" s="6">
        <f t="shared" si="14"/>
        <v>59006.611666666664</v>
      </c>
      <c r="Q32" s="50"/>
      <c r="R32" s="6">
        <f t="shared" si="14"/>
        <v>63558.666666666664</v>
      </c>
      <c r="S32" s="50"/>
      <c r="T32" s="6">
        <f t="shared" si="14"/>
        <v>41982.333333333336</v>
      </c>
      <c r="U32" s="50"/>
      <c r="V32" s="6">
        <f t="shared" ref="V32:AD32" si="15">+V33+V34</f>
        <v>74820</v>
      </c>
      <c r="W32" s="50"/>
      <c r="X32" s="6">
        <f t="shared" si="15"/>
        <v>106740</v>
      </c>
      <c r="Y32" s="50"/>
      <c r="Z32" s="6">
        <f t="shared" si="15"/>
        <v>110973.33333333333</v>
      </c>
      <c r="AA32" s="50"/>
      <c r="AB32" s="6">
        <f t="shared" si="15"/>
        <v>83636</v>
      </c>
      <c r="AC32" s="50"/>
      <c r="AD32" s="6">
        <f t="shared" si="15"/>
        <v>81176</v>
      </c>
      <c r="AE32" s="50"/>
      <c r="AF32" s="6">
        <f t="shared" ref="AF32" si="16">+AF33+AF34</f>
        <v>83332</v>
      </c>
      <c r="AG32" s="50"/>
      <c r="AH32" s="6">
        <f t="shared" si="14"/>
        <v>15883.923333333334</v>
      </c>
      <c r="AI32" s="50"/>
      <c r="AJ32" s="6">
        <f t="shared" si="14"/>
        <v>79550</v>
      </c>
      <c r="AK32" s="50"/>
      <c r="AL32" s="6">
        <f t="shared" si="14"/>
        <v>39033.333333333336</v>
      </c>
      <c r="AM32" s="50"/>
      <c r="AN32" s="6">
        <f t="shared" si="14"/>
        <v>30241.24</v>
      </c>
      <c r="AO32" s="50"/>
      <c r="AP32" s="6">
        <f t="shared" si="14"/>
        <v>19750</v>
      </c>
      <c r="AQ32" s="50"/>
      <c r="AR32" s="6">
        <f>+D32+F32+H32+J32+L32+N32+P32+R32+T32+V32+X32+Z32+AB32+AD32+AF32+AH32+AJ32+AL32+AN32+AP32</f>
        <v>1336029.51</v>
      </c>
      <c r="AS32" s="6"/>
      <c r="AT32" s="6">
        <f t="shared" si="2"/>
        <v>0</v>
      </c>
      <c r="AU32" s="6"/>
    </row>
    <row r="33" spans="1:47" s="7" customFormat="1" ht="16.5" hidden="1" customHeight="1" x14ac:dyDescent="0.2">
      <c r="A33" s="16"/>
      <c r="B33" s="17"/>
      <c r="C33" s="8" t="s">
        <v>41</v>
      </c>
      <c r="D33" s="6">
        <f t="shared" ref="D33:AP33" si="17">+D22/12*2</f>
        <v>119320</v>
      </c>
      <c r="E33" s="50"/>
      <c r="F33" s="6">
        <f t="shared" si="17"/>
        <v>66460</v>
      </c>
      <c r="G33" s="50"/>
      <c r="H33" s="6">
        <f t="shared" si="17"/>
        <v>37771</v>
      </c>
      <c r="I33" s="50"/>
      <c r="J33" s="6">
        <f t="shared" si="17"/>
        <v>58630</v>
      </c>
      <c r="K33" s="50"/>
      <c r="L33" s="6">
        <f t="shared" si="17"/>
        <v>96684</v>
      </c>
      <c r="M33" s="50"/>
      <c r="N33" s="6">
        <f t="shared" si="17"/>
        <v>29340</v>
      </c>
      <c r="O33" s="50"/>
      <c r="P33" s="6">
        <f t="shared" si="17"/>
        <v>53556</v>
      </c>
      <c r="Q33" s="50"/>
      <c r="R33" s="6">
        <f t="shared" si="17"/>
        <v>55692</v>
      </c>
      <c r="S33" s="50"/>
      <c r="T33" s="6">
        <f t="shared" si="17"/>
        <v>37649</v>
      </c>
      <c r="U33" s="50"/>
      <c r="V33" s="6">
        <f t="shared" ref="V33:AD33" si="18">+V22/12*2</f>
        <v>68220</v>
      </c>
      <c r="W33" s="50"/>
      <c r="X33" s="6">
        <f t="shared" si="18"/>
        <v>96240</v>
      </c>
      <c r="Y33" s="50"/>
      <c r="Z33" s="6">
        <f t="shared" si="18"/>
        <v>96490</v>
      </c>
      <c r="AA33" s="50"/>
      <c r="AB33" s="6">
        <f t="shared" si="18"/>
        <v>77196</v>
      </c>
      <c r="AC33" s="50"/>
      <c r="AD33" s="6">
        <f t="shared" si="18"/>
        <v>77176</v>
      </c>
      <c r="AE33" s="50"/>
      <c r="AF33" s="6">
        <f t="shared" ref="AF33" si="19">+AF22/12*2</f>
        <v>76432</v>
      </c>
      <c r="AG33" s="50"/>
      <c r="AH33" s="6">
        <f t="shared" si="17"/>
        <v>12000</v>
      </c>
      <c r="AI33" s="50"/>
      <c r="AJ33" s="6">
        <f t="shared" si="17"/>
        <v>75550</v>
      </c>
      <c r="AK33" s="50"/>
      <c r="AL33" s="6">
        <f t="shared" si="17"/>
        <v>33200</v>
      </c>
      <c r="AM33" s="50"/>
      <c r="AN33" s="6">
        <f t="shared" si="17"/>
        <v>22444.166666666668</v>
      </c>
      <c r="AO33" s="50"/>
      <c r="AP33" s="6">
        <f t="shared" si="17"/>
        <v>15750</v>
      </c>
      <c r="AQ33" s="50"/>
      <c r="AR33" s="6">
        <f>SUM(D33:AP33)</f>
        <v>1205800.1666666667</v>
      </c>
      <c r="AS33" s="6"/>
      <c r="AT33" s="6"/>
      <c r="AU33" s="6"/>
    </row>
    <row r="34" spans="1:47" s="7" customFormat="1" ht="16.5" hidden="1" customHeight="1" x14ac:dyDescent="0.2">
      <c r="A34" s="16"/>
      <c r="B34" s="17"/>
      <c r="C34" s="8" t="s">
        <v>42</v>
      </c>
      <c r="D34" s="6">
        <f t="shared" ref="D34:AP34" si="20">+D26/12*2</f>
        <v>5408.333333333333</v>
      </c>
      <c r="E34" s="50"/>
      <c r="F34" s="6">
        <f t="shared" si="20"/>
        <v>5583.333333333333</v>
      </c>
      <c r="G34" s="50"/>
      <c r="H34" s="6">
        <f t="shared" si="20"/>
        <v>4333.333333333333</v>
      </c>
      <c r="I34" s="50"/>
      <c r="J34" s="6">
        <f t="shared" si="20"/>
        <v>10333.333333333334</v>
      </c>
      <c r="K34" s="50"/>
      <c r="L34" s="6">
        <f t="shared" si="20"/>
        <v>9166.6666666666661</v>
      </c>
      <c r="M34" s="50"/>
      <c r="N34" s="6">
        <f t="shared" si="20"/>
        <v>3316.0683333333332</v>
      </c>
      <c r="O34" s="50"/>
      <c r="P34" s="6">
        <f t="shared" si="20"/>
        <v>5450.6116666666667</v>
      </c>
      <c r="Q34" s="50"/>
      <c r="R34" s="6">
        <f t="shared" si="20"/>
        <v>7866.666666666667</v>
      </c>
      <c r="S34" s="50"/>
      <c r="T34" s="6">
        <f t="shared" si="20"/>
        <v>4333.333333333333</v>
      </c>
      <c r="U34" s="50"/>
      <c r="V34" s="6">
        <f t="shared" ref="V34:AD34" si="21">+V26/12*2</f>
        <v>6600</v>
      </c>
      <c r="W34" s="50"/>
      <c r="X34" s="6">
        <f t="shared" si="21"/>
        <v>10500</v>
      </c>
      <c r="Y34" s="50"/>
      <c r="Z34" s="6">
        <f t="shared" si="21"/>
        <v>14483.333333333334</v>
      </c>
      <c r="AA34" s="50"/>
      <c r="AB34" s="6">
        <f t="shared" si="21"/>
        <v>6440</v>
      </c>
      <c r="AC34" s="50"/>
      <c r="AD34" s="6">
        <f t="shared" si="21"/>
        <v>4000</v>
      </c>
      <c r="AE34" s="50"/>
      <c r="AF34" s="6">
        <f t="shared" ref="AF34" si="22">+AF26/12*2</f>
        <v>6900</v>
      </c>
      <c r="AG34" s="50"/>
      <c r="AH34" s="6">
        <f t="shared" si="20"/>
        <v>3883.9233333333336</v>
      </c>
      <c r="AI34" s="50"/>
      <c r="AJ34" s="6">
        <f t="shared" si="20"/>
        <v>4000</v>
      </c>
      <c r="AK34" s="50"/>
      <c r="AL34" s="6">
        <f t="shared" si="20"/>
        <v>5833.333333333333</v>
      </c>
      <c r="AM34" s="50"/>
      <c r="AN34" s="6">
        <f t="shared" si="20"/>
        <v>7797.0733333333337</v>
      </c>
      <c r="AO34" s="50"/>
      <c r="AP34" s="6">
        <f t="shared" si="20"/>
        <v>4000</v>
      </c>
      <c r="AQ34" s="50"/>
      <c r="AR34" s="6">
        <f>SUM(D34:AP34)</f>
        <v>130229.34333333332</v>
      </c>
      <c r="AS34" s="6"/>
      <c r="AT34" s="6"/>
      <c r="AU34" s="6"/>
    </row>
    <row r="35" spans="1:47" s="7" customFormat="1" ht="16.5" hidden="1" customHeight="1" x14ac:dyDescent="0.2">
      <c r="A35" s="25">
        <v>6</v>
      </c>
      <c r="B35" s="26"/>
      <c r="C35" s="27" t="s">
        <v>25</v>
      </c>
      <c r="D35" s="28">
        <f t="shared" ref="D35:AP35" si="23">+D31-D32</f>
        <v>539033.41666666663</v>
      </c>
      <c r="E35" s="77"/>
      <c r="F35" s="28">
        <f t="shared" si="23"/>
        <v>346592.53666666656</v>
      </c>
      <c r="G35" s="77"/>
      <c r="H35" s="28">
        <f t="shared" si="23"/>
        <v>191373.18666666668</v>
      </c>
      <c r="I35" s="77"/>
      <c r="J35" s="28">
        <f t="shared" si="23"/>
        <v>589059.50666666648</v>
      </c>
      <c r="K35" s="77"/>
      <c r="L35" s="28">
        <f t="shared" si="23"/>
        <v>319206.62333333312</v>
      </c>
      <c r="M35" s="77"/>
      <c r="N35" s="28">
        <f t="shared" si="23"/>
        <v>911465.35166666668</v>
      </c>
      <c r="O35" s="77"/>
      <c r="P35" s="28">
        <f t="shared" si="23"/>
        <v>746090.56833333324</v>
      </c>
      <c r="Q35" s="77"/>
      <c r="R35" s="28">
        <f t="shared" si="23"/>
        <v>359232.85333333333</v>
      </c>
      <c r="S35" s="77"/>
      <c r="T35" s="28">
        <f t="shared" si="23"/>
        <v>395377.83666666661</v>
      </c>
      <c r="U35" s="77"/>
      <c r="V35" s="28">
        <f t="shared" ref="V35:AD35" si="24">+V31-V32</f>
        <v>401033.07999999984</v>
      </c>
      <c r="W35" s="77"/>
      <c r="X35" s="28">
        <f t="shared" si="24"/>
        <v>279136.78000000026</v>
      </c>
      <c r="Y35" s="77"/>
      <c r="Z35" s="28">
        <f t="shared" si="24"/>
        <v>1244066.9766666663</v>
      </c>
      <c r="AA35" s="77"/>
      <c r="AB35" s="28">
        <f t="shared" si="24"/>
        <v>803815.34999999963</v>
      </c>
      <c r="AC35" s="77"/>
      <c r="AD35" s="28">
        <f t="shared" si="24"/>
        <v>340294.09000000008</v>
      </c>
      <c r="AE35" s="77"/>
      <c r="AF35" s="28">
        <f t="shared" ref="AF35" si="25">+AF31-AF32</f>
        <v>329465.17999999993</v>
      </c>
      <c r="AG35" s="77"/>
      <c r="AH35" s="28">
        <f t="shared" si="23"/>
        <v>221506.63666666672</v>
      </c>
      <c r="AI35" s="77"/>
      <c r="AJ35" s="28">
        <f t="shared" si="23"/>
        <v>119093.15999999992</v>
      </c>
      <c r="AK35" s="77"/>
      <c r="AL35" s="28">
        <f t="shared" si="23"/>
        <v>746621.00666666648</v>
      </c>
      <c r="AM35" s="77"/>
      <c r="AN35" s="28">
        <f t="shared" si="23"/>
        <v>317055.59000000008</v>
      </c>
      <c r="AO35" s="77"/>
      <c r="AP35" s="28">
        <f t="shared" si="23"/>
        <v>249589.97000000009</v>
      </c>
      <c r="AQ35" s="77"/>
      <c r="AR35" s="28">
        <f>SUM(D35:AP35)</f>
        <v>9449109.6999999993</v>
      </c>
      <c r="AS35" s="28"/>
      <c r="AT35" s="28"/>
      <c r="AU35" s="28"/>
    </row>
    <row r="38" spans="1:47" x14ac:dyDescent="0.55000000000000004">
      <c r="D38" s="38"/>
      <c r="F38" s="38"/>
      <c r="H38" s="38"/>
      <c r="J38" s="38"/>
      <c r="L38" s="38"/>
      <c r="N38" s="38"/>
      <c r="P38" s="38"/>
      <c r="R38" s="208"/>
      <c r="S38" s="208"/>
      <c r="T38" s="208"/>
      <c r="U38" s="193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38"/>
      <c r="AT38" s="38"/>
      <c r="AU38" s="38"/>
    </row>
    <row r="39" spans="1:47" x14ac:dyDescent="0.55000000000000004">
      <c r="R39" s="208"/>
      <c r="S39" s="208"/>
      <c r="T39" s="208"/>
      <c r="U39" s="193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</row>
    <row r="40" spans="1:47" x14ac:dyDescent="0.55000000000000004">
      <c r="R40" s="208"/>
      <c r="S40" s="208"/>
      <c r="T40" s="208"/>
      <c r="U40" s="193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</row>
    <row r="41" spans="1:47" x14ac:dyDescent="0.55000000000000004">
      <c r="R41" s="208"/>
      <c r="S41" s="208"/>
      <c r="T41" s="208"/>
      <c r="U41" s="193"/>
      <c r="W41" s="193"/>
      <c r="Y41" s="193"/>
      <c r="AA41" s="193"/>
      <c r="AC41" s="193"/>
      <c r="AE41" s="193"/>
      <c r="AG41" s="193"/>
      <c r="AI41" s="193"/>
      <c r="AK41" s="193"/>
      <c r="AM41" s="193"/>
      <c r="AO41" s="193"/>
      <c r="AQ41" s="193"/>
    </row>
  </sheetData>
  <mergeCells count="54">
    <mergeCell ref="AI2:AI3"/>
    <mergeCell ref="AK2:AK3"/>
    <mergeCell ref="AM2:AM3"/>
    <mergeCell ref="AO2:AO3"/>
    <mergeCell ref="AQ2:AQ3"/>
    <mergeCell ref="Q2:Q3"/>
    <mergeCell ref="S2:S3"/>
    <mergeCell ref="U2:U3"/>
    <mergeCell ref="W2:W3"/>
    <mergeCell ref="Y2:Y3"/>
    <mergeCell ref="G2:G3"/>
    <mergeCell ref="I2:I3"/>
    <mergeCell ref="K2:K3"/>
    <mergeCell ref="M2:M3"/>
    <mergeCell ref="O2:O3"/>
    <mergeCell ref="R38:T38"/>
    <mergeCell ref="R39:T39"/>
    <mergeCell ref="R40:T40"/>
    <mergeCell ref="R41:T41"/>
    <mergeCell ref="V38:AR38"/>
    <mergeCell ref="V39:AR39"/>
    <mergeCell ref="V40:AR40"/>
    <mergeCell ref="P2:P3"/>
    <mergeCell ref="A1:AR1"/>
    <mergeCell ref="A2:B3"/>
    <mergeCell ref="C2:C3"/>
    <mergeCell ref="D2:D3"/>
    <mergeCell ref="F2:F3"/>
    <mergeCell ref="H2:H3"/>
    <mergeCell ref="J2:J3"/>
    <mergeCell ref="L2:L3"/>
    <mergeCell ref="N2:N3"/>
    <mergeCell ref="AL2:AL3"/>
    <mergeCell ref="AN2:AN3"/>
    <mergeCell ref="AP2:AP3"/>
    <mergeCell ref="AR2:AR3"/>
    <mergeCell ref="AD2:AD3"/>
    <mergeCell ref="E2:E3"/>
    <mergeCell ref="AS2:AS3"/>
    <mergeCell ref="AT2:AT3"/>
    <mergeCell ref="AU2:AU3"/>
    <mergeCell ref="R2:R3"/>
    <mergeCell ref="T2:T3"/>
    <mergeCell ref="AH2:AH3"/>
    <mergeCell ref="AJ2:AJ3"/>
    <mergeCell ref="V2:V3"/>
    <mergeCell ref="X2:X3"/>
    <mergeCell ref="Z2:Z3"/>
    <mergeCell ref="AB2:AB3"/>
    <mergeCell ref="AF2:AF3"/>
    <mergeCell ref="AA2:AA3"/>
    <mergeCell ref="AC2:AC3"/>
    <mergeCell ref="AE2:AE3"/>
    <mergeCell ref="AG2:AG3"/>
  </mergeCells>
  <pageMargins left="0.15748031496062992" right="0.15748031496062992" top="0.19685039370078741" bottom="0.19685039370078741" header="0.11811023622047245" footer="0.11811023622047245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38"/>
  <sheetViews>
    <sheetView view="pageBreakPreview" zoomScale="92" zoomScaleNormal="110" zoomScaleSheetLayoutView="92" workbookViewId="0">
      <pane xSplit="3" ySplit="3" topLeftCell="AC4" activePane="bottomRight" state="frozen"/>
      <selection activeCell="K36" sqref="K36"/>
      <selection pane="topRight" activeCell="K36" sqref="K36"/>
      <selection pane="bottomLeft" activeCell="K36" sqref="K36"/>
      <selection pane="bottomRight" activeCell="AY10" sqref="AY10"/>
    </sheetView>
  </sheetViews>
  <sheetFormatPr defaultRowHeight="24" x14ac:dyDescent="0.55000000000000004"/>
  <cols>
    <col min="1" max="1" width="2" style="1" customWidth="1"/>
    <col min="2" max="2" width="3.125" style="1" customWidth="1"/>
    <col min="3" max="3" width="15.5" style="1" customWidth="1"/>
    <col min="4" max="5" width="6.25" style="1" customWidth="1"/>
    <col min="6" max="7" width="6.375" style="1" customWidth="1"/>
    <col min="8" max="9" width="6.625" style="1" customWidth="1"/>
    <col min="10" max="11" width="6.25" style="1" customWidth="1"/>
    <col min="12" max="13" width="6.125" style="1" customWidth="1"/>
    <col min="14" max="14" width="5.375" style="1" customWidth="1"/>
    <col min="15" max="17" width="6.375" style="1" customWidth="1"/>
    <col min="18" max="19" width="6.5" style="1" customWidth="1"/>
    <col min="20" max="21" width="6.25" style="1" customWidth="1"/>
    <col min="22" max="23" width="6.5" style="1" customWidth="1"/>
    <col min="24" max="25" width="6.75" style="1" customWidth="1"/>
    <col min="26" max="31" width="6.375" style="1" customWidth="1"/>
    <col min="32" max="33" width="6.25" style="1" customWidth="1"/>
    <col min="34" max="35" width="6" style="1" customWidth="1"/>
    <col min="36" max="37" width="6.25" style="1" customWidth="1"/>
    <col min="38" max="38" width="5.75" style="1" customWidth="1"/>
    <col min="39" max="39" width="6.75" style="1" customWidth="1"/>
    <col min="40" max="41" width="6.25" style="1" customWidth="1"/>
    <col min="42" max="43" width="6.625" style="1" customWidth="1"/>
    <col min="44" max="45" width="6.75" style="1" customWidth="1"/>
    <col min="46" max="49" width="7.125" style="1" customWidth="1"/>
    <col min="50" max="16384" width="9" style="1"/>
  </cols>
  <sheetData>
    <row r="1" spans="1:49" ht="16.5" customHeight="1" x14ac:dyDescent="0.55000000000000004">
      <c r="A1" s="207" t="s">
        <v>69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</row>
    <row r="2" spans="1:49" s="2" customFormat="1" ht="18" customHeight="1" x14ac:dyDescent="0.4">
      <c r="A2" s="197" t="s">
        <v>0</v>
      </c>
      <c r="B2" s="198"/>
      <c r="C2" s="201" t="s">
        <v>81</v>
      </c>
      <c r="D2" s="195" t="s">
        <v>46</v>
      </c>
      <c r="E2" s="203" t="s">
        <v>165</v>
      </c>
      <c r="F2" s="195" t="s">
        <v>47</v>
      </c>
      <c r="G2" s="203" t="s">
        <v>165</v>
      </c>
      <c r="H2" s="195" t="s">
        <v>48</v>
      </c>
      <c r="I2" s="203" t="s">
        <v>165</v>
      </c>
      <c r="J2" s="195" t="s">
        <v>49</v>
      </c>
      <c r="K2" s="203" t="s">
        <v>165</v>
      </c>
      <c r="L2" s="195" t="s">
        <v>50</v>
      </c>
      <c r="M2" s="203" t="s">
        <v>165</v>
      </c>
      <c r="N2" s="194" t="s">
        <v>88</v>
      </c>
      <c r="O2" s="203" t="s">
        <v>165</v>
      </c>
      <c r="P2" s="195" t="s">
        <v>51</v>
      </c>
      <c r="Q2" s="203" t="s">
        <v>165</v>
      </c>
      <c r="R2" s="194" t="s">
        <v>89</v>
      </c>
      <c r="S2" s="203" t="s">
        <v>165</v>
      </c>
      <c r="T2" s="194" t="s">
        <v>90</v>
      </c>
      <c r="U2" s="203" t="s">
        <v>165</v>
      </c>
      <c r="V2" s="195" t="s">
        <v>52</v>
      </c>
      <c r="W2" s="203" t="s">
        <v>165</v>
      </c>
      <c r="X2" s="195" t="s">
        <v>53</v>
      </c>
      <c r="Y2" s="203" t="s">
        <v>165</v>
      </c>
      <c r="Z2" s="195" t="s">
        <v>54</v>
      </c>
      <c r="AA2" s="203" t="s">
        <v>165</v>
      </c>
      <c r="AB2" s="195" t="s">
        <v>55</v>
      </c>
      <c r="AC2" s="203" t="s">
        <v>165</v>
      </c>
      <c r="AD2" s="195" t="s">
        <v>56</v>
      </c>
      <c r="AE2" s="203" t="s">
        <v>165</v>
      </c>
      <c r="AF2" s="195" t="s">
        <v>57</v>
      </c>
      <c r="AG2" s="203" t="s">
        <v>165</v>
      </c>
      <c r="AH2" s="195" t="s">
        <v>58</v>
      </c>
      <c r="AI2" s="203" t="s">
        <v>165</v>
      </c>
      <c r="AJ2" s="195" t="s">
        <v>59</v>
      </c>
      <c r="AK2" s="203" t="s">
        <v>165</v>
      </c>
      <c r="AL2" s="195" t="s">
        <v>60</v>
      </c>
      <c r="AM2" s="203" t="s">
        <v>165</v>
      </c>
      <c r="AN2" s="195" t="s">
        <v>61</v>
      </c>
      <c r="AO2" s="203" t="s">
        <v>165</v>
      </c>
      <c r="AP2" s="195" t="s">
        <v>62</v>
      </c>
      <c r="AQ2" s="203" t="s">
        <v>165</v>
      </c>
      <c r="AR2" s="195" t="s">
        <v>63</v>
      </c>
      <c r="AS2" s="203" t="s">
        <v>165</v>
      </c>
      <c r="AT2" s="194" t="s">
        <v>166</v>
      </c>
      <c r="AU2" s="194" t="s">
        <v>159</v>
      </c>
      <c r="AV2" s="194" t="s">
        <v>167</v>
      </c>
      <c r="AW2" s="194" t="s">
        <v>168</v>
      </c>
    </row>
    <row r="3" spans="1:49" s="2" customFormat="1" ht="29.25" customHeight="1" x14ac:dyDescent="0.4">
      <c r="A3" s="199"/>
      <c r="B3" s="200"/>
      <c r="C3" s="202"/>
      <c r="D3" s="195"/>
      <c r="E3" s="206"/>
      <c r="F3" s="195"/>
      <c r="G3" s="206"/>
      <c r="H3" s="195"/>
      <c r="I3" s="206"/>
      <c r="J3" s="195"/>
      <c r="K3" s="206"/>
      <c r="L3" s="195"/>
      <c r="M3" s="206"/>
      <c r="N3" s="195"/>
      <c r="O3" s="206"/>
      <c r="P3" s="195"/>
      <c r="Q3" s="206"/>
      <c r="R3" s="195"/>
      <c r="S3" s="206"/>
      <c r="T3" s="195"/>
      <c r="U3" s="206"/>
      <c r="V3" s="195"/>
      <c r="W3" s="206"/>
      <c r="X3" s="195"/>
      <c r="Y3" s="206"/>
      <c r="Z3" s="195"/>
      <c r="AA3" s="206"/>
      <c r="AB3" s="195"/>
      <c r="AC3" s="206"/>
      <c r="AD3" s="195"/>
      <c r="AE3" s="206"/>
      <c r="AF3" s="195"/>
      <c r="AG3" s="206"/>
      <c r="AH3" s="195"/>
      <c r="AI3" s="206"/>
      <c r="AJ3" s="195"/>
      <c r="AK3" s="206"/>
      <c r="AL3" s="195"/>
      <c r="AM3" s="206"/>
      <c r="AN3" s="195"/>
      <c r="AO3" s="206"/>
      <c r="AP3" s="195"/>
      <c r="AQ3" s="206"/>
      <c r="AR3" s="195"/>
      <c r="AS3" s="206"/>
      <c r="AT3" s="195"/>
      <c r="AU3" s="195"/>
      <c r="AV3" s="195"/>
      <c r="AW3" s="195"/>
    </row>
    <row r="4" spans="1:49" s="7" customFormat="1" ht="16.5" customHeight="1" x14ac:dyDescent="0.2">
      <c r="A4" s="29">
        <v>1</v>
      </c>
      <c r="B4" s="30"/>
      <c r="C4" s="31" t="s">
        <v>22</v>
      </c>
      <c r="D4" s="32">
        <v>199880.49</v>
      </c>
      <c r="E4" s="32"/>
      <c r="F4" s="32">
        <v>169664.46</v>
      </c>
      <c r="G4" s="32"/>
      <c r="H4" s="32">
        <v>399913.51</v>
      </c>
      <c r="I4" s="32"/>
      <c r="J4" s="32">
        <v>360420.91</v>
      </c>
      <c r="K4" s="32"/>
      <c r="L4" s="32">
        <v>295502.03999999998</v>
      </c>
      <c r="M4" s="32"/>
      <c r="N4" s="32">
        <v>22258.36</v>
      </c>
      <c r="O4" s="32"/>
      <c r="P4" s="32">
        <v>232955.32</v>
      </c>
      <c r="Q4" s="32"/>
      <c r="R4" s="32">
        <v>298017.7</v>
      </c>
      <c r="S4" s="32"/>
      <c r="T4" s="32">
        <v>182716.29</v>
      </c>
      <c r="U4" s="32"/>
      <c r="V4" s="32">
        <v>320272.62</v>
      </c>
      <c r="W4" s="32"/>
      <c r="X4" s="32">
        <v>170350.69</v>
      </c>
      <c r="Y4" s="32"/>
      <c r="Z4" s="32">
        <v>19333</v>
      </c>
      <c r="AA4" s="32"/>
      <c r="AB4" s="32">
        <v>623387.02</v>
      </c>
      <c r="AC4" s="32"/>
      <c r="AD4" s="32">
        <v>31256.69</v>
      </c>
      <c r="AE4" s="32"/>
      <c r="AF4" s="32">
        <v>175769.52</v>
      </c>
      <c r="AG4" s="32"/>
      <c r="AH4" s="32">
        <v>37976.31</v>
      </c>
      <c r="AI4" s="32"/>
      <c r="AJ4" s="32">
        <v>174041.08</v>
      </c>
      <c r="AK4" s="32"/>
      <c r="AL4" s="32">
        <v>37459.71</v>
      </c>
      <c r="AM4" s="32"/>
      <c r="AN4" s="32">
        <v>39420.11</v>
      </c>
      <c r="AO4" s="32"/>
      <c r="AP4" s="32">
        <v>17646.78</v>
      </c>
      <c r="AQ4" s="32"/>
      <c r="AR4" s="33">
        <v>298164.25</v>
      </c>
      <c r="AS4" s="33"/>
      <c r="AT4" s="33">
        <f>+AR4+AP4+AN4+AL4+AJ4+AH4+AF4+AD4+AB4+Z4+X4+V4+T4+R4+P4+N4+L4+J4+H4+F4+D4</f>
        <v>4106406.8600000003</v>
      </c>
      <c r="AU4" s="131">
        <f>+AT4*100/AT18</f>
        <v>12.647944796068595</v>
      </c>
      <c r="AV4" s="131">
        <f>+E4+G4+I4+K4+M4+O4+Q4+S4+U4+W4+Y4+AA4+AC4+AE4+AG4+AI4+AK4+AM4+AO4+AQ4+AS4</f>
        <v>0</v>
      </c>
      <c r="AW4" s="131"/>
    </row>
    <row r="5" spans="1:49" s="7" customFormat="1" ht="16.5" customHeight="1" x14ac:dyDescent="0.2">
      <c r="A5" s="29">
        <v>2</v>
      </c>
      <c r="B5" s="30"/>
      <c r="C5" s="34" t="s">
        <v>38</v>
      </c>
      <c r="D5" s="33">
        <f t="shared" ref="D5:AR5" si="0">+D6+D7+D14+D15+D16+D17</f>
        <v>967075.44</v>
      </c>
      <c r="E5" s="33"/>
      <c r="F5" s="33">
        <f t="shared" si="0"/>
        <v>1162827.98</v>
      </c>
      <c r="G5" s="33"/>
      <c r="H5" s="33">
        <f t="shared" si="0"/>
        <v>1857256.6900000002</v>
      </c>
      <c r="I5" s="33"/>
      <c r="J5" s="33">
        <f t="shared" si="0"/>
        <v>922249.53666666674</v>
      </c>
      <c r="K5" s="33"/>
      <c r="L5" s="33">
        <f t="shared" si="0"/>
        <v>1071804.83</v>
      </c>
      <c r="M5" s="33"/>
      <c r="N5" s="33">
        <f t="shared" si="0"/>
        <v>865489.6399999999</v>
      </c>
      <c r="O5" s="33"/>
      <c r="P5" s="33">
        <f t="shared" si="0"/>
        <v>1301282.03</v>
      </c>
      <c r="Q5" s="33"/>
      <c r="R5" s="33">
        <f t="shared" si="0"/>
        <v>1387247.2233333334</v>
      </c>
      <c r="S5" s="33"/>
      <c r="T5" s="33">
        <f>+T6+T7+T14+T15+T16+T17</f>
        <v>1095823.6200000001</v>
      </c>
      <c r="U5" s="33"/>
      <c r="V5" s="33">
        <f t="shared" si="0"/>
        <v>1334727.94</v>
      </c>
      <c r="W5" s="33"/>
      <c r="X5" s="33">
        <f t="shared" si="0"/>
        <v>1596277.5599999998</v>
      </c>
      <c r="Y5" s="33"/>
      <c r="Z5" s="33">
        <f t="shared" si="0"/>
        <v>1251634.68</v>
      </c>
      <c r="AA5" s="33"/>
      <c r="AB5" s="33">
        <f t="shared" si="0"/>
        <v>1885472.61</v>
      </c>
      <c r="AC5" s="33"/>
      <c r="AD5" s="33">
        <f t="shared" si="0"/>
        <v>1145058.6600000001</v>
      </c>
      <c r="AE5" s="33"/>
      <c r="AF5" s="33">
        <f t="shared" si="0"/>
        <v>1217017.1399999999</v>
      </c>
      <c r="AG5" s="33"/>
      <c r="AH5" s="33">
        <f t="shared" si="0"/>
        <v>934959.9</v>
      </c>
      <c r="AI5" s="33"/>
      <c r="AJ5" s="33">
        <f t="shared" si="0"/>
        <v>1230903.22</v>
      </c>
      <c r="AK5" s="33"/>
      <c r="AL5" s="33">
        <f t="shared" si="0"/>
        <v>784845.7</v>
      </c>
      <c r="AM5" s="33"/>
      <c r="AN5" s="33">
        <f t="shared" si="0"/>
        <v>1532526.5333333334</v>
      </c>
      <c r="AO5" s="33"/>
      <c r="AP5" s="33">
        <f t="shared" si="0"/>
        <v>2096931.32</v>
      </c>
      <c r="AQ5" s="33"/>
      <c r="AR5" s="33">
        <f t="shared" si="0"/>
        <v>2719170</v>
      </c>
      <c r="AS5" s="33"/>
      <c r="AT5" s="33">
        <f t="shared" ref="AT5:AT35" si="1">+AR5+AP5+AN5+AL5+AJ5+AH5+AF5+AD5+AB5+Z5+X5+V5+T5+R5+P5+N5+L5+J5+H5+F5+D5</f>
        <v>28360582.253333338</v>
      </c>
      <c r="AU5" s="131">
        <f>+AT5*100/AT18</f>
        <v>87.352055203931428</v>
      </c>
      <c r="AV5" s="131">
        <f t="shared" ref="AV5:AV32" si="2">+E5+G5+I5+K5+M5+O5+Q5+S5+U5+W5+Y5+AA5+AC5+AE5+AG5+AI5+AK5+AM5+AO5+AQ5+AS5</f>
        <v>0</v>
      </c>
      <c r="AW5" s="131"/>
    </row>
    <row r="6" spans="1:49" s="7" customFormat="1" ht="16.5" customHeight="1" x14ac:dyDescent="0.2">
      <c r="A6" s="3"/>
      <c r="B6" s="4">
        <v>2.1</v>
      </c>
      <c r="C6" s="8" t="s">
        <v>23</v>
      </c>
      <c r="D6" s="6">
        <v>1150</v>
      </c>
      <c r="E6" s="6"/>
      <c r="F6" s="6">
        <v>9566</v>
      </c>
      <c r="G6" s="6"/>
      <c r="H6" s="6">
        <v>8722</v>
      </c>
      <c r="I6" s="6"/>
      <c r="J6" s="6">
        <v>7329</v>
      </c>
      <c r="K6" s="6"/>
      <c r="L6" s="6">
        <v>1385.67</v>
      </c>
      <c r="M6" s="6"/>
      <c r="N6" s="6">
        <v>3138</v>
      </c>
      <c r="O6" s="6"/>
      <c r="P6" s="6">
        <v>31472.87</v>
      </c>
      <c r="Q6" s="6"/>
      <c r="R6" s="6">
        <v>8706.67</v>
      </c>
      <c r="S6" s="6"/>
      <c r="T6" s="6">
        <v>1908</v>
      </c>
      <c r="U6" s="6"/>
      <c r="V6" s="6">
        <v>60841</v>
      </c>
      <c r="W6" s="6"/>
      <c r="X6" s="6">
        <v>8271.17</v>
      </c>
      <c r="Y6" s="6"/>
      <c r="Z6" s="6">
        <v>5880</v>
      </c>
      <c r="AA6" s="6"/>
      <c r="AB6" s="6">
        <v>30927.01</v>
      </c>
      <c r="AC6" s="6"/>
      <c r="AD6" s="6">
        <v>6501.67</v>
      </c>
      <c r="AE6" s="6"/>
      <c r="AF6" s="6">
        <v>3180.67</v>
      </c>
      <c r="AG6" s="6"/>
      <c r="AH6" s="6">
        <v>12140</v>
      </c>
      <c r="AI6" s="6"/>
      <c r="AJ6" s="6">
        <v>1000</v>
      </c>
      <c r="AK6" s="6"/>
      <c r="AL6" s="6">
        <v>2108.33</v>
      </c>
      <c r="AM6" s="6"/>
      <c r="AN6" s="6">
        <v>27324</v>
      </c>
      <c r="AO6" s="6"/>
      <c r="AP6" s="6">
        <v>27821</v>
      </c>
      <c r="AQ6" s="6"/>
      <c r="AR6" s="6">
        <v>122522</v>
      </c>
      <c r="AS6" s="6"/>
      <c r="AT6" s="6">
        <f t="shared" si="1"/>
        <v>381895.06</v>
      </c>
      <c r="AU6" s="129">
        <f>+AT6*100/AT18</f>
        <v>1.1762564698158777</v>
      </c>
      <c r="AV6" s="129">
        <f t="shared" si="2"/>
        <v>0</v>
      </c>
      <c r="AW6" s="129"/>
    </row>
    <row r="7" spans="1:49" s="7" customFormat="1" ht="16.5" customHeight="1" x14ac:dyDescent="0.2">
      <c r="A7" s="29"/>
      <c r="B7" s="30">
        <v>2.2000000000000002</v>
      </c>
      <c r="C7" s="34" t="s">
        <v>24</v>
      </c>
      <c r="D7" s="33">
        <f>SUM(D8:D12)</f>
        <v>656979.76</v>
      </c>
      <c r="E7" s="33"/>
      <c r="F7" s="33">
        <f t="shared" ref="F7:T7" si="3">SUM(F8:F12)</f>
        <v>848000.64</v>
      </c>
      <c r="G7" s="33"/>
      <c r="H7" s="33">
        <f t="shared" si="3"/>
        <v>1229492.33</v>
      </c>
      <c r="I7" s="33"/>
      <c r="J7" s="33">
        <f t="shared" si="3"/>
        <v>756190.70666666667</v>
      </c>
      <c r="K7" s="33"/>
      <c r="L7" s="33">
        <f t="shared" si="3"/>
        <v>746776.88</v>
      </c>
      <c r="M7" s="33"/>
      <c r="N7" s="33">
        <f t="shared" si="3"/>
        <v>646338.37</v>
      </c>
      <c r="O7" s="33"/>
      <c r="P7" s="33">
        <f t="shared" si="3"/>
        <v>1126412.28</v>
      </c>
      <c r="Q7" s="33"/>
      <c r="R7" s="33">
        <f t="shared" si="3"/>
        <v>1122999.7133333334</v>
      </c>
      <c r="S7" s="33"/>
      <c r="T7" s="33">
        <f t="shared" si="3"/>
        <v>775252.62</v>
      </c>
      <c r="U7" s="33"/>
      <c r="V7" s="33">
        <f t="shared" ref="V7" si="4">SUM(V8:V12)</f>
        <v>1173980.72</v>
      </c>
      <c r="W7" s="33"/>
      <c r="X7" s="33">
        <f t="shared" ref="X7" si="5">SUM(X8:X12)</f>
        <v>1326250.48</v>
      </c>
      <c r="Y7" s="33"/>
      <c r="Z7" s="33">
        <f t="shared" ref="Z7" si="6">SUM(Z8:Z12)</f>
        <v>1044888.87</v>
      </c>
      <c r="AA7" s="33"/>
      <c r="AB7" s="33">
        <f t="shared" ref="AB7" si="7">SUM(AB8:AB12)</f>
        <v>1435344.92</v>
      </c>
      <c r="AC7" s="33"/>
      <c r="AD7" s="33">
        <f t="shared" ref="AD7" si="8">SUM(AD8:AD12)</f>
        <v>1014720.7600000001</v>
      </c>
      <c r="AE7" s="33"/>
      <c r="AF7" s="33">
        <f t="shared" ref="AF7" si="9">SUM(AF8:AF12)</f>
        <v>1024479.0800000001</v>
      </c>
      <c r="AG7" s="33"/>
      <c r="AH7" s="33">
        <f t="shared" ref="AH7:AJ7" si="10">SUM(AH8:AH12)</f>
        <v>676451.26</v>
      </c>
      <c r="AI7" s="33"/>
      <c r="AJ7" s="33">
        <f t="shared" si="10"/>
        <v>1053389.3899999999</v>
      </c>
      <c r="AK7" s="33"/>
      <c r="AL7" s="33">
        <f t="shared" ref="AL7" si="11">SUM(AL8:AL12)</f>
        <v>555858.01</v>
      </c>
      <c r="AM7" s="33"/>
      <c r="AN7" s="33">
        <f t="shared" ref="AN7" si="12">SUM(AN8:AN12)</f>
        <v>1206763.1733333333</v>
      </c>
      <c r="AO7" s="33"/>
      <c r="AP7" s="33">
        <f t="shared" ref="AP7" si="13">SUM(AP8:AP12)</f>
        <v>1323766.31</v>
      </c>
      <c r="AQ7" s="33"/>
      <c r="AR7" s="33">
        <f t="shared" ref="AR7" si="14">SUM(AR8:AR12)</f>
        <v>2113569</v>
      </c>
      <c r="AS7" s="33"/>
      <c r="AT7" s="33">
        <f t="shared" si="1"/>
        <v>21857905.273333337</v>
      </c>
      <c r="AU7" s="131"/>
      <c r="AV7" s="131">
        <f t="shared" si="2"/>
        <v>0</v>
      </c>
      <c r="AW7" s="131"/>
    </row>
    <row r="8" spans="1:49" s="7" customFormat="1" ht="16.5" customHeight="1" x14ac:dyDescent="0.2">
      <c r="A8" s="3"/>
      <c r="B8" s="4"/>
      <c r="C8" s="5" t="s">
        <v>17</v>
      </c>
      <c r="D8" s="6">
        <v>154941.04</v>
      </c>
      <c r="E8" s="6"/>
      <c r="F8" s="6">
        <v>226524.06</v>
      </c>
      <c r="G8" s="6"/>
      <c r="H8" s="6">
        <v>229039.33</v>
      </c>
      <c r="I8" s="6"/>
      <c r="J8" s="6">
        <v>256614.35666666669</v>
      </c>
      <c r="K8" s="6"/>
      <c r="L8" s="6">
        <v>87953.47</v>
      </c>
      <c r="M8" s="6"/>
      <c r="N8" s="6">
        <v>181042.1</v>
      </c>
      <c r="O8" s="6"/>
      <c r="P8" s="6">
        <v>269425.13</v>
      </c>
      <c r="Q8" s="6"/>
      <c r="R8" s="6">
        <v>330740.34333333327</v>
      </c>
      <c r="S8" s="6"/>
      <c r="T8" s="6">
        <v>184812.57</v>
      </c>
      <c r="U8" s="6"/>
      <c r="V8" s="6">
        <v>210808.41999999998</v>
      </c>
      <c r="W8" s="6"/>
      <c r="X8" s="6">
        <v>232511.16</v>
      </c>
      <c r="Y8" s="6"/>
      <c r="Z8" s="6">
        <v>435755.5</v>
      </c>
      <c r="AA8" s="6"/>
      <c r="AB8" s="6">
        <v>293120.31</v>
      </c>
      <c r="AC8" s="6"/>
      <c r="AD8" s="6">
        <v>339522.34</v>
      </c>
      <c r="AE8" s="6"/>
      <c r="AF8" s="6">
        <v>261185.8</v>
      </c>
      <c r="AG8" s="6"/>
      <c r="AH8" s="6">
        <v>115465.36</v>
      </c>
      <c r="AI8" s="6"/>
      <c r="AJ8" s="6">
        <v>141406.09</v>
      </c>
      <c r="AK8" s="6"/>
      <c r="AL8" s="6">
        <v>126258.01</v>
      </c>
      <c r="AM8" s="6"/>
      <c r="AN8" s="6">
        <v>169900.11333333334</v>
      </c>
      <c r="AO8" s="6"/>
      <c r="AP8" s="6">
        <v>387953.38</v>
      </c>
      <c r="AQ8" s="6"/>
      <c r="AR8" s="6">
        <v>284673</v>
      </c>
      <c r="AS8" s="6"/>
      <c r="AT8" s="6">
        <f t="shared" si="1"/>
        <v>4919651.8833333338</v>
      </c>
      <c r="AU8" s="129">
        <f>+AT8*100/AT18</f>
        <v>15.152781387150442</v>
      </c>
      <c r="AV8" s="129">
        <f t="shared" si="2"/>
        <v>0</v>
      </c>
      <c r="AW8" s="129"/>
    </row>
    <row r="9" spans="1:49" s="7" customFormat="1" ht="16.5" customHeight="1" x14ac:dyDescent="0.2">
      <c r="A9" s="3"/>
      <c r="B9" s="4"/>
      <c r="C9" s="5" t="s">
        <v>65</v>
      </c>
      <c r="D9" s="6">
        <v>240000</v>
      </c>
      <c r="E9" s="6"/>
      <c r="F9" s="6">
        <v>240000</v>
      </c>
      <c r="G9" s="6"/>
      <c r="H9" s="6">
        <v>301333</v>
      </c>
      <c r="I9" s="6"/>
      <c r="J9" s="6">
        <v>216000</v>
      </c>
      <c r="K9" s="6"/>
      <c r="L9" s="6">
        <v>216000</v>
      </c>
      <c r="M9" s="6"/>
      <c r="N9" s="6">
        <v>216000</v>
      </c>
      <c r="O9" s="6"/>
      <c r="P9" s="6">
        <v>320861</v>
      </c>
      <c r="Q9" s="6"/>
      <c r="R9" s="6">
        <v>240000</v>
      </c>
      <c r="S9" s="6"/>
      <c r="T9" s="6">
        <v>216513</v>
      </c>
      <c r="U9" s="6"/>
      <c r="V9" s="6">
        <v>240000</v>
      </c>
      <c r="W9" s="6"/>
      <c r="X9" s="6">
        <v>240000</v>
      </c>
      <c r="Y9" s="6"/>
      <c r="Z9" s="6">
        <v>216000</v>
      </c>
      <c r="AA9" s="6"/>
      <c r="AB9" s="6">
        <v>264000</v>
      </c>
      <c r="AC9" s="6"/>
      <c r="AD9" s="6">
        <v>240000</v>
      </c>
      <c r="AE9" s="6"/>
      <c r="AF9" s="6">
        <v>264000</v>
      </c>
      <c r="AG9" s="6"/>
      <c r="AH9" s="6">
        <v>296260</v>
      </c>
      <c r="AI9" s="6"/>
      <c r="AJ9" s="6">
        <v>240000</v>
      </c>
      <c r="AK9" s="6"/>
      <c r="AL9" s="6">
        <v>216000</v>
      </c>
      <c r="AM9" s="6"/>
      <c r="AN9" s="6">
        <v>266818</v>
      </c>
      <c r="AO9" s="6"/>
      <c r="AP9" s="6">
        <v>240000</v>
      </c>
      <c r="AQ9" s="6"/>
      <c r="AR9" s="6">
        <v>240000</v>
      </c>
      <c r="AS9" s="6"/>
      <c r="AT9" s="6">
        <f t="shared" si="1"/>
        <v>5169785</v>
      </c>
      <c r="AU9" s="129">
        <f>+AT9*100/AT18</f>
        <v>15.9232042797492</v>
      </c>
      <c r="AV9" s="129">
        <f t="shared" si="2"/>
        <v>0</v>
      </c>
      <c r="AW9" s="129"/>
    </row>
    <row r="10" spans="1:49" s="7" customFormat="1" ht="16.5" customHeight="1" x14ac:dyDescent="0.2">
      <c r="A10" s="3"/>
      <c r="B10" s="4"/>
      <c r="C10" s="5" t="s">
        <v>14</v>
      </c>
      <c r="D10" s="6">
        <v>30438.720000000001</v>
      </c>
      <c r="E10" s="6"/>
      <c r="F10" s="6">
        <v>13316.58</v>
      </c>
      <c r="G10" s="6"/>
      <c r="H10" s="8"/>
      <c r="I10" s="8"/>
      <c r="J10" s="6">
        <v>67576.350000000006</v>
      </c>
      <c r="K10" s="6"/>
      <c r="L10" s="6">
        <v>60050.41</v>
      </c>
      <c r="M10" s="6"/>
      <c r="N10" s="6">
        <v>69896.27</v>
      </c>
      <c r="O10" s="6"/>
      <c r="P10" s="6">
        <v>69697.149999999994</v>
      </c>
      <c r="Q10" s="6"/>
      <c r="R10" s="6">
        <v>81659.37</v>
      </c>
      <c r="S10" s="6"/>
      <c r="T10" s="6">
        <v>10237.049999999999</v>
      </c>
      <c r="U10" s="6"/>
      <c r="V10" s="6">
        <v>126292.3</v>
      </c>
      <c r="W10" s="6"/>
      <c r="X10" s="6">
        <v>163499.32</v>
      </c>
      <c r="Y10" s="6"/>
      <c r="Z10" s="6">
        <v>92333.37</v>
      </c>
      <c r="AA10" s="6"/>
      <c r="AB10" s="6">
        <v>11874.61</v>
      </c>
      <c r="AC10" s="6"/>
      <c r="AD10" s="6">
        <v>136478.42000000001</v>
      </c>
      <c r="AE10" s="6"/>
      <c r="AF10" s="6">
        <v>198093.28</v>
      </c>
      <c r="AG10" s="6"/>
      <c r="AH10" s="6">
        <v>66725.899999999994</v>
      </c>
      <c r="AI10" s="6"/>
      <c r="AJ10" s="6">
        <v>67109.3</v>
      </c>
      <c r="AK10" s="6"/>
      <c r="AL10" s="6"/>
      <c r="AM10" s="6"/>
      <c r="AN10" s="6">
        <v>8585.06</v>
      </c>
      <c r="AO10" s="6"/>
      <c r="AP10" s="6">
        <v>84676.93</v>
      </c>
      <c r="AQ10" s="6"/>
      <c r="AR10" s="6">
        <v>103936</v>
      </c>
      <c r="AS10" s="6"/>
      <c r="AT10" s="6">
        <f t="shared" si="1"/>
        <v>1462476.3900000001</v>
      </c>
      <c r="AU10" s="129">
        <f>+AT10*100/AT18</f>
        <v>4.5045026654454992</v>
      </c>
      <c r="AV10" s="129">
        <f t="shared" si="2"/>
        <v>0</v>
      </c>
      <c r="AW10" s="129"/>
    </row>
    <row r="11" spans="1:49" s="7" customFormat="1" ht="16.5" customHeight="1" x14ac:dyDescent="0.2">
      <c r="A11" s="3"/>
      <c r="B11" s="4"/>
      <c r="C11" s="9" t="s">
        <v>64</v>
      </c>
      <c r="D11" s="6">
        <f>122400+67200</f>
        <v>189600</v>
      </c>
      <c r="E11" s="6"/>
      <c r="F11" s="6">
        <f>122400+121200</f>
        <v>243600</v>
      </c>
      <c r="G11" s="6"/>
      <c r="H11" s="6">
        <f>216000+82800</f>
        <v>298800</v>
      </c>
      <c r="I11" s="6"/>
      <c r="J11" s="6">
        <f>122400+93600</f>
        <v>216000</v>
      </c>
      <c r="K11" s="6"/>
      <c r="L11" s="6">
        <f>122400+64800</f>
        <v>187200</v>
      </c>
      <c r="M11" s="6"/>
      <c r="N11" s="6">
        <f>122400+57000</f>
        <v>179400</v>
      </c>
      <c r="O11" s="6"/>
      <c r="P11" s="6">
        <f>118800+186829</f>
        <v>305629</v>
      </c>
      <c r="Q11" s="6"/>
      <c r="R11" s="6">
        <f>122400+50000</f>
        <v>172400</v>
      </c>
      <c r="S11" s="6"/>
      <c r="T11" s="6">
        <f>122400+100800</f>
        <v>223200</v>
      </c>
      <c r="U11" s="6"/>
      <c r="V11" s="6">
        <f>122400+150000</f>
        <v>272400</v>
      </c>
      <c r="W11" s="6"/>
      <c r="X11" s="6">
        <f>122400+340320</f>
        <v>462720</v>
      </c>
      <c r="Y11" s="6"/>
      <c r="Z11" s="6">
        <f>122400+98400</f>
        <v>220800</v>
      </c>
      <c r="AA11" s="6"/>
      <c r="AB11" s="6">
        <f>151200+117600+12000</f>
        <v>280800</v>
      </c>
      <c r="AC11" s="6"/>
      <c r="AD11" s="6">
        <f>124000+100800</f>
        <v>224800</v>
      </c>
      <c r="AE11" s="6"/>
      <c r="AF11" s="6">
        <f>151200+150000</f>
        <v>301200</v>
      </c>
      <c r="AG11" s="6"/>
      <c r="AH11" s="6">
        <f>122400+75600</f>
        <v>198000</v>
      </c>
      <c r="AI11" s="6"/>
      <c r="AJ11" s="6">
        <f>122400+39564</f>
        <v>161964</v>
      </c>
      <c r="AK11" s="6"/>
      <c r="AL11" s="6">
        <f>122400+91200</f>
        <v>213600</v>
      </c>
      <c r="AM11" s="6"/>
      <c r="AN11" s="6">
        <f>122400+97200</f>
        <v>219600</v>
      </c>
      <c r="AO11" s="6"/>
      <c r="AP11" s="6">
        <f>122400+105600</f>
        <v>228000</v>
      </c>
      <c r="AQ11" s="6"/>
      <c r="AR11" s="6">
        <f>122400+350800</f>
        <v>473200</v>
      </c>
      <c r="AS11" s="6"/>
      <c r="AT11" s="6">
        <f t="shared" si="1"/>
        <v>5272913</v>
      </c>
      <c r="AU11" s="129">
        <f>+AT11*100/AT18</f>
        <v>16.240843835545423</v>
      </c>
      <c r="AV11" s="129">
        <f t="shared" si="2"/>
        <v>0</v>
      </c>
      <c r="AW11" s="129"/>
    </row>
    <row r="12" spans="1:49" s="7" customFormat="1" ht="16.5" customHeight="1" x14ac:dyDescent="0.2">
      <c r="A12" s="3"/>
      <c r="B12" s="4"/>
      <c r="C12" s="5" t="s">
        <v>10</v>
      </c>
      <c r="D12" s="6">
        <v>42000</v>
      </c>
      <c r="E12" s="6"/>
      <c r="F12" s="6">
        <v>124560</v>
      </c>
      <c r="G12" s="6"/>
      <c r="H12" s="6">
        <f>264720+135600</f>
        <v>400320</v>
      </c>
      <c r="I12" s="6"/>
      <c r="J12" s="8"/>
      <c r="K12" s="8"/>
      <c r="L12" s="6">
        <v>195573</v>
      </c>
      <c r="M12" s="6"/>
      <c r="N12" s="6"/>
      <c r="O12" s="6"/>
      <c r="P12" s="6">
        <v>160800</v>
      </c>
      <c r="Q12" s="6"/>
      <c r="R12" s="6">
        <v>298200</v>
      </c>
      <c r="S12" s="6"/>
      <c r="T12" s="6">
        <v>140490</v>
      </c>
      <c r="U12" s="6"/>
      <c r="V12" s="6">
        <f>282480+42000</f>
        <v>324480</v>
      </c>
      <c r="W12" s="6"/>
      <c r="X12" s="6">
        <v>227520</v>
      </c>
      <c r="Y12" s="6"/>
      <c r="Z12" s="6">
        <v>80000</v>
      </c>
      <c r="AA12" s="6"/>
      <c r="AB12" s="6">
        <v>585550</v>
      </c>
      <c r="AC12" s="6"/>
      <c r="AD12" s="6">
        <f>33920+40000</f>
        <v>73920</v>
      </c>
      <c r="AE12" s="6"/>
      <c r="AF12" s="6"/>
      <c r="AG12" s="6"/>
      <c r="AH12" s="6"/>
      <c r="AI12" s="6"/>
      <c r="AJ12" s="6">
        <v>442910</v>
      </c>
      <c r="AK12" s="6"/>
      <c r="AL12" s="6"/>
      <c r="AM12" s="6"/>
      <c r="AN12" s="6">
        <v>541860</v>
      </c>
      <c r="AO12" s="6"/>
      <c r="AP12" s="6">
        <v>383136</v>
      </c>
      <c r="AQ12" s="6"/>
      <c r="AR12" s="6">
        <v>1011760</v>
      </c>
      <c r="AS12" s="6"/>
      <c r="AT12" s="6">
        <f t="shared" si="1"/>
        <v>5033079</v>
      </c>
      <c r="AU12" s="129">
        <f>+AT12*100/AT18</f>
        <v>15.502142753154304</v>
      </c>
      <c r="AV12" s="129">
        <f t="shared" si="2"/>
        <v>0</v>
      </c>
      <c r="AW12" s="129"/>
    </row>
    <row r="13" spans="1:49" s="7" customFormat="1" ht="16.5" customHeight="1" x14ac:dyDescent="0.2">
      <c r="A13" s="3"/>
      <c r="B13" s="4"/>
      <c r="C13" s="5" t="s">
        <v>70</v>
      </c>
      <c r="D13" s="6"/>
      <c r="E13" s="6"/>
      <c r="F13" s="6"/>
      <c r="G13" s="6"/>
      <c r="H13" s="6"/>
      <c r="I13" s="6"/>
      <c r="J13" s="8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>
        <f t="shared" si="1"/>
        <v>0</v>
      </c>
      <c r="AU13" s="129"/>
      <c r="AV13" s="129">
        <f t="shared" si="2"/>
        <v>0</v>
      </c>
      <c r="AW13" s="129"/>
    </row>
    <row r="14" spans="1:49" s="7" customFormat="1" ht="16.5" customHeight="1" x14ac:dyDescent="0.2">
      <c r="A14" s="3"/>
      <c r="B14" s="10">
        <v>2.2999999999999998</v>
      </c>
      <c r="C14" s="5" t="s">
        <v>44</v>
      </c>
      <c r="D14" s="6">
        <v>8668.1200000000008</v>
      </c>
      <c r="E14" s="6"/>
      <c r="F14" s="6">
        <v>1976.25</v>
      </c>
      <c r="G14" s="6"/>
      <c r="H14" s="6">
        <v>2029.37</v>
      </c>
      <c r="I14" s="6"/>
      <c r="J14" s="6">
        <v>1916.4</v>
      </c>
      <c r="K14" s="6"/>
      <c r="L14" s="6">
        <v>2183.35</v>
      </c>
      <c r="M14" s="6"/>
      <c r="N14" s="6">
        <v>672.46</v>
      </c>
      <c r="O14" s="6"/>
      <c r="P14" s="6">
        <v>2617.39</v>
      </c>
      <c r="Q14" s="6"/>
      <c r="R14" s="6">
        <v>2042.8</v>
      </c>
      <c r="S14" s="6"/>
      <c r="T14" s="6">
        <v>699</v>
      </c>
      <c r="U14" s="6"/>
      <c r="V14" s="6">
        <v>1979.67</v>
      </c>
      <c r="W14" s="6"/>
      <c r="X14" s="6">
        <v>1457.27</v>
      </c>
      <c r="Y14" s="6"/>
      <c r="Z14" s="6">
        <v>1577.96</v>
      </c>
      <c r="AA14" s="6"/>
      <c r="AB14" s="6">
        <v>1455.1</v>
      </c>
      <c r="AC14" s="6"/>
      <c r="AD14" s="6">
        <v>1222.76</v>
      </c>
      <c r="AE14" s="6"/>
      <c r="AF14" s="6">
        <v>1470.07</v>
      </c>
      <c r="AG14" s="6"/>
      <c r="AH14" s="6">
        <v>1071.1199999999999</v>
      </c>
      <c r="AI14" s="6"/>
      <c r="AJ14" s="6">
        <v>1037.76</v>
      </c>
      <c r="AK14" s="6"/>
      <c r="AL14" s="6">
        <v>886.33</v>
      </c>
      <c r="AM14" s="6"/>
      <c r="AN14" s="6">
        <v>689.55</v>
      </c>
      <c r="AO14" s="6"/>
      <c r="AP14" s="6">
        <v>1102.99</v>
      </c>
      <c r="AQ14" s="6"/>
      <c r="AR14" s="6">
        <v>2896</v>
      </c>
      <c r="AS14" s="6"/>
      <c r="AT14" s="6">
        <f t="shared" si="1"/>
        <v>39651.72</v>
      </c>
      <c r="AU14" s="129">
        <f>+AT14*100/AT18</f>
        <v>0.12212934147230821</v>
      </c>
      <c r="AV14" s="129">
        <f t="shared" si="2"/>
        <v>0</v>
      </c>
      <c r="AW14" s="129"/>
    </row>
    <row r="15" spans="1:49" s="15" customFormat="1" ht="30" x14ac:dyDescent="0.2">
      <c r="A15" s="11"/>
      <c r="B15" s="12">
        <v>2.4</v>
      </c>
      <c r="C15" s="13" t="s">
        <v>66</v>
      </c>
      <c r="D15" s="14">
        <v>26054.1</v>
      </c>
      <c r="E15" s="14"/>
      <c r="F15" s="14"/>
      <c r="G15" s="14"/>
      <c r="H15" s="14">
        <f>9455.68+279341.63</f>
        <v>288797.31</v>
      </c>
      <c r="I15" s="14"/>
      <c r="J15" s="14">
        <v>50400</v>
      </c>
      <c r="K15" s="14"/>
      <c r="L15" s="14">
        <v>8531.73</v>
      </c>
      <c r="M15" s="14"/>
      <c r="N15" s="14">
        <v>103847.34</v>
      </c>
      <c r="O15" s="14"/>
      <c r="P15" s="14">
        <v>12346.51</v>
      </c>
      <c r="Q15" s="14"/>
      <c r="R15" s="14"/>
      <c r="S15" s="14"/>
      <c r="T15" s="14">
        <v>12961</v>
      </c>
      <c r="U15" s="14"/>
      <c r="V15" s="14"/>
      <c r="W15" s="14"/>
      <c r="X15" s="14"/>
      <c r="Y15" s="14"/>
      <c r="Z15" s="14">
        <v>46611.69</v>
      </c>
      <c r="AA15" s="14"/>
      <c r="AB15" s="14">
        <v>53075.61</v>
      </c>
      <c r="AC15" s="14"/>
      <c r="AD15" s="14"/>
      <c r="AE15" s="14"/>
      <c r="AF15" s="14">
        <v>23879.66</v>
      </c>
      <c r="AG15" s="14"/>
      <c r="AH15" s="14"/>
      <c r="AI15" s="14"/>
      <c r="AJ15" s="14">
        <f>77241.03+3235.04</f>
        <v>80476.069999999992</v>
      </c>
      <c r="AK15" s="14"/>
      <c r="AL15" s="14">
        <f>84000+54091.76+3602</f>
        <v>141693.76000000001</v>
      </c>
      <c r="AM15" s="14"/>
      <c r="AN15" s="14"/>
      <c r="AO15" s="14"/>
      <c r="AP15" s="14">
        <v>33421.1</v>
      </c>
      <c r="AQ15" s="14"/>
      <c r="AR15" s="14">
        <v>81020</v>
      </c>
      <c r="AS15" s="14"/>
      <c r="AT15" s="14">
        <f t="shared" si="1"/>
        <v>963115.88</v>
      </c>
      <c r="AU15" s="130">
        <f>+AT15*100/AT18</f>
        <v>2.9664465548007155</v>
      </c>
      <c r="AV15" s="130">
        <f t="shared" si="2"/>
        <v>0</v>
      </c>
      <c r="AW15" s="130"/>
    </row>
    <row r="16" spans="1:49" s="7" customFormat="1" ht="16.5" customHeight="1" x14ac:dyDescent="0.2">
      <c r="A16" s="16"/>
      <c r="B16" s="17">
        <v>2.5</v>
      </c>
      <c r="C16" s="18" t="s">
        <v>92</v>
      </c>
      <c r="D16" s="6">
        <v>182930</v>
      </c>
      <c r="E16" s="6"/>
      <c r="F16" s="6">
        <v>177200</v>
      </c>
      <c r="G16" s="6"/>
      <c r="H16" s="6">
        <v>308060</v>
      </c>
      <c r="I16" s="6"/>
      <c r="J16" s="6">
        <v>80000</v>
      </c>
      <c r="K16" s="6"/>
      <c r="L16" s="6">
        <v>236900</v>
      </c>
      <c r="M16" s="6"/>
      <c r="N16" s="6">
        <v>105640</v>
      </c>
      <c r="O16" s="6"/>
      <c r="P16" s="6">
        <v>105500</v>
      </c>
      <c r="Q16" s="6"/>
      <c r="R16" s="6">
        <v>150000</v>
      </c>
      <c r="S16" s="6"/>
      <c r="T16" s="6">
        <v>206400</v>
      </c>
      <c r="U16" s="6"/>
      <c r="V16" s="6">
        <v>80000</v>
      </c>
      <c r="W16" s="6"/>
      <c r="X16" s="6">
        <v>250720</v>
      </c>
      <c r="Y16" s="6"/>
      <c r="Z16" s="6">
        <v>105600</v>
      </c>
      <c r="AA16" s="6"/>
      <c r="AB16" s="6">
        <v>349855</v>
      </c>
      <c r="AC16" s="6"/>
      <c r="AD16" s="6">
        <v>105600</v>
      </c>
      <c r="AE16" s="6"/>
      <c r="AF16" s="6">
        <v>150000</v>
      </c>
      <c r="AG16" s="6"/>
      <c r="AH16" s="6">
        <v>169930</v>
      </c>
      <c r="AI16" s="6"/>
      <c r="AJ16" s="6">
        <v>80000</v>
      </c>
      <c r="AK16" s="6"/>
      <c r="AL16" s="6">
        <v>80000</v>
      </c>
      <c r="AM16" s="6"/>
      <c r="AN16" s="6">
        <v>136700</v>
      </c>
      <c r="AO16" s="6"/>
      <c r="AP16" s="6">
        <v>603660</v>
      </c>
      <c r="AQ16" s="6"/>
      <c r="AR16" s="6">
        <v>344250</v>
      </c>
      <c r="AS16" s="6"/>
      <c r="AT16" s="6">
        <f t="shared" si="1"/>
        <v>4008945</v>
      </c>
      <c r="AU16" s="129">
        <f>+AT16*100/AT18</f>
        <v>12.347757243537044</v>
      </c>
      <c r="AV16" s="129">
        <f t="shared" si="2"/>
        <v>0</v>
      </c>
      <c r="AW16" s="129"/>
    </row>
    <row r="17" spans="1:49" s="15" customFormat="1" ht="30" x14ac:dyDescent="0.2">
      <c r="A17" s="11"/>
      <c r="B17" s="12">
        <v>2.6</v>
      </c>
      <c r="C17" s="13" t="s">
        <v>43</v>
      </c>
      <c r="D17" s="14">
        <v>91293.46</v>
      </c>
      <c r="E17" s="14"/>
      <c r="F17" s="14">
        <f>118427.9+7657.19</f>
        <v>126085.09</v>
      </c>
      <c r="G17" s="14"/>
      <c r="H17" s="14">
        <v>20155.68</v>
      </c>
      <c r="I17" s="14"/>
      <c r="J17" s="14">
        <f>25000+1413.43</f>
        <v>26413.43</v>
      </c>
      <c r="K17" s="14"/>
      <c r="L17" s="14">
        <f>73432.78+2594.42</f>
        <v>76027.199999999997</v>
      </c>
      <c r="M17" s="14"/>
      <c r="N17" s="14">
        <v>5853.47</v>
      </c>
      <c r="O17" s="14"/>
      <c r="P17" s="14">
        <f>8603.75+14329.23</f>
        <v>22932.98</v>
      </c>
      <c r="Q17" s="14"/>
      <c r="R17" s="14">
        <f>76432.72+27065.32</f>
        <v>103498.04000000001</v>
      </c>
      <c r="S17" s="14"/>
      <c r="T17" s="14">
        <f>7000+86628+4975</f>
        <v>98603</v>
      </c>
      <c r="U17" s="14"/>
      <c r="V17" s="14">
        <v>17926.55</v>
      </c>
      <c r="W17" s="14"/>
      <c r="X17" s="14">
        <v>9578.64</v>
      </c>
      <c r="Y17" s="14"/>
      <c r="Z17" s="14">
        <v>47076.160000000003</v>
      </c>
      <c r="AA17" s="14"/>
      <c r="AB17" s="14">
        <v>14814.97</v>
      </c>
      <c r="AC17" s="14"/>
      <c r="AD17" s="14">
        <v>17013.47</v>
      </c>
      <c r="AE17" s="14"/>
      <c r="AF17" s="14">
        <v>14007.66</v>
      </c>
      <c r="AG17" s="14"/>
      <c r="AH17" s="14">
        <f>53517+7135.52+14715</f>
        <v>75367.520000000004</v>
      </c>
      <c r="AI17" s="14"/>
      <c r="AJ17" s="14">
        <v>15000</v>
      </c>
      <c r="AK17" s="14"/>
      <c r="AL17" s="14">
        <v>4299.2700000000004</v>
      </c>
      <c r="AM17" s="14"/>
      <c r="AN17" s="14">
        <f>147417.8+13632.01</f>
        <v>161049.81</v>
      </c>
      <c r="AO17" s="14"/>
      <c r="AP17" s="14">
        <f>39769.86+67390.06</f>
        <v>107159.92</v>
      </c>
      <c r="AQ17" s="14"/>
      <c r="AR17" s="14">
        <v>54913</v>
      </c>
      <c r="AS17" s="14"/>
      <c r="AT17" s="14">
        <f t="shared" si="1"/>
        <v>1109069.32</v>
      </c>
      <c r="AU17" s="130">
        <f>+AT17*100/AT18</f>
        <v>3.4159906732605969</v>
      </c>
      <c r="AV17" s="130">
        <f t="shared" si="2"/>
        <v>0</v>
      </c>
      <c r="AW17" s="130"/>
    </row>
    <row r="18" spans="1:49" s="7" customFormat="1" ht="16.5" customHeight="1" x14ac:dyDescent="0.2">
      <c r="A18" s="19"/>
      <c r="B18" s="20"/>
      <c r="C18" s="21" t="s">
        <v>40</v>
      </c>
      <c r="D18" s="22">
        <f t="shared" ref="D18:AR18" si="15">+D4+D5</f>
        <v>1166955.93</v>
      </c>
      <c r="E18" s="22"/>
      <c r="F18" s="22">
        <f t="shared" si="15"/>
        <v>1332492.44</v>
      </c>
      <c r="G18" s="22"/>
      <c r="H18" s="22">
        <f t="shared" si="15"/>
        <v>2257170.2000000002</v>
      </c>
      <c r="I18" s="22"/>
      <c r="J18" s="22">
        <f t="shared" si="15"/>
        <v>1282670.4466666668</v>
      </c>
      <c r="K18" s="22"/>
      <c r="L18" s="22">
        <f t="shared" si="15"/>
        <v>1367306.87</v>
      </c>
      <c r="M18" s="22"/>
      <c r="N18" s="22">
        <f t="shared" si="15"/>
        <v>887747.99999999988</v>
      </c>
      <c r="O18" s="22"/>
      <c r="P18" s="22">
        <f t="shared" si="15"/>
        <v>1534237.35</v>
      </c>
      <c r="Q18" s="22"/>
      <c r="R18" s="22">
        <f t="shared" si="15"/>
        <v>1685264.9233333333</v>
      </c>
      <c r="S18" s="22"/>
      <c r="T18" s="22">
        <f>+T4+T5</f>
        <v>1278539.9100000001</v>
      </c>
      <c r="U18" s="22"/>
      <c r="V18" s="22">
        <f t="shared" si="15"/>
        <v>1655000.56</v>
      </c>
      <c r="W18" s="22"/>
      <c r="X18" s="22">
        <f t="shared" si="15"/>
        <v>1766628.2499999998</v>
      </c>
      <c r="Y18" s="22"/>
      <c r="Z18" s="22">
        <f t="shared" si="15"/>
        <v>1270967.68</v>
      </c>
      <c r="AA18" s="22"/>
      <c r="AB18" s="22">
        <f t="shared" si="15"/>
        <v>2508859.63</v>
      </c>
      <c r="AC18" s="22"/>
      <c r="AD18" s="22">
        <f t="shared" si="15"/>
        <v>1176315.3500000001</v>
      </c>
      <c r="AE18" s="22"/>
      <c r="AF18" s="22">
        <f t="shared" si="15"/>
        <v>1392786.66</v>
      </c>
      <c r="AG18" s="22"/>
      <c r="AH18" s="22">
        <f t="shared" si="15"/>
        <v>972936.21</v>
      </c>
      <c r="AI18" s="22"/>
      <c r="AJ18" s="22">
        <f t="shared" si="15"/>
        <v>1404944.3</v>
      </c>
      <c r="AK18" s="22"/>
      <c r="AL18" s="22">
        <f t="shared" si="15"/>
        <v>822305.40999999992</v>
      </c>
      <c r="AM18" s="22"/>
      <c r="AN18" s="22">
        <f t="shared" si="15"/>
        <v>1571946.6433333335</v>
      </c>
      <c r="AO18" s="22"/>
      <c r="AP18" s="22">
        <f t="shared" si="15"/>
        <v>2114578.1</v>
      </c>
      <c r="AQ18" s="22"/>
      <c r="AR18" s="22">
        <f t="shared" si="15"/>
        <v>3017334.25</v>
      </c>
      <c r="AS18" s="22"/>
      <c r="AT18" s="22">
        <f t="shared" si="1"/>
        <v>32466989.113333333</v>
      </c>
      <c r="AU18" s="187">
        <v>100</v>
      </c>
      <c r="AV18" s="22">
        <f t="shared" si="2"/>
        <v>0</v>
      </c>
      <c r="AW18" s="22"/>
    </row>
    <row r="19" spans="1:49" s="7" customFormat="1" ht="16.5" customHeight="1" x14ac:dyDescent="0.2">
      <c r="A19" s="35">
        <v>3</v>
      </c>
      <c r="B19" s="36"/>
      <c r="C19" s="37" t="s">
        <v>1</v>
      </c>
      <c r="D19" s="33">
        <f>SUM(D20:D29)</f>
        <v>1088815</v>
      </c>
      <c r="E19" s="33"/>
      <c r="F19" s="33">
        <f t="shared" ref="F19:AR19" si="16">SUM(F20:F29)</f>
        <v>1143787.58</v>
      </c>
      <c r="G19" s="33"/>
      <c r="H19" s="33">
        <f t="shared" si="16"/>
        <v>1506941</v>
      </c>
      <c r="I19" s="33"/>
      <c r="J19" s="33">
        <f t="shared" si="16"/>
        <v>1029270.59</v>
      </c>
      <c r="K19" s="33"/>
      <c r="L19" s="33">
        <f t="shared" si="16"/>
        <v>999453.81777777779</v>
      </c>
      <c r="M19" s="33"/>
      <c r="N19" s="33">
        <f t="shared" si="16"/>
        <v>798118</v>
      </c>
      <c r="O19" s="33"/>
      <c r="P19" s="33">
        <f t="shared" si="16"/>
        <v>1088416</v>
      </c>
      <c r="Q19" s="33"/>
      <c r="R19" s="33">
        <f t="shared" si="16"/>
        <v>1532532.47</v>
      </c>
      <c r="S19" s="33"/>
      <c r="T19" s="33">
        <f t="shared" si="16"/>
        <v>1490278.13</v>
      </c>
      <c r="U19" s="33"/>
      <c r="V19" s="33">
        <f t="shared" si="16"/>
        <v>1540993.66</v>
      </c>
      <c r="W19" s="33"/>
      <c r="X19" s="33">
        <f t="shared" si="16"/>
        <v>1573483.19</v>
      </c>
      <c r="Y19" s="33"/>
      <c r="Z19" s="33">
        <f t="shared" si="16"/>
        <v>1012102.22</v>
      </c>
      <c r="AA19" s="33"/>
      <c r="AB19" s="33">
        <f t="shared" si="16"/>
        <v>2325050</v>
      </c>
      <c r="AC19" s="33"/>
      <c r="AD19" s="33">
        <f t="shared" si="16"/>
        <v>953731.13</v>
      </c>
      <c r="AE19" s="33"/>
      <c r="AF19" s="33">
        <f t="shared" si="16"/>
        <v>1227166.01</v>
      </c>
      <c r="AG19" s="33"/>
      <c r="AH19" s="33">
        <f t="shared" si="16"/>
        <v>879795.03</v>
      </c>
      <c r="AI19" s="33"/>
      <c r="AJ19" s="33">
        <f t="shared" si="16"/>
        <v>1249881.82</v>
      </c>
      <c r="AK19" s="33"/>
      <c r="AL19" s="33">
        <f t="shared" si="16"/>
        <v>778223.35</v>
      </c>
      <c r="AM19" s="33"/>
      <c r="AN19" s="33">
        <f t="shared" si="16"/>
        <v>1425268.26</v>
      </c>
      <c r="AO19" s="33"/>
      <c r="AP19" s="33">
        <f t="shared" si="16"/>
        <v>1948488.92</v>
      </c>
      <c r="AQ19" s="33"/>
      <c r="AR19" s="33">
        <f t="shared" si="16"/>
        <v>2677949.4</v>
      </c>
      <c r="AS19" s="33"/>
      <c r="AT19" s="33">
        <f t="shared" si="1"/>
        <v>28269745.577777773</v>
      </c>
      <c r="AU19" s="33"/>
      <c r="AV19" s="33">
        <f t="shared" si="2"/>
        <v>0</v>
      </c>
      <c r="AW19" s="33"/>
    </row>
    <row r="20" spans="1:49" s="7" customFormat="1" ht="16.5" customHeight="1" x14ac:dyDescent="0.2">
      <c r="A20" s="16"/>
      <c r="B20" s="17">
        <v>3.1</v>
      </c>
      <c r="C20" s="18" t="s">
        <v>17</v>
      </c>
      <c r="D20" s="6">
        <v>160000</v>
      </c>
      <c r="E20" s="6"/>
      <c r="F20" s="6">
        <v>140972.18</v>
      </c>
      <c r="G20" s="6"/>
      <c r="H20" s="6">
        <v>234754</v>
      </c>
      <c r="I20" s="6"/>
      <c r="J20" s="6">
        <v>223187.59</v>
      </c>
      <c r="K20" s="6"/>
      <c r="L20" s="6">
        <v>101583.81777777779</v>
      </c>
      <c r="M20" s="6"/>
      <c r="N20" s="6">
        <v>170000</v>
      </c>
      <c r="O20" s="6"/>
      <c r="P20" s="6">
        <v>23200</v>
      </c>
      <c r="Q20" s="6"/>
      <c r="R20" s="6">
        <v>315938.46999999997</v>
      </c>
      <c r="S20" s="6"/>
      <c r="T20" s="6">
        <v>475219.13</v>
      </c>
      <c r="U20" s="6"/>
      <c r="V20" s="6">
        <v>199768.46</v>
      </c>
      <c r="W20" s="6"/>
      <c r="X20" s="6">
        <v>329211.19</v>
      </c>
      <c r="Y20" s="6"/>
      <c r="Z20" s="6">
        <v>246157.22</v>
      </c>
      <c r="AA20" s="6"/>
      <c r="AB20" s="6">
        <v>300000</v>
      </c>
      <c r="AC20" s="6"/>
      <c r="AD20" s="6">
        <v>298059.13</v>
      </c>
      <c r="AE20" s="6"/>
      <c r="AF20" s="6">
        <v>237286.01</v>
      </c>
      <c r="AG20" s="6"/>
      <c r="AH20" s="6">
        <f>86988.67+9578.28+14619.81+1718.27</f>
        <v>112905.03</v>
      </c>
      <c r="AI20" s="6"/>
      <c r="AJ20" s="6">
        <v>148524.82</v>
      </c>
      <c r="AK20" s="6"/>
      <c r="AL20" s="6">
        <v>173713.35</v>
      </c>
      <c r="AM20" s="6"/>
      <c r="AN20" s="6">
        <v>176950.26</v>
      </c>
      <c r="AO20" s="6"/>
      <c r="AP20" s="6">
        <v>404432.44</v>
      </c>
      <c r="AQ20" s="6"/>
      <c r="AR20" s="6">
        <v>275867.40000000002</v>
      </c>
      <c r="AS20" s="6"/>
      <c r="AT20" s="6">
        <f t="shared" si="1"/>
        <v>4747730.4977777777</v>
      </c>
      <c r="AU20" s="129">
        <f>+AT20*100/AT30</f>
        <v>16.794387076160547</v>
      </c>
      <c r="AV20" s="129">
        <f t="shared" si="2"/>
        <v>0</v>
      </c>
      <c r="AW20" s="129"/>
    </row>
    <row r="21" spans="1:49" s="7" customFormat="1" ht="16.5" customHeight="1" x14ac:dyDescent="0.2">
      <c r="A21" s="16"/>
      <c r="B21" s="17">
        <v>3.2</v>
      </c>
      <c r="C21" s="9" t="s">
        <v>14</v>
      </c>
      <c r="D21" s="6">
        <v>182930</v>
      </c>
      <c r="E21" s="6"/>
      <c r="F21" s="6">
        <v>177200</v>
      </c>
      <c r="G21" s="6"/>
      <c r="H21" s="6">
        <v>308060</v>
      </c>
      <c r="I21" s="6"/>
      <c r="J21" s="6">
        <v>80000</v>
      </c>
      <c r="K21" s="6"/>
      <c r="L21" s="6">
        <v>236900</v>
      </c>
      <c r="M21" s="6"/>
      <c r="N21" s="6">
        <v>105640</v>
      </c>
      <c r="O21" s="6"/>
      <c r="P21" s="6">
        <v>105500</v>
      </c>
      <c r="Q21" s="6"/>
      <c r="R21" s="6">
        <v>151000</v>
      </c>
      <c r="S21" s="6"/>
      <c r="T21" s="6">
        <v>206400</v>
      </c>
      <c r="U21" s="6"/>
      <c r="V21" s="6">
        <v>80000</v>
      </c>
      <c r="W21" s="6"/>
      <c r="X21" s="6">
        <v>250720</v>
      </c>
      <c r="Y21" s="6"/>
      <c r="Z21" s="6">
        <v>105600</v>
      </c>
      <c r="AA21" s="6"/>
      <c r="AB21" s="6">
        <v>349855</v>
      </c>
      <c r="AC21" s="6"/>
      <c r="AD21" s="6">
        <v>105600</v>
      </c>
      <c r="AE21" s="6"/>
      <c r="AF21" s="6">
        <v>150000</v>
      </c>
      <c r="AG21" s="6"/>
      <c r="AH21" s="6">
        <v>169930</v>
      </c>
      <c r="AI21" s="6"/>
      <c r="AJ21" s="6">
        <v>80000</v>
      </c>
      <c r="AK21" s="6"/>
      <c r="AL21" s="6">
        <v>80000</v>
      </c>
      <c r="AM21" s="6"/>
      <c r="AN21" s="6">
        <v>136700</v>
      </c>
      <c r="AO21" s="6"/>
      <c r="AP21" s="6">
        <v>603660</v>
      </c>
      <c r="AQ21" s="6"/>
      <c r="AR21" s="6">
        <v>344250</v>
      </c>
      <c r="AS21" s="6"/>
      <c r="AT21" s="6">
        <f t="shared" si="1"/>
        <v>4009945</v>
      </c>
      <c r="AU21" s="129">
        <f>+AT21*100/AT30</f>
        <v>14.184581141586678</v>
      </c>
      <c r="AV21" s="129">
        <f t="shared" si="2"/>
        <v>0</v>
      </c>
      <c r="AW21" s="129"/>
    </row>
    <row r="22" spans="1:49" s="7" customFormat="1" ht="16.5" customHeight="1" x14ac:dyDescent="0.2">
      <c r="A22" s="16"/>
      <c r="B22" s="17">
        <v>3.3</v>
      </c>
      <c r="C22" s="5" t="s">
        <v>10</v>
      </c>
      <c r="D22" s="6">
        <v>216000</v>
      </c>
      <c r="E22" s="6"/>
      <c r="F22" s="6">
        <f>124560+54000+26016+4982.4</f>
        <v>209558.39999999999</v>
      </c>
      <c r="G22" s="6"/>
      <c r="H22" s="6">
        <f>160200+104520+78000+57600</f>
        <v>400320</v>
      </c>
      <c r="I22" s="6"/>
      <c r="J22" s="6">
        <f>83160+45360</f>
        <v>128520</v>
      </c>
      <c r="K22" s="6"/>
      <c r="L22" s="6">
        <f>82800+86400+56400</f>
        <v>225600</v>
      </c>
      <c r="M22" s="6"/>
      <c r="N22" s="6">
        <f>76560+63360+6996</f>
        <v>146916</v>
      </c>
      <c r="O22" s="6"/>
      <c r="P22" s="6">
        <f>160800+79920+64920+71040+3216+8040</f>
        <v>387936</v>
      </c>
      <c r="Q22" s="6"/>
      <c r="R22" s="6">
        <f>151680+80400+81600+54000+104520</f>
        <v>472200</v>
      </c>
      <c r="S22" s="6"/>
      <c r="T22" s="6">
        <f>87120+54000+7800</f>
        <v>148920</v>
      </c>
      <c r="U22" s="6"/>
      <c r="V22" s="6">
        <f>151680+130800+135000+79200+54000</f>
        <v>550680</v>
      </c>
      <c r="W22" s="6"/>
      <c r="X22" s="6">
        <f>191520+75600+79200+63600</f>
        <v>409920</v>
      </c>
      <c r="Y22" s="6"/>
      <c r="Z22" s="6">
        <f>69360+81960</f>
        <v>151320</v>
      </c>
      <c r="AA22" s="6"/>
      <c r="AB22" s="6">
        <f>184030+184030+184030+90720+75600</f>
        <v>718410</v>
      </c>
      <c r="AC22" s="6"/>
      <c r="AD22" s="6">
        <f>79200+79200+7920</f>
        <v>166320</v>
      </c>
      <c r="AE22" s="6"/>
      <c r="AF22" s="6">
        <f>91920+98400+69360+36000</f>
        <v>295680</v>
      </c>
      <c r="AG22" s="6"/>
      <c r="AH22" s="6">
        <f>79200+90000+75600+11368</f>
        <v>256168</v>
      </c>
      <c r="AI22" s="6"/>
      <c r="AJ22" s="6">
        <f>543240+10260</f>
        <v>553500</v>
      </c>
      <c r="AK22" s="6"/>
      <c r="AL22" s="6">
        <f>151200+10260</f>
        <v>161460</v>
      </c>
      <c r="AM22" s="6"/>
      <c r="AN22" s="6">
        <f>153960+131400+78000+78000+58500</f>
        <v>499860</v>
      </c>
      <c r="AO22" s="6"/>
      <c r="AP22" s="6">
        <f>130320+103824+88992+60000</f>
        <v>383136</v>
      </c>
      <c r="AQ22" s="6"/>
      <c r="AR22" s="6">
        <f>191520+206880+163920+133440+94800+75600+86940</f>
        <v>953100</v>
      </c>
      <c r="AS22" s="6"/>
      <c r="AT22" s="6">
        <f t="shared" si="1"/>
        <v>7435524.4000000004</v>
      </c>
      <c r="AU22" s="129">
        <f>+AT22*100/AT30</f>
        <v>26.302056308016095</v>
      </c>
      <c r="AV22" s="129">
        <f t="shared" si="2"/>
        <v>0</v>
      </c>
      <c r="AW22" s="129"/>
    </row>
    <row r="23" spans="1:49" s="7" customFormat="1" ht="16.5" customHeight="1" x14ac:dyDescent="0.2">
      <c r="A23" s="16"/>
      <c r="B23" s="17">
        <v>3.4</v>
      </c>
      <c r="C23" s="9" t="s">
        <v>64</v>
      </c>
      <c r="D23" s="6">
        <v>270188</v>
      </c>
      <c r="E23" s="6"/>
      <c r="F23" s="6">
        <f>148220+121200</f>
        <v>269420</v>
      </c>
      <c r="G23" s="6"/>
      <c r="H23" s="6">
        <f>216000+82800</f>
        <v>298800</v>
      </c>
      <c r="I23" s="6"/>
      <c r="J23" s="6">
        <f>156332+93600</f>
        <v>249932</v>
      </c>
      <c r="K23" s="6"/>
      <c r="L23" s="6">
        <f>122400+64800</f>
        <v>187200</v>
      </c>
      <c r="M23" s="6"/>
      <c r="N23" s="6">
        <f>122400+50000</f>
        <v>172400</v>
      </c>
      <c r="O23" s="6"/>
      <c r="P23" s="6">
        <f>178600+86400</f>
        <v>265000</v>
      </c>
      <c r="Q23" s="6"/>
      <c r="R23" s="6">
        <f>180000+50000</f>
        <v>230000</v>
      </c>
      <c r="S23" s="6"/>
      <c r="T23" s="6">
        <f>153930+100800</f>
        <v>254730</v>
      </c>
      <c r="U23" s="6"/>
      <c r="V23" s="6">
        <f>122400+132000</f>
        <v>254400</v>
      </c>
      <c r="W23" s="6"/>
      <c r="X23" s="6">
        <f>122400+12000+64800</f>
        <v>199200</v>
      </c>
      <c r="Y23" s="6"/>
      <c r="Z23" s="6">
        <f>122400+65000</f>
        <v>187400</v>
      </c>
      <c r="AA23" s="6"/>
      <c r="AB23" s="6">
        <f>180000+117600+12000</f>
        <v>309600</v>
      </c>
      <c r="AC23" s="6"/>
      <c r="AD23" s="6">
        <f>122400+100800</f>
        <v>223200</v>
      </c>
      <c r="AE23" s="6"/>
      <c r="AF23" s="6">
        <f>180000+150000</f>
        <v>330000</v>
      </c>
      <c r="AG23" s="6"/>
      <c r="AH23" s="6">
        <f>122400+75600</f>
        <v>198000</v>
      </c>
      <c r="AI23" s="6"/>
      <c r="AJ23" s="6">
        <v>290000</v>
      </c>
      <c r="AK23" s="6"/>
      <c r="AL23" s="6">
        <v>166300</v>
      </c>
      <c r="AM23" s="6"/>
      <c r="AN23" s="6">
        <f>122400+51600</f>
        <v>174000</v>
      </c>
      <c r="AO23" s="6"/>
      <c r="AP23" s="6">
        <f>122400+105600</f>
        <v>228000</v>
      </c>
      <c r="AQ23" s="6"/>
      <c r="AR23" s="6">
        <f>160000+95400</f>
        <v>255400</v>
      </c>
      <c r="AS23" s="6"/>
      <c r="AT23" s="6">
        <f t="shared" si="1"/>
        <v>5013170</v>
      </c>
      <c r="AU23" s="129">
        <f>+AT23*100/AT30</f>
        <v>17.733339644700386</v>
      </c>
      <c r="AV23" s="129">
        <f t="shared" si="2"/>
        <v>0</v>
      </c>
      <c r="AW23" s="129"/>
    </row>
    <row r="24" spans="1:49" s="7" customFormat="1" ht="16.5" customHeight="1" x14ac:dyDescent="0.2">
      <c r="A24" s="16"/>
      <c r="B24" s="17">
        <v>3.5</v>
      </c>
      <c r="C24" s="9" t="s">
        <v>11</v>
      </c>
      <c r="D24" s="6">
        <v>165232</v>
      </c>
      <c r="E24" s="6"/>
      <c r="F24" s="6">
        <f>25000+10000+50000+30000+4000+15432+10000</f>
        <v>144432</v>
      </c>
      <c r="G24" s="6"/>
      <c r="H24" s="6">
        <f>55000+15000+5000+15432+2000+6000+20000+29000+3100</f>
        <v>150532</v>
      </c>
      <c r="I24" s="6"/>
      <c r="J24" s="6">
        <f>35000+30000+5000+18000+1800+1000+15432+9000+25620+30000+3000+6432</f>
        <v>180284</v>
      </c>
      <c r="K24" s="6"/>
      <c r="L24" s="6">
        <v>144400</v>
      </c>
      <c r="M24" s="6"/>
      <c r="N24" s="6">
        <f>60000+40000+5000+12000+2000+15432</f>
        <v>134432</v>
      </c>
      <c r="O24" s="6"/>
      <c r="P24" s="6">
        <v>169000</v>
      </c>
      <c r="Q24" s="6"/>
      <c r="R24" s="6">
        <f>20000+55000+20000+30000+5000+4000+42000</f>
        <v>176000</v>
      </c>
      <c r="S24" s="6"/>
      <c r="T24" s="6">
        <v>261000</v>
      </c>
      <c r="U24" s="6"/>
      <c r="V24" s="6">
        <f>30000+40000+16000+40000+7800+26800+5491.2+20000+20000+40000</f>
        <v>246091.2</v>
      </c>
      <c r="W24" s="6"/>
      <c r="X24" s="6">
        <f>50000+30000+20000+5000+10000+3200+19920+15432+5000+5000+20000+30000+20000</f>
        <v>233552</v>
      </c>
      <c r="Y24" s="6"/>
      <c r="Z24" s="6">
        <f>45000+68347</f>
        <v>113347</v>
      </c>
      <c r="AA24" s="6"/>
      <c r="AB24" s="6">
        <v>216600</v>
      </c>
      <c r="AC24" s="6"/>
      <c r="AD24" s="6">
        <f>15000+5000+36000+5000+21862</f>
        <v>82862</v>
      </c>
      <c r="AE24" s="6"/>
      <c r="AF24" s="6">
        <f>50000+5000+30000+15000</f>
        <v>100000</v>
      </c>
      <c r="AG24" s="6"/>
      <c r="AH24" s="6">
        <f>31368+5000+2000+2000+20000+2000</f>
        <v>62368</v>
      </c>
      <c r="AI24" s="6"/>
      <c r="AJ24" s="6">
        <v>66862</v>
      </c>
      <c r="AK24" s="6"/>
      <c r="AL24" s="6">
        <v>131000</v>
      </c>
      <c r="AM24" s="6"/>
      <c r="AN24" s="6">
        <v>95388</v>
      </c>
      <c r="AO24" s="6"/>
      <c r="AP24" s="6">
        <f>25000+20200+30000+2000+3000+1000+12640+2076.48+15432+10000+10000+2000</f>
        <v>133348.47999999998</v>
      </c>
      <c r="AQ24" s="6"/>
      <c r="AR24" s="6">
        <f>30000+30000+40000+30000+40000+40000+30000+5000+15432+40000+30000+40000+40000+10000</f>
        <v>420432</v>
      </c>
      <c r="AS24" s="6"/>
      <c r="AT24" s="6">
        <f t="shared" si="1"/>
        <v>3427162.6799999997</v>
      </c>
      <c r="AU24" s="129">
        <f>+AT24*100/AT30</f>
        <v>12.123075782804417</v>
      </c>
      <c r="AV24" s="129">
        <f t="shared" si="2"/>
        <v>0</v>
      </c>
      <c r="AW24" s="129"/>
    </row>
    <row r="25" spans="1:49" s="7" customFormat="1" ht="16.5" customHeight="1" x14ac:dyDescent="0.2">
      <c r="A25" s="16"/>
      <c r="B25" s="17">
        <v>3.6</v>
      </c>
      <c r="C25" s="9" t="s">
        <v>12</v>
      </c>
      <c r="D25" s="6">
        <v>36465</v>
      </c>
      <c r="E25" s="6"/>
      <c r="F25" s="6">
        <f>6470+3500+7735+4600+2000+12600+2500+8000+5500</f>
        <v>52905</v>
      </c>
      <c r="G25" s="6"/>
      <c r="H25" s="6">
        <f>3600+20000+1500+13375</f>
        <v>38475</v>
      </c>
      <c r="I25" s="6"/>
      <c r="J25" s="6">
        <f>15557+2500+2530+7240+15000+6520</f>
        <v>49347</v>
      </c>
      <c r="K25" s="6"/>
      <c r="L25" s="6">
        <v>54370</v>
      </c>
      <c r="M25" s="6"/>
      <c r="N25" s="6">
        <f>4560+4070+4150+2250</f>
        <v>15030</v>
      </c>
      <c r="O25" s="6"/>
      <c r="P25" s="6">
        <v>63980</v>
      </c>
      <c r="Q25" s="6"/>
      <c r="R25" s="6">
        <f>15070+1500+3476+5800+8370+11078</f>
        <v>45294</v>
      </c>
      <c r="S25" s="6"/>
      <c r="T25" s="6">
        <v>51709</v>
      </c>
      <c r="U25" s="6"/>
      <c r="V25" s="6">
        <f>16213+11501+3400+7760+16790</f>
        <v>55664</v>
      </c>
      <c r="W25" s="6"/>
      <c r="X25" s="6">
        <v>52280</v>
      </c>
      <c r="Y25" s="6"/>
      <c r="Z25" s="6">
        <v>62278</v>
      </c>
      <c r="AA25" s="6"/>
      <c r="AB25" s="6">
        <v>234535</v>
      </c>
      <c r="AC25" s="6"/>
      <c r="AD25" s="6">
        <f>8320+3210+5360</f>
        <v>16890</v>
      </c>
      <c r="AE25" s="6"/>
      <c r="AF25" s="6">
        <f>15000+15000+13800</f>
        <v>43800</v>
      </c>
      <c r="AG25" s="6"/>
      <c r="AH25" s="6">
        <f>11754+450+4770+11650</f>
        <v>28624</v>
      </c>
      <c r="AI25" s="6"/>
      <c r="AJ25" s="6">
        <v>36005</v>
      </c>
      <c r="AK25" s="6"/>
      <c r="AL25" s="6">
        <v>15050</v>
      </c>
      <c r="AM25" s="6"/>
      <c r="AN25" s="6">
        <v>66270</v>
      </c>
      <c r="AO25" s="6"/>
      <c r="AP25" s="6">
        <v>86394</v>
      </c>
      <c r="AQ25" s="6"/>
      <c r="AR25" s="6">
        <f>30000+8860+28670+39400+6030+26400+12500+57640+7000</f>
        <v>216500</v>
      </c>
      <c r="AS25" s="6"/>
      <c r="AT25" s="6">
        <f t="shared" si="1"/>
        <v>1321865</v>
      </c>
      <c r="AU25" s="129">
        <f>+AT25*100/AT30</f>
        <v>4.6758998816002402</v>
      </c>
      <c r="AV25" s="129">
        <f t="shared" si="2"/>
        <v>0</v>
      </c>
      <c r="AW25" s="129"/>
    </row>
    <row r="26" spans="1:49" s="7" customFormat="1" ht="16.5" customHeight="1" x14ac:dyDescent="0.2">
      <c r="A26" s="16"/>
      <c r="B26" s="17">
        <v>3.7</v>
      </c>
      <c r="C26" s="9" t="s">
        <v>13</v>
      </c>
      <c r="D26" s="6">
        <v>31500</v>
      </c>
      <c r="E26" s="6"/>
      <c r="F26" s="6">
        <v>25000</v>
      </c>
      <c r="G26" s="6"/>
      <c r="H26" s="6">
        <f>30000+3000</f>
        <v>33000</v>
      </c>
      <c r="I26" s="6"/>
      <c r="J26" s="6">
        <f>30000+2000</f>
        <v>32000</v>
      </c>
      <c r="K26" s="6"/>
      <c r="L26" s="6">
        <v>29400</v>
      </c>
      <c r="M26" s="6"/>
      <c r="N26" s="6">
        <f>20000+1100+1800</f>
        <v>22900</v>
      </c>
      <c r="O26" s="6"/>
      <c r="P26" s="6">
        <v>46500</v>
      </c>
      <c r="Q26" s="6"/>
      <c r="R26" s="6">
        <f>35000+4000+7200</f>
        <v>46200</v>
      </c>
      <c r="S26" s="6"/>
      <c r="T26" s="6">
        <v>20300</v>
      </c>
      <c r="U26" s="6"/>
      <c r="V26" s="6">
        <v>40000</v>
      </c>
      <c r="W26" s="6"/>
      <c r="X26" s="6">
        <f>20000+2200+2000</f>
        <v>24200</v>
      </c>
      <c r="Y26" s="6"/>
      <c r="Z26" s="6">
        <v>39000</v>
      </c>
      <c r="AA26" s="6"/>
      <c r="AB26" s="6">
        <v>61500</v>
      </c>
      <c r="AC26" s="6"/>
      <c r="AD26" s="6">
        <f>36000+2400+3600</f>
        <v>42000</v>
      </c>
      <c r="AE26" s="6"/>
      <c r="AF26" s="6">
        <f>47000+2000+1200</f>
        <v>50200</v>
      </c>
      <c r="AG26" s="6"/>
      <c r="AH26" s="6">
        <f>25000+3800</f>
        <v>28800</v>
      </c>
      <c r="AI26" s="6"/>
      <c r="AJ26" s="6">
        <v>24000</v>
      </c>
      <c r="AK26" s="6"/>
      <c r="AL26" s="6">
        <v>28700</v>
      </c>
      <c r="AM26" s="6"/>
      <c r="AN26" s="6">
        <f>42000+3000+1300</f>
        <v>46300</v>
      </c>
      <c r="AO26" s="6"/>
      <c r="AP26" s="6">
        <f>62000+4088+1430</f>
        <v>67518</v>
      </c>
      <c r="AQ26" s="6"/>
      <c r="AR26" s="6">
        <f>70000+4000+3000+12000</f>
        <v>89000</v>
      </c>
      <c r="AS26" s="6"/>
      <c r="AT26" s="6">
        <f t="shared" si="1"/>
        <v>828018</v>
      </c>
      <c r="AU26" s="129">
        <f>+AT26*100/AT30</f>
        <v>2.9289899257207566</v>
      </c>
      <c r="AV26" s="129">
        <f t="shared" si="2"/>
        <v>0</v>
      </c>
      <c r="AW26" s="129"/>
    </row>
    <row r="27" spans="1:49" s="7" customFormat="1" ht="16.5" customHeight="1" x14ac:dyDescent="0.2">
      <c r="A27" s="16"/>
      <c r="B27" s="17">
        <v>3.8</v>
      </c>
      <c r="C27" s="9" t="s">
        <v>15</v>
      </c>
      <c r="D27" s="6">
        <v>11500</v>
      </c>
      <c r="E27" s="6"/>
      <c r="F27" s="6">
        <f>4300+22000</f>
        <v>26300</v>
      </c>
      <c r="G27" s="6"/>
      <c r="H27" s="6">
        <f>11000+32000</f>
        <v>43000</v>
      </c>
      <c r="I27" s="6"/>
      <c r="J27" s="6">
        <f>29800+10200+7000+12000+27000</f>
        <v>86000</v>
      </c>
      <c r="K27" s="6"/>
      <c r="L27" s="6">
        <f>14000+6000</f>
        <v>20000</v>
      </c>
      <c r="M27" s="6"/>
      <c r="N27" s="6">
        <f>14000+6800+10000</f>
        <v>30800</v>
      </c>
      <c r="O27" s="6"/>
      <c r="P27" s="6">
        <f>3000+4300+20000</f>
        <v>27300</v>
      </c>
      <c r="Q27" s="6"/>
      <c r="R27" s="6">
        <f>11100+12500+7500+11500+22500+7900+9900+13000</f>
        <v>95900</v>
      </c>
      <c r="S27" s="6"/>
      <c r="T27" s="6">
        <f>21100+50900</f>
        <v>72000</v>
      </c>
      <c r="U27" s="6"/>
      <c r="V27" s="6">
        <f>4000+900+44000+6990+11500+25000+22000</f>
        <v>114390</v>
      </c>
      <c r="W27" s="6"/>
      <c r="X27" s="6">
        <f>7200+8000+4300+3300+21600+30000</f>
        <v>74400</v>
      </c>
      <c r="Y27" s="6"/>
      <c r="Z27" s="6">
        <v>107000</v>
      </c>
      <c r="AA27" s="6"/>
      <c r="AB27" s="6">
        <f>43650+4900+19000+67000</f>
        <v>134550</v>
      </c>
      <c r="AC27" s="6"/>
      <c r="AD27" s="6">
        <f>2800+16000</f>
        <v>18800</v>
      </c>
      <c r="AE27" s="6"/>
      <c r="AF27" s="6">
        <f>5200+15000</f>
        <v>20200</v>
      </c>
      <c r="AG27" s="6"/>
      <c r="AH27" s="6">
        <f>3000+20000</f>
        <v>23000</v>
      </c>
      <c r="AI27" s="6"/>
      <c r="AJ27" s="6">
        <f>20000+5000+25990</f>
        <v>50990</v>
      </c>
      <c r="AK27" s="6"/>
      <c r="AL27" s="6">
        <v>22000</v>
      </c>
      <c r="AM27" s="6"/>
      <c r="AN27" s="6">
        <f>10000+16400+203400</f>
        <v>229800</v>
      </c>
      <c r="AO27" s="6"/>
      <c r="AP27" s="6">
        <f>10000+10000+22000</f>
        <v>42000</v>
      </c>
      <c r="AQ27" s="6"/>
      <c r="AR27" s="6">
        <f>6900+13500+10000+44000+42000+7000</f>
        <v>123400</v>
      </c>
      <c r="AS27" s="6"/>
      <c r="AT27" s="6">
        <f t="shared" si="1"/>
        <v>1373330</v>
      </c>
      <c r="AU27" s="129">
        <f>+AT27*100/AT30</f>
        <v>4.8579496275323564</v>
      </c>
      <c r="AV27" s="129">
        <f t="shared" si="2"/>
        <v>0</v>
      </c>
      <c r="AW27" s="129"/>
    </row>
    <row r="28" spans="1:49" s="7" customFormat="1" ht="16.5" customHeight="1" x14ac:dyDescent="0.2">
      <c r="A28" s="16"/>
      <c r="B28" s="17">
        <v>3.9</v>
      </c>
      <c r="C28" s="9" t="s">
        <v>16</v>
      </c>
      <c r="D28" s="6">
        <v>15000</v>
      </c>
      <c r="E28" s="6"/>
      <c r="F28" s="6">
        <v>98000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 t="s">
        <v>67</v>
      </c>
      <c r="AM28" s="6"/>
      <c r="AN28" s="6"/>
      <c r="AO28" s="6"/>
      <c r="AP28" s="6"/>
      <c r="AQ28" s="6"/>
      <c r="AR28" s="6"/>
      <c r="AS28" s="6"/>
      <c r="AT28" s="6"/>
      <c r="AU28" s="129">
        <f>+AT28*100/AT30</f>
        <v>0</v>
      </c>
      <c r="AV28" s="129">
        <f t="shared" si="2"/>
        <v>0</v>
      </c>
      <c r="AW28" s="129"/>
    </row>
    <row r="29" spans="1:49" s="7" customFormat="1" ht="16.5" customHeight="1" x14ac:dyDescent="0.2">
      <c r="A29" s="16"/>
      <c r="B29" s="23">
        <v>3.1</v>
      </c>
      <c r="C29" s="9" t="s">
        <v>18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>
        <f t="shared" si="1"/>
        <v>0</v>
      </c>
      <c r="AU29" s="6"/>
      <c r="AV29" s="6">
        <f t="shared" si="2"/>
        <v>0</v>
      </c>
      <c r="AW29" s="6"/>
    </row>
    <row r="30" spans="1:49" s="7" customFormat="1" ht="16.5" customHeight="1" x14ac:dyDescent="0.2">
      <c r="A30" s="19"/>
      <c r="B30" s="20"/>
      <c r="C30" s="24" t="s">
        <v>19</v>
      </c>
      <c r="D30" s="22">
        <f t="shared" ref="D30:T30" si="17">+D19</f>
        <v>1088815</v>
      </c>
      <c r="E30" s="22"/>
      <c r="F30" s="22">
        <f t="shared" si="17"/>
        <v>1143787.58</v>
      </c>
      <c r="G30" s="22"/>
      <c r="H30" s="22">
        <f t="shared" si="17"/>
        <v>1506941</v>
      </c>
      <c r="I30" s="22"/>
      <c r="J30" s="22">
        <f t="shared" si="17"/>
        <v>1029270.59</v>
      </c>
      <c r="K30" s="22"/>
      <c r="L30" s="22">
        <f t="shared" si="17"/>
        <v>999453.81777777779</v>
      </c>
      <c r="M30" s="22"/>
      <c r="N30" s="22">
        <f t="shared" si="17"/>
        <v>798118</v>
      </c>
      <c r="O30" s="22"/>
      <c r="P30" s="22">
        <f t="shared" si="17"/>
        <v>1088416</v>
      </c>
      <c r="Q30" s="22"/>
      <c r="R30" s="22">
        <f t="shared" si="17"/>
        <v>1532532.47</v>
      </c>
      <c r="S30" s="22"/>
      <c r="T30" s="22">
        <f t="shared" si="17"/>
        <v>1490278.13</v>
      </c>
      <c r="U30" s="22"/>
      <c r="V30" s="22">
        <f>+V19</f>
        <v>1540993.66</v>
      </c>
      <c r="W30" s="22"/>
      <c r="X30" s="22">
        <f t="shared" ref="X30:AR30" si="18">+X19</f>
        <v>1573483.19</v>
      </c>
      <c r="Y30" s="22"/>
      <c r="Z30" s="22">
        <f t="shared" si="18"/>
        <v>1012102.22</v>
      </c>
      <c r="AA30" s="22"/>
      <c r="AB30" s="22">
        <f>+AB19</f>
        <v>2325050</v>
      </c>
      <c r="AC30" s="22"/>
      <c r="AD30" s="22">
        <f t="shared" si="18"/>
        <v>953731.13</v>
      </c>
      <c r="AE30" s="22"/>
      <c r="AF30" s="22">
        <f t="shared" si="18"/>
        <v>1227166.01</v>
      </c>
      <c r="AG30" s="22"/>
      <c r="AH30" s="22">
        <f t="shared" ref="AH30:AL30" si="19">+AH19</f>
        <v>879795.03</v>
      </c>
      <c r="AI30" s="22"/>
      <c r="AJ30" s="22">
        <f t="shared" si="19"/>
        <v>1249881.82</v>
      </c>
      <c r="AK30" s="22"/>
      <c r="AL30" s="22">
        <f t="shared" si="19"/>
        <v>778223.35</v>
      </c>
      <c r="AM30" s="22"/>
      <c r="AN30" s="22">
        <f t="shared" si="18"/>
        <v>1425268.26</v>
      </c>
      <c r="AO30" s="22"/>
      <c r="AP30" s="22">
        <f t="shared" si="18"/>
        <v>1948488.92</v>
      </c>
      <c r="AQ30" s="22"/>
      <c r="AR30" s="22">
        <f t="shared" si="18"/>
        <v>2677949.4</v>
      </c>
      <c r="AS30" s="22"/>
      <c r="AT30" s="22">
        <f t="shared" si="1"/>
        <v>28269745.577777773</v>
      </c>
      <c r="AU30" s="187">
        <v>100</v>
      </c>
      <c r="AV30" s="22">
        <f t="shared" si="2"/>
        <v>0</v>
      </c>
      <c r="AW30" s="22"/>
    </row>
    <row r="31" spans="1:49" s="7" customFormat="1" ht="16.5" customHeight="1" x14ac:dyDescent="0.2">
      <c r="A31" s="19">
        <v>4</v>
      </c>
      <c r="B31" s="20"/>
      <c r="C31" s="24" t="s">
        <v>37</v>
      </c>
      <c r="D31" s="22">
        <f t="shared" ref="D31:T31" si="20">+D4+D5-D30</f>
        <v>78140.929999999935</v>
      </c>
      <c r="E31" s="22"/>
      <c r="F31" s="22">
        <f t="shared" si="20"/>
        <v>188704.85999999987</v>
      </c>
      <c r="G31" s="22"/>
      <c r="H31" s="22">
        <f t="shared" si="20"/>
        <v>750229.20000000019</v>
      </c>
      <c r="I31" s="22"/>
      <c r="J31" s="22">
        <f t="shared" si="20"/>
        <v>253399.8566666668</v>
      </c>
      <c r="K31" s="22"/>
      <c r="L31" s="22">
        <f>+L4+L5-L30</f>
        <v>367853.05222222232</v>
      </c>
      <c r="M31" s="22"/>
      <c r="N31" s="22">
        <f t="shared" si="20"/>
        <v>89629.999999999884</v>
      </c>
      <c r="O31" s="22"/>
      <c r="P31" s="22">
        <f t="shared" si="20"/>
        <v>445821.35000000009</v>
      </c>
      <c r="Q31" s="22"/>
      <c r="R31" s="22">
        <f t="shared" si="20"/>
        <v>152732.45333333337</v>
      </c>
      <c r="S31" s="22"/>
      <c r="T31" s="22">
        <f t="shared" si="20"/>
        <v>-211738.21999999974</v>
      </c>
      <c r="U31" s="22"/>
      <c r="V31" s="22">
        <f t="shared" ref="V31:AF31" si="21">+V4+V5-V30</f>
        <v>114006.90000000014</v>
      </c>
      <c r="W31" s="22"/>
      <c r="X31" s="22">
        <f t="shared" si="21"/>
        <v>193145.05999999982</v>
      </c>
      <c r="Y31" s="22"/>
      <c r="Z31" s="22">
        <f t="shared" si="21"/>
        <v>258865.45999999996</v>
      </c>
      <c r="AA31" s="22"/>
      <c r="AB31" s="22">
        <f t="shared" si="21"/>
        <v>183809.62999999989</v>
      </c>
      <c r="AC31" s="22"/>
      <c r="AD31" s="22">
        <f t="shared" si="21"/>
        <v>222584.22000000009</v>
      </c>
      <c r="AE31" s="22"/>
      <c r="AF31" s="22">
        <f t="shared" si="21"/>
        <v>165620.64999999991</v>
      </c>
      <c r="AG31" s="22"/>
      <c r="AH31" s="22">
        <f t="shared" ref="AH31:AL31" si="22">+AH4+AH5-AH30</f>
        <v>93141.179999999935</v>
      </c>
      <c r="AI31" s="22"/>
      <c r="AJ31" s="22">
        <f t="shared" si="22"/>
        <v>155062.47999999998</v>
      </c>
      <c r="AK31" s="22"/>
      <c r="AL31" s="22">
        <f t="shared" si="22"/>
        <v>44082.059999999939</v>
      </c>
      <c r="AM31" s="22"/>
      <c r="AN31" s="22">
        <f>+AN4+AN5-AN30</f>
        <v>146678.38333333354</v>
      </c>
      <c r="AO31" s="22"/>
      <c r="AP31" s="22">
        <f>+AP4+AP5-AP30</f>
        <v>166089.18000000017</v>
      </c>
      <c r="AQ31" s="22"/>
      <c r="AR31" s="22">
        <f>+AR4+AR5-AR30</f>
        <v>339384.85000000009</v>
      </c>
      <c r="AS31" s="22"/>
      <c r="AT31" s="22">
        <f t="shared" si="1"/>
        <v>4197243.5355555564</v>
      </c>
      <c r="AU31" s="22"/>
      <c r="AV31" s="22">
        <f t="shared" si="2"/>
        <v>0</v>
      </c>
      <c r="AW31" s="22"/>
    </row>
    <row r="32" spans="1:49" s="7" customFormat="1" ht="27" customHeight="1" x14ac:dyDescent="0.2">
      <c r="A32" s="11">
        <v>5</v>
      </c>
      <c r="B32" s="17"/>
      <c r="C32" s="18" t="s">
        <v>82</v>
      </c>
      <c r="D32" s="6">
        <f t="shared" ref="D32:T32" si="23">+D33+D34</f>
        <v>41250</v>
      </c>
      <c r="E32" s="6"/>
      <c r="F32" s="6">
        <f t="shared" si="23"/>
        <v>39093.066666666666</v>
      </c>
      <c r="G32" s="6"/>
      <c r="H32" s="6">
        <f t="shared" si="23"/>
        <v>72220</v>
      </c>
      <c r="I32" s="6"/>
      <c r="J32" s="6">
        <f t="shared" si="23"/>
        <v>26753.333333333332</v>
      </c>
      <c r="K32" s="6"/>
      <c r="L32" s="6">
        <f t="shared" si="23"/>
        <v>42500</v>
      </c>
      <c r="M32" s="6"/>
      <c r="N32" s="6">
        <f t="shared" si="23"/>
        <v>28302.666666666668</v>
      </c>
      <c r="O32" s="6"/>
      <c r="P32" s="6">
        <f t="shared" si="23"/>
        <v>72406</v>
      </c>
      <c r="Q32" s="6"/>
      <c r="R32" s="6">
        <f t="shared" si="23"/>
        <v>86400</v>
      </c>
      <c r="S32" s="6"/>
      <c r="T32" s="6">
        <f t="shared" si="23"/>
        <v>28203.333333333332</v>
      </c>
      <c r="U32" s="6"/>
      <c r="V32" s="6">
        <f t="shared" ref="V32:AR32" si="24">+V33+V34</f>
        <v>98446.666666666672</v>
      </c>
      <c r="W32" s="6"/>
      <c r="X32" s="6">
        <f t="shared" si="24"/>
        <v>72353.333333333328</v>
      </c>
      <c r="Y32" s="6"/>
      <c r="Z32" s="6">
        <f t="shared" si="24"/>
        <v>31720</v>
      </c>
      <c r="AA32" s="6"/>
      <c r="AB32" s="6">
        <f t="shared" si="24"/>
        <v>129985</v>
      </c>
      <c r="AC32" s="6"/>
      <c r="AD32" s="6">
        <f t="shared" si="24"/>
        <v>34720</v>
      </c>
      <c r="AE32" s="6"/>
      <c r="AF32" s="6">
        <f t="shared" si="24"/>
        <v>57646.666666666664</v>
      </c>
      <c r="AG32" s="6"/>
      <c r="AH32" s="6">
        <f t="shared" ref="AH32:AL32" si="25">+AH33+AH34</f>
        <v>47494.666666666664</v>
      </c>
      <c r="AI32" s="6"/>
      <c r="AJ32" s="6">
        <f t="shared" si="25"/>
        <v>96250</v>
      </c>
      <c r="AK32" s="6"/>
      <c r="AL32" s="6">
        <f t="shared" si="25"/>
        <v>31693.333333333332</v>
      </c>
      <c r="AM32" s="6"/>
      <c r="AN32" s="6">
        <f t="shared" si="24"/>
        <v>91026.666666666672</v>
      </c>
      <c r="AO32" s="6"/>
      <c r="AP32" s="6">
        <f t="shared" si="24"/>
        <v>75109</v>
      </c>
      <c r="AQ32" s="6"/>
      <c r="AR32" s="6">
        <f t="shared" si="24"/>
        <v>173683.33333333334</v>
      </c>
      <c r="AS32" s="6"/>
      <c r="AT32" s="6">
        <f t="shared" si="1"/>
        <v>1377257.0666666667</v>
      </c>
      <c r="AU32" s="6"/>
      <c r="AV32" s="6">
        <f t="shared" si="2"/>
        <v>0</v>
      </c>
      <c r="AW32" s="6"/>
    </row>
    <row r="33" spans="1:49" s="7" customFormat="1" ht="16.5" hidden="1" customHeight="1" x14ac:dyDescent="0.2">
      <c r="A33" s="16"/>
      <c r="B33" s="17"/>
      <c r="C33" s="8" t="s">
        <v>41</v>
      </c>
      <c r="D33" s="6">
        <f t="shared" ref="D33:T33" si="26">+D22/12*2</f>
        <v>36000</v>
      </c>
      <c r="E33" s="6"/>
      <c r="F33" s="6">
        <f t="shared" si="26"/>
        <v>34926.400000000001</v>
      </c>
      <c r="G33" s="6"/>
      <c r="H33" s="6">
        <f t="shared" si="26"/>
        <v>66720</v>
      </c>
      <c r="I33" s="6"/>
      <c r="J33" s="6">
        <f t="shared" si="26"/>
        <v>21420</v>
      </c>
      <c r="K33" s="6"/>
      <c r="L33" s="6">
        <f t="shared" si="26"/>
        <v>37600</v>
      </c>
      <c r="M33" s="6"/>
      <c r="N33" s="6">
        <f t="shared" si="26"/>
        <v>24486</v>
      </c>
      <c r="O33" s="6"/>
      <c r="P33" s="6">
        <f t="shared" si="26"/>
        <v>64656</v>
      </c>
      <c r="Q33" s="6"/>
      <c r="R33" s="6">
        <f t="shared" si="26"/>
        <v>78700</v>
      </c>
      <c r="S33" s="6"/>
      <c r="T33" s="6">
        <f t="shared" si="26"/>
        <v>24820</v>
      </c>
      <c r="U33" s="6"/>
      <c r="V33" s="6">
        <f t="shared" ref="V33:AR33" si="27">+V22/12*2</f>
        <v>91780</v>
      </c>
      <c r="W33" s="6"/>
      <c r="X33" s="6">
        <f t="shared" si="27"/>
        <v>68320</v>
      </c>
      <c r="Y33" s="6"/>
      <c r="Z33" s="6">
        <f t="shared" si="27"/>
        <v>25220</v>
      </c>
      <c r="AA33" s="6"/>
      <c r="AB33" s="6">
        <f t="shared" si="27"/>
        <v>119735</v>
      </c>
      <c r="AC33" s="6"/>
      <c r="AD33" s="6">
        <f t="shared" si="27"/>
        <v>27720</v>
      </c>
      <c r="AE33" s="6"/>
      <c r="AF33" s="6">
        <f t="shared" si="27"/>
        <v>49280</v>
      </c>
      <c r="AG33" s="6"/>
      <c r="AH33" s="6">
        <f t="shared" ref="AH33:AL33" si="28">+AH22/12*2</f>
        <v>42694.666666666664</v>
      </c>
      <c r="AI33" s="6"/>
      <c r="AJ33" s="6">
        <f t="shared" si="28"/>
        <v>92250</v>
      </c>
      <c r="AK33" s="6"/>
      <c r="AL33" s="6">
        <f t="shared" si="28"/>
        <v>26910</v>
      </c>
      <c r="AM33" s="6"/>
      <c r="AN33" s="6">
        <f t="shared" si="27"/>
        <v>83310</v>
      </c>
      <c r="AO33" s="6"/>
      <c r="AP33" s="6">
        <f t="shared" si="27"/>
        <v>63856</v>
      </c>
      <c r="AQ33" s="6"/>
      <c r="AR33" s="6">
        <f t="shared" si="27"/>
        <v>158850</v>
      </c>
      <c r="AS33" s="6"/>
      <c r="AT33" s="6">
        <f t="shared" si="1"/>
        <v>1239254.0666666667</v>
      </c>
      <c r="AU33" s="6"/>
      <c r="AV33" s="6"/>
      <c r="AW33" s="6"/>
    </row>
    <row r="34" spans="1:49" s="7" customFormat="1" ht="16.5" hidden="1" customHeight="1" x14ac:dyDescent="0.2">
      <c r="A34" s="16"/>
      <c r="B34" s="17"/>
      <c r="C34" s="8" t="s">
        <v>42</v>
      </c>
      <c r="D34" s="6">
        <f t="shared" ref="D34:T34" si="29">+D26/12*2</f>
        <v>5250</v>
      </c>
      <c r="E34" s="6"/>
      <c r="F34" s="6">
        <f t="shared" si="29"/>
        <v>4166.666666666667</v>
      </c>
      <c r="G34" s="6"/>
      <c r="H34" s="6">
        <f t="shared" si="29"/>
        <v>5500</v>
      </c>
      <c r="I34" s="6"/>
      <c r="J34" s="6">
        <f t="shared" si="29"/>
        <v>5333.333333333333</v>
      </c>
      <c r="K34" s="6"/>
      <c r="L34" s="6">
        <f t="shared" si="29"/>
        <v>4900</v>
      </c>
      <c r="M34" s="6"/>
      <c r="N34" s="6">
        <f t="shared" si="29"/>
        <v>3816.6666666666665</v>
      </c>
      <c r="O34" s="6"/>
      <c r="P34" s="6">
        <f t="shared" si="29"/>
        <v>7750</v>
      </c>
      <c r="Q34" s="6"/>
      <c r="R34" s="6">
        <f t="shared" si="29"/>
        <v>7700</v>
      </c>
      <c r="S34" s="6"/>
      <c r="T34" s="6">
        <f t="shared" si="29"/>
        <v>3383.3333333333335</v>
      </c>
      <c r="U34" s="6"/>
      <c r="V34" s="6">
        <f t="shared" ref="V34:AR34" si="30">+V26/12*2</f>
        <v>6666.666666666667</v>
      </c>
      <c r="W34" s="6"/>
      <c r="X34" s="6">
        <f t="shared" si="30"/>
        <v>4033.3333333333335</v>
      </c>
      <c r="Y34" s="6"/>
      <c r="Z34" s="6">
        <f t="shared" si="30"/>
        <v>6500</v>
      </c>
      <c r="AA34" s="6"/>
      <c r="AB34" s="6">
        <f t="shared" si="30"/>
        <v>10250</v>
      </c>
      <c r="AC34" s="6"/>
      <c r="AD34" s="6">
        <f t="shared" si="30"/>
        <v>7000</v>
      </c>
      <c r="AE34" s="6"/>
      <c r="AF34" s="6">
        <f t="shared" si="30"/>
        <v>8366.6666666666661</v>
      </c>
      <c r="AG34" s="6"/>
      <c r="AH34" s="6">
        <f t="shared" ref="AH34:AL34" si="31">+AH26/12*2</f>
        <v>4800</v>
      </c>
      <c r="AI34" s="6"/>
      <c r="AJ34" s="6">
        <f t="shared" si="31"/>
        <v>4000</v>
      </c>
      <c r="AK34" s="6"/>
      <c r="AL34" s="6">
        <f t="shared" si="31"/>
        <v>4783.333333333333</v>
      </c>
      <c r="AM34" s="6"/>
      <c r="AN34" s="6">
        <f t="shared" si="30"/>
        <v>7716.666666666667</v>
      </c>
      <c r="AO34" s="6"/>
      <c r="AP34" s="6">
        <f t="shared" si="30"/>
        <v>11253</v>
      </c>
      <c r="AQ34" s="6"/>
      <c r="AR34" s="6">
        <f t="shared" si="30"/>
        <v>14833.333333333334</v>
      </c>
      <c r="AS34" s="6"/>
      <c r="AT34" s="6">
        <f t="shared" si="1"/>
        <v>138003</v>
      </c>
      <c r="AU34" s="6"/>
      <c r="AV34" s="6"/>
      <c r="AW34" s="6"/>
    </row>
    <row r="35" spans="1:49" s="7" customFormat="1" ht="16.5" hidden="1" customHeight="1" x14ac:dyDescent="0.2">
      <c r="A35" s="25">
        <v>6</v>
      </c>
      <c r="B35" s="26"/>
      <c r="C35" s="27" t="s">
        <v>25</v>
      </c>
      <c r="D35" s="28">
        <f t="shared" ref="D35:T35" si="32">+D31-D32</f>
        <v>36890.929999999935</v>
      </c>
      <c r="E35" s="28"/>
      <c r="F35" s="28">
        <f t="shared" si="32"/>
        <v>149611.79333333322</v>
      </c>
      <c r="G35" s="28"/>
      <c r="H35" s="28">
        <f t="shared" si="32"/>
        <v>678009.20000000019</v>
      </c>
      <c r="I35" s="28"/>
      <c r="J35" s="28">
        <f t="shared" si="32"/>
        <v>226646.52333333346</v>
      </c>
      <c r="K35" s="28"/>
      <c r="L35" s="28">
        <f t="shared" si="32"/>
        <v>325353.05222222232</v>
      </c>
      <c r="M35" s="28"/>
      <c r="N35" s="28">
        <f t="shared" si="32"/>
        <v>61327.333333333212</v>
      </c>
      <c r="O35" s="28"/>
      <c r="P35" s="28">
        <f t="shared" si="32"/>
        <v>373415.35000000009</v>
      </c>
      <c r="Q35" s="28"/>
      <c r="R35" s="28">
        <f t="shared" si="32"/>
        <v>66332.453333333367</v>
      </c>
      <c r="S35" s="28"/>
      <c r="T35" s="28">
        <f t="shared" si="32"/>
        <v>-239941.55333333308</v>
      </c>
      <c r="U35" s="28"/>
      <c r="V35" s="28">
        <f t="shared" ref="V35:AR35" si="33">+V31-V32</f>
        <v>15560.233333333468</v>
      </c>
      <c r="W35" s="28"/>
      <c r="X35" s="28">
        <f t="shared" si="33"/>
        <v>120791.72666666649</v>
      </c>
      <c r="Y35" s="28"/>
      <c r="Z35" s="28">
        <f t="shared" si="33"/>
        <v>227145.45999999996</v>
      </c>
      <c r="AA35" s="28"/>
      <c r="AB35" s="28">
        <f t="shared" si="33"/>
        <v>53824.629999999888</v>
      </c>
      <c r="AC35" s="28"/>
      <c r="AD35" s="28">
        <f t="shared" si="33"/>
        <v>187864.22000000009</v>
      </c>
      <c r="AE35" s="28"/>
      <c r="AF35" s="28">
        <f t="shared" si="33"/>
        <v>107973.98333333325</v>
      </c>
      <c r="AG35" s="28"/>
      <c r="AH35" s="28">
        <f t="shared" ref="AH35:AL35" si="34">+AH31-AH32</f>
        <v>45646.513333333271</v>
      </c>
      <c r="AI35" s="28"/>
      <c r="AJ35" s="28">
        <f t="shared" si="34"/>
        <v>58812.479999999981</v>
      </c>
      <c r="AK35" s="28"/>
      <c r="AL35" s="28">
        <f t="shared" si="34"/>
        <v>12388.726666666607</v>
      </c>
      <c r="AM35" s="28"/>
      <c r="AN35" s="28">
        <f t="shared" si="33"/>
        <v>55651.716666666864</v>
      </c>
      <c r="AO35" s="28"/>
      <c r="AP35" s="28">
        <f t="shared" si="33"/>
        <v>90980.180000000168</v>
      </c>
      <c r="AQ35" s="28"/>
      <c r="AR35" s="28">
        <f t="shared" si="33"/>
        <v>165701.51666666675</v>
      </c>
      <c r="AS35" s="28"/>
      <c r="AT35" s="28">
        <f t="shared" si="1"/>
        <v>2819986.4688888891</v>
      </c>
      <c r="AU35" s="28"/>
      <c r="AV35" s="28"/>
      <c r="AW35" s="28"/>
    </row>
    <row r="38" spans="1:49" x14ac:dyDescent="0.55000000000000004">
      <c r="D38" s="38">
        <f>+D16-D21</f>
        <v>0</v>
      </c>
      <c r="E38" s="38"/>
      <c r="F38" s="38">
        <f t="shared" ref="F38:AT38" si="35">+F16-F21</f>
        <v>0</v>
      </c>
      <c r="G38" s="38"/>
      <c r="H38" s="38">
        <f t="shared" si="35"/>
        <v>0</v>
      </c>
      <c r="I38" s="38"/>
      <c r="J38" s="38">
        <f t="shared" si="35"/>
        <v>0</v>
      </c>
      <c r="K38" s="38"/>
      <c r="L38" s="38">
        <f t="shared" si="35"/>
        <v>0</v>
      </c>
      <c r="M38" s="38"/>
      <c r="N38" s="38">
        <f t="shared" si="35"/>
        <v>0</v>
      </c>
      <c r="O38" s="38"/>
      <c r="P38" s="38">
        <f t="shared" si="35"/>
        <v>0</v>
      </c>
      <c r="Q38" s="38"/>
      <c r="R38" s="38">
        <f t="shared" si="35"/>
        <v>-1000</v>
      </c>
      <c r="S38" s="38"/>
      <c r="T38" s="38">
        <f t="shared" si="35"/>
        <v>0</v>
      </c>
      <c r="U38" s="38"/>
      <c r="V38" s="38">
        <f t="shared" si="35"/>
        <v>0</v>
      </c>
      <c r="W38" s="38"/>
      <c r="X38" s="38">
        <f t="shared" si="35"/>
        <v>0</v>
      </c>
      <c r="Y38" s="38"/>
      <c r="Z38" s="38">
        <f t="shared" si="35"/>
        <v>0</v>
      </c>
      <c r="AA38" s="38"/>
      <c r="AB38" s="38">
        <f t="shared" si="35"/>
        <v>0</v>
      </c>
      <c r="AC38" s="38"/>
      <c r="AD38" s="38">
        <f t="shared" si="35"/>
        <v>0</v>
      </c>
      <c r="AE38" s="38"/>
      <c r="AF38" s="38">
        <f t="shared" si="35"/>
        <v>0</v>
      </c>
      <c r="AG38" s="38"/>
      <c r="AH38" s="38">
        <f t="shared" si="35"/>
        <v>0</v>
      </c>
      <c r="AI38" s="38"/>
      <c r="AJ38" s="38">
        <f t="shared" si="35"/>
        <v>0</v>
      </c>
      <c r="AK38" s="38"/>
      <c r="AL38" s="39">
        <f t="shared" si="35"/>
        <v>0</v>
      </c>
      <c r="AM38" s="39"/>
      <c r="AN38" s="38">
        <f t="shared" si="35"/>
        <v>0</v>
      </c>
      <c r="AO38" s="38"/>
      <c r="AP38" s="38">
        <f t="shared" si="35"/>
        <v>0</v>
      </c>
      <c r="AQ38" s="38"/>
      <c r="AR38" s="38">
        <f t="shared" si="35"/>
        <v>0</v>
      </c>
      <c r="AS38" s="38"/>
      <c r="AT38" s="38">
        <f t="shared" si="35"/>
        <v>-1000</v>
      </c>
      <c r="AU38" s="38"/>
      <c r="AV38" s="38"/>
      <c r="AW38" s="38"/>
    </row>
  </sheetData>
  <mergeCells count="49">
    <mergeCell ref="AU2:AU3"/>
    <mergeCell ref="N2:N3"/>
    <mergeCell ref="A1:AT1"/>
    <mergeCell ref="A2:B3"/>
    <mergeCell ref="C2:C3"/>
    <mergeCell ref="V2:V3"/>
    <mergeCell ref="X2:X3"/>
    <mergeCell ref="Z2:Z3"/>
    <mergeCell ref="AB2:AB3"/>
    <mergeCell ref="AD2:AD3"/>
    <mergeCell ref="AF2:AF3"/>
    <mergeCell ref="D2:D3"/>
    <mergeCell ref="F2:F3"/>
    <mergeCell ref="H2:H3"/>
    <mergeCell ref="J2:J3"/>
    <mergeCell ref="AN2:AN3"/>
    <mergeCell ref="AP2:AP3"/>
    <mergeCell ref="AR2:AR3"/>
    <mergeCell ref="O2:O3"/>
    <mergeCell ref="AK2:AK3"/>
    <mergeCell ref="AM2:AM3"/>
    <mergeCell ref="AO2:AO3"/>
    <mergeCell ref="AQ2:AQ3"/>
    <mergeCell ref="AE2:AE3"/>
    <mergeCell ref="AG2:AG3"/>
    <mergeCell ref="AI2:AI3"/>
    <mergeCell ref="L2:L3"/>
    <mergeCell ref="AL2:AL3"/>
    <mergeCell ref="U2:U3"/>
    <mergeCell ref="W2:W3"/>
    <mergeCell ref="Y2:Y3"/>
    <mergeCell ref="AA2:AA3"/>
    <mergeCell ref="AC2:AC3"/>
    <mergeCell ref="AS2:AS3"/>
    <mergeCell ref="AV2:AV3"/>
    <mergeCell ref="AW2:AW3"/>
    <mergeCell ref="E2:E3"/>
    <mergeCell ref="G2:G3"/>
    <mergeCell ref="I2:I3"/>
    <mergeCell ref="K2:K3"/>
    <mergeCell ref="M2:M3"/>
    <mergeCell ref="AT2:AT3"/>
    <mergeCell ref="P2:P3"/>
    <mergeCell ref="R2:R3"/>
    <mergeCell ref="T2:T3"/>
    <mergeCell ref="AH2:AH3"/>
    <mergeCell ref="AJ2:AJ3"/>
    <mergeCell ref="Q2:Q3"/>
    <mergeCell ref="S2:S3"/>
  </mergeCells>
  <printOptions horizontalCentered="1"/>
  <pageMargins left="0.23622047244094491" right="0.23622047244094491" top="0.31496062992125984" bottom="0.35433070866141736" header="0.11811023622047245" footer="0.31496062992125984"/>
  <pageSetup paperSize="5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8"/>
  <sheetViews>
    <sheetView view="pageBreakPreview" zoomScale="79" zoomScaleNormal="110" zoomScaleSheetLayoutView="79" workbookViewId="0">
      <pane xSplit="3" ySplit="3" topLeftCell="Q19" activePane="bottomRight" state="frozen"/>
      <selection activeCell="G16" sqref="G16"/>
      <selection pane="topRight" activeCell="G16" sqref="G16"/>
      <selection pane="bottomLeft" activeCell="G16" sqref="G16"/>
      <selection pane="bottomRight" activeCell="AN4" sqref="AN4:AN32"/>
    </sheetView>
  </sheetViews>
  <sheetFormatPr defaultRowHeight="24" x14ac:dyDescent="0.55000000000000004"/>
  <cols>
    <col min="1" max="1" width="2" style="1" customWidth="1"/>
    <col min="2" max="2" width="3.125" style="1" customWidth="1"/>
    <col min="3" max="3" width="15.5" style="1" customWidth="1"/>
    <col min="4" max="4" width="6.5" style="1" bestFit="1" customWidth="1"/>
    <col min="5" max="5" width="6" style="1" customWidth="1"/>
    <col min="6" max="6" width="6.5" style="1" bestFit="1" customWidth="1"/>
    <col min="7" max="7" width="6" style="1" customWidth="1"/>
    <col min="8" max="8" width="6.5" style="1" bestFit="1" customWidth="1"/>
    <col min="9" max="9" width="6" style="1" customWidth="1"/>
    <col min="10" max="10" width="6.5" style="1" bestFit="1" customWidth="1"/>
    <col min="11" max="11" width="6" style="1" customWidth="1"/>
    <col min="12" max="12" width="6.5" style="1" bestFit="1" customWidth="1"/>
    <col min="13" max="13" width="6" style="1" customWidth="1"/>
    <col min="14" max="14" width="9.875" style="1" bestFit="1" customWidth="1"/>
    <col min="15" max="15" width="6.125" style="1" customWidth="1"/>
    <col min="16" max="16" width="6.5" style="1" bestFit="1" customWidth="1"/>
    <col min="17" max="17" width="6" style="1" customWidth="1"/>
    <col min="18" max="18" width="6.5" style="1" bestFit="1" customWidth="1"/>
    <col min="19" max="19" width="6" style="1" customWidth="1"/>
    <col min="20" max="20" width="6.5" style="1" bestFit="1" customWidth="1"/>
    <col min="21" max="21" width="6" style="1" customWidth="1"/>
    <col min="22" max="22" width="6.5" style="1" bestFit="1" customWidth="1"/>
    <col min="23" max="23" width="6" style="1" customWidth="1"/>
    <col min="24" max="24" width="7.25" style="1" bestFit="1" customWidth="1"/>
    <col min="25" max="25" width="6" style="1" customWidth="1"/>
    <col min="26" max="26" width="6.5" style="1" bestFit="1" customWidth="1"/>
    <col min="27" max="27" width="6" style="1" customWidth="1"/>
    <col min="28" max="28" width="6.5" style="1" bestFit="1" customWidth="1"/>
    <col min="29" max="29" width="6" style="1" customWidth="1"/>
    <col min="30" max="30" width="6.5" style="1" bestFit="1" customWidth="1"/>
    <col min="31" max="31" width="6" style="1" customWidth="1"/>
    <col min="32" max="32" width="6.5" style="1" bestFit="1" customWidth="1"/>
    <col min="33" max="33" width="6" style="1" customWidth="1"/>
    <col min="34" max="34" width="8.125" style="1" bestFit="1" customWidth="1"/>
    <col min="35" max="35" width="6.125" style="1" customWidth="1"/>
    <col min="36" max="36" width="6.5" style="1" bestFit="1" customWidth="1"/>
    <col min="37" max="37" width="6" style="1" customWidth="1"/>
    <col min="38" max="38" width="7.125" style="1" bestFit="1" customWidth="1"/>
    <col min="39" max="39" width="8.875" style="1" bestFit="1" customWidth="1"/>
    <col min="40" max="41" width="7.125" style="1" customWidth="1"/>
    <col min="42" max="16384" width="9" style="1"/>
  </cols>
  <sheetData>
    <row r="1" spans="1:41" ht="16.5" customHeight="1" x14ac:dyDescent="0.55000000000000004">
      <c r="A1" s="207" t="s">
        <v>143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s="2" customFormat="1" ht="18" customHeight="1" x14ac:dyDescent="0.4">
      <c r="A2" s="197" t="s">
        <v>0</v>
      </c>
      <c r="B2" s="198"/>
      <c r="C2" s="201" t="s">
        <v>81</v>
      </c>
      <c r="D2" s="117" t="s">
        <v>75</v>
      </c>
      <c r="E2" s="203" t="s">
        <v>165</v>
      </c>
      <c r="F2" s="122" t="s">
        <v>76</v>
      </c>
      <c r="G2" s="203" t="s">
        <v>165</v>
      </c>
      <c r="H2" s="122" t="s">
        <v>76</v>
      </c>
      <c r="I2" s="203" t="s">
        <v>165</v>
      </c>
      <c r="J2" s="122" t="s">
        <v>76</v>
      </c>
      <c r="K2" s="203" t="s">
        <v>165</v>
      </c>
      <c r="L2" s="122" t="s">
        <v>76</v>
      </c>
      <c r="M2" s="203" t="s">
        <v>165</v>
      </c>
      <c r="N2" s="122" t="s">
        <v>76</v>
      </c>
      <c r="O2" s="203" t="s">
        <v>165</v>
      </c>
      <c r="P2" s="122" t="s">
        <v>76</v>
      </c>
      <c r="Q2" s="203" t="s">
        <v>165</v>
      </c>
      <c r="R2" s="122" t="s">
        <v>76</v>
      </c>
      <c r="S2" s="203" t="s">
        <v>165</v>
      </c>
      <c r="T2" s="122" t="s">
        <v>76</v>
      </c>
      <c r="U2" s="203" t="s">
        <v>165</v>
      </c>
      <c r="V2" s="122" t="s">
        <v>76</v>
      </c>
      <c r="W2" s="203" t="s">
        <v>165</v>
      </c>
      <c r="X2" s="122" t="s">
        <v>76</v>
      </c>
      <c r="Y2" s="203" t="s">
        <v>165</v>
      </c>
      <c r="Z2" s="122" t="s">
        <v>76</v>
      </c>
      <c r="AA2" s="203" t="s">
        <v>165</v>
      </c>
      <c r="AB2" s="122" t="s">
        <v>76</v>
      </c>
      <c r="AC2" s="203" t="s">
        <v>165</v>
      </c>
      <c r="AD2" s="122" t="s">
        <v>76</v>
      </c>
      <c r="AE2" s="203" t="s">
        <v>165</v>
      </c>
      <c r="AF2" s="122" t="s">
        <v>76</v>
      </c>
      <c r="AG2" s="203" t="s">
        <v>165</v>
      </c>
      <c r="AH2" s="122" t="s">
        <v>76</v>
      </c>
      <c r="AI2" s="203" t="s">
        <v>165</v>
      </c>
      <c r="AJ2" s="122" t="s">
        <v>76</v>
      </c>
      <c r="AK2" s="203" t="s">
        <v>165</v>
      </c>
      <c r="AL2" s="194" t="s">
        <v>166</v>
      </c>
      <c r="AM2" s="194" t="s">
        <v>159</v>
      </c>
      <c r="AN2" s="194" t="s">
        <v>167</v>
      </c>
      <c r="AO2" s="194" t="s">
        <v>168</v>
      </c>
    </row>
    <row r="3" spans="1:41" s="2" customFormat="1" ht="29.25" customHeight="1" x14ac:dyDescent="0.4">
      <c r="A3" s="199"/>
      <c r="B3" s="200"/>
      <c r="C3" s="202"/>
      <c r="D3" s="118" t="s">
        <v>3</v>
      </c>
      <c r="E3" s="206"/>
      <c r="F3" s="121" t="s">
        <v>91</v>
      </c>
      <c r="G3" s="206"/>
      <c r="H3" s="121" t="s">
        <v>93</v>
      </c>
      <c r="I3" s="206"/>
      <c r="J3" s="121" t="s">
        <v>94</v>
      </c>
      <c r="K3" s="206"/>
      <c r="L3" s="121" t="s">
        <v>95</v>
      </c>
      <c r="M3" s="206"/>
      <c r="N3" s="121" t="s">
        <v>96</v>
      </c>
      <c r="O3" s="206"/>
      <c r="P3" s="121" t="s">
        <v>97</v>
      </c>
      <c r="Q3" s="206"/>
      <c r="R3" s="121" t="s">
        <v>98</v>
      </c>
      <c r="S3" s="206"/>
      <c r="T3" s="121" t="s">
        <v>99</v>
      </c>
      <c r="U3" s="206"/>
      <c r="V3" s="121" t="s">
        <v>100</v>
      </c>
      <c r="W3" s="206"/>
      <c r="X3" s="121" t="s">
        <v>101</v>
      </c>
      <c r="Y3" s="206"/>
      <c r="Z3" s="121" t="s">
        <v>120</v>
      </c>
      <c r="AA3" s="206"/>
      <c r="AB3" s="121" t="s">
        <v>102</v>
      </c>
      <c r="AC3" s="206"/>
      <c r="AD3" s="121" t="s">
        <v>119</v>
      </c>
      <c r="AE3" s="206"/>
      <c r="AF3" s="121" t="s">
        <v>121</v>
      </c>
      <c r="AG3" s="206"/>
      <c r="AH3" s="121" t="s">
        <v>123</v>
      </c>
      <c r="AI3" s="206"/>
      <c r="AJ3" s="121" t="s">
        <v>122</v>
      </c>
      <c r="AK3" s="206"/>
      <c r="AL3" s="195"/>
      <c r="AM3" s="195"/>
      <c r="AN3" s="195"/>
      <c r="AO3" s="195"/>
    </row>
    <row r="4" spans="1:41" s="7" customFormat="1" ht="16.5" customHeight="1" x14ac:dyDescent="0.2">
      <c r="A4" s="29">
        <v>1</v>
      </c>
      <c r="B4" s="30"/>
      <c r="C4" s="31" t="s">
        <v>22</v>
      </c>
      <c r="D4" s="32">
        <v>770311.82</v>
      </c>
      <c r="E4" s="32"/>
      <c r="F4" s="32">
        <v>59461.02</v>
      </c>
      <c r="G4" s="32"/>
      <c r="H4" s="32">
        <v>199506.73</v>
      </c>
      <c r="I4" s="32"/>
      <c r="J4" s="32">
        <v>89375.46</v>
      </c>
      <c r="K4" s="32"/>
      <c r="L4" s="32">
        <v>14556.13</v>
      </c>
      <c r="M4" s="32"/>
      <c r="N4" s="32">
        <v>287343.57</v>
      </c>
      <c r="O4" s="32"/>
      <c r="P4" s="32">
        <v>222542.13</v>
      </c>
      <c r="Q4" s="32"/>
      <c r="R4" s="32">
        <v>493741.25</v>
      </c>
      <c r="S4" s="32"/>
      <c r="T4" s="32">
        <v>342828.62</v>
      </c>
      <c r="U4" s="32"/>
      <c r="V4" s="32">
        <v>189219.33</v>
      </c>
      <c r="W4" s="32"/>
      <c r="X4" s="32">
        <v>47645.3</v>
      </c>
      <c r="Y4" s="32"/>
      <c r="Z4" s="32">
        <v>158077.24</v>
      </c>
      <c r="AA4" s="32"/>
      <c r="AB4" s="32">
        <v>90801.7</v>
      </c>
      <c r="AC4" s="32"/>
      <c r="AD4" s="32">
        <v>154992</v>
      </c>
      <c r="AE4" s="32"/>
      <c r="AF4" s="32">
        <v>782002.63</v>
      </c>
      <c r="AG4" s="32"/>
      <c r="AH4" s="32">
        <v>118361.99</v>
      </c>
      <c r="AI4" s="32"/>
      <c r="AJ4" s="32">
        <v>19181.009999999998</v>
      </c>
      <c r="AK4" s="32"/>
      <c r="AL4" s="33">
        <f>+D4+F4+H4+J4+L4+N4+P4+R4+T4+V4+X4+Z4+AB4+AD4+AF4+AH4+AJ4</f>
        <v>4039947.9299999997</v>
      </c>
      <c r="AM4" s="131">
        <f>+AL4*100/AL18</f>
        <v>13.329727303071003</v>
      </c>
      <c r="AN4" s="131">
        <f>+E4+G4+I4+K4+M4+O4+Q4+S4+U4+W4+Y4+AA4+AC4+AE4+AG4+AI4+AK4</f>
        <v>0</v>
      </c>
      <c r="AO4" s="131"/>
    </row>
    <row r="5" spans="1:41" s="7" customFormat="1" ht="16.5" customHeight="1" x14ac:dyDescent="0.2">
      <c r="A5" s="29">
        <v>2</v>
      </c>
      <c r="B5" s="30"/>
      <c r="C5" s="34" t="s">
        <v>38</v>
      </c>
      <c r="D5" s="33">
        <f>+D6+D7+D14+D15+D16+D17</f>
        <v>2219600</v>
      </c>
      <c r="E5" s="33"/>
      <c r="F5" s="33">
        <f t="shared" ref="F5:AJ5" si="0">+F6+F7+F14+F15+F16+F17</f>
        <v>1687805.0300000003</v>
      </c>
      <c r="G5" s="33"/>
      <c r="H5" s="33">
        <f t="shared" si="0"/>
        <v>1962417.74</v>
      </c>
      <c r="I5" s="33"/>
      <c r="J5" s="33">
        <f t="shared" si="0"/>
        <v>1297390.7400000002</v>
      </c>
      <c r="K5" s="33"/>
      <c r="L5" s="33">
        <f t="shared" si="0"/>
        <v>1543841.8599999999</v>
      </c>
      <c r="M5" s="33"/>
      <c r="N5" s="33">
        <f t="shared" si="0"/>
        <v>1630815.29</v>
      </c>
      <c r="O5" s="33"/>
      <c r="P5" s="33">
        <f t="shared" si="0"/>
        <v>1891397.83</v>
      </c>
      <c r="Q5" s="33"/>
      <c r="R5" s="33">
        <f t="shared" si="0"/>
        <v>1211643.51</v>
      </c>
      <c r="S5" s="33"/>
      <c r="T5" s="33">
        <f t="shared" si="0"/>
        <v>1188366</v>
      </c>
      <c r="U5" s="33"/>
      <c r="V5" s="33">
        <f>+V6+V7+V14+V15+V16+V17</f>
        <v>1773021.8900000001</v>
      </c>
      <c r="W5" s="33"/>
      <c r="X5" s="33">
        <f t="shared" si="0"/>
        <v>1349848.04</v>
      </c>
      <c r="Y5" s="33"/>
      <c r="Z5" s="33">
        <f t="shared" si="0"/>
        <v>1328640.81</v>
      </c>
      <c r="AA5" s="33"/>
      <c r="AB5" s="33">
        <f t="shared" si="0"/>
        <v>930159.8</v>
      </c>
      <c r="AC5" s="33"/>
      <c r="AD5" s="33">
        <f t="shared" si="0"/>
        <v>996690.83</v>
      </c>
      <c r="AE5" s="33"/>
      <c r="AF5" s="33">
        <f t="shared" si="0"/>
        <v>2366650.46</v>
      </c>
      <c r="AG5" s="33"/>
      <c r="AH5" s="33">
        <f t="shared" ref="AH5" si="1">+AH6+AH7+AH14+AH15+AH16+AH17</f>
        <v>1679740.26</v>
      </c>
      <c r="AI5" s="33"/>
      <c r="AJ5" s="33">
        <f t="shared" si="0"/>
        <v>1209828.27</v>
      </c>
      <c r="AK5" s="33"/>
      <c r="AL5" s="33">
        <f t="shared" ref="AL5:AL32" si="2">+D5+F5+H5+J5+L5+N5+P5+R5+T5+V5+X5+Z5+AB5+AD5+AF5+AH5+AJ5</f>
        <v>26267858.359999999</v>
      </c>
      <c r="AM5" s="131">
        <f>+AL5*100/AL18</f>
        <v>86.670272696929018</v>
      </c>
      <c r="AN5" s="131">
        <f t="shared" ref="AN5:AN32" si="3">+E5+G5+I5+K5+M5+O5+Q5+S5+U5+W5+Y5+AA5+AC5+AE5+AG5+AI5+AK5</f>
        <v>0</v>
      </c>
      <c r="AO5" s="131"/>
    </row>
    <row r="6" spans="1:41" s="7" customFormat="1" ht="16.5" customHeight="1" x14ac:dyDescent="0.2">
      <c r="A6" s="3"/>
      <c r="B6" s="4">
        <v>2.1</v>
      </c>
      <c r="C6" s="8" t="s">
        <v>23</v>
      </c>
      <c r="D6" s="6"/>
      <c r="E6" s="6"/>
      <c r="F6" s="6">
        <v>5566.33</v>
      </c>
      <c r="G6" s="6"/>
      <c r="H6" s="6">
        <v>9385</v>
      </c>
      <c r="I6" s="109"/>
      <c r="J6" s="108">
        <v>1624.67</v>
      </c>
      <c r="K6" s="108"/>
      <c r="L6" s="6">
        <v>2998.67</v>
      </c>
      <c r="M6" s="6"/>
      <c r="N6" s="6">
        <v>8160.33</v>
      </c>
      <c r="O6" s="6"/>
      <c r="P6" s="6">
        <v>10000</v>
      </c>
      <c r="Q6" s="6"/>
      <c r="R6" s="6">
        <v>4015</v>
      </c>
      <c r="S6" s="6"/>
      <c r="T6" s="6">
        <v>16193</v>
      </c>
      <c r="U6" s="6"/>
      <c r="V6" s="6">
        <v>50152</v>
      </c>
      <c r="W6" s="6"/>
      <c r="X6" s="6">
        <v>10578.33</v>
      </c>
      <c r="Y6" s="6"/>
      <c r="Z6" s="6">
        <v>8000</v>
      </c>
      <c r="AA6" s="6"/>
      <c r="AB6" s="6">
        <v>1940</v>
      </c>
      <c r="AC6" s="6"/>
      <c r="AD6" s="6">
        <v>1715</v>
      </c>
      <c r="AE6" s="6"/>
      <c r="AF6" s="6">
        <v>772791.51</v>
      </c>
      <c r="AG6" s="6"/>
      <c r="AH6" s="6">
        <v>2699.7</v>
      </c>
      <c r="AI6" s="6"/>
      <c r="AJ6" s="6">
        <v>4618.67</v>
      </c>
      <c r="AK6" s="6"/>
      <c r="AL6" s="6">
        <f t="shared" si="2"/>
        <v>910438.21</v>
      </c>
      <c r="AM6" s="129">
        <f>+AL6*100/AL18</f>
        <v>3.0039726441712062</v>
      </c>
      <c r="AN6" s="129">
        <f t="shared" si="3"/>
        <v>0</v>
      </c>
      <c r="AO6" s="129"/>
    </row>
    <row r="7" spans="1:41" s="7" customFormat="1" ht="16.5" customHeight="1" x14ac:dyDescent="0.2">
      <c r="A7" s="29"/>
      <c r="B7" s="30">
        <v>2.2000000000000002</v>
      </c>
      <c r="C7" s="34" t="s">
        <v>24</v>
      </c>
      <c r="D7" s="33">
        <f>SUM(D8:D13)</f>
        <v>2107600</v>
      </c>
      <c r="E7" s="33"/>
      <c r="F7" s="33">
        <f t="shared" ref="F7:AJ7" si="4">SUM(F8:F13)</f>
        <v>1178283.8700000001</v>
      </c>
      <c r="G7" s="33"/>
      <c r="H7" s="33">
        <f t="shared" si="4"/>
        <v>1127582.55</v>
      </c>
      <c r="I7" s="33"/>
      <c r="J7" s="33">
        <f t="shared" si="4"/>
        <v>1062407.55</v>
      </c>
      <c r="K7" s="33"/>
      <c r="L7" s="33">
        <f t="shared" si="4"/>
        <v>1269249.25</v>
      </c>
      <c r="M7" s="33"/>
      <c r="N7" s="33">
        <f t="shared" si="4"/>
        <v>1219925.2</v>
      </c>
      <c r="O7" s="33"/>
      <c r="P7" s="33">
        <f t="shared" si="4"/>
        <v>1490725</v>
      </c>
      <c r="Q7" s="33"/>
      <c r="R7" s="33">
        <f t="shared" si="4"/>
        <v>1105975</v>
      </c>
      <c r="S7" s="33"/>
      <c r="T7" s="33">
        <f t="shared" si="4"/>
        <v>1088288</v>
      </c>
      <c r="U7" s="33"/>
      <c r="V7" s="33">
        <f t="shared" si="4"/>
        <v>1360838.29</v>
      </c>
      <c r="W7" s="33"/>
      <c r="X7" s="33">
        <f t="shared" si="4"/>
        <v>994996.67</v>
      </c>
      <c r="Y7" s="33"/>
      <c r="Z7" s="33">
        <f t="shared" si="4"/>
        <v>1034210.81</v>
      </c>
      <c r="AA7" s="33"/>
      <c r="AB7" s="33">
        <f t="shared" si="4"/>
        <v>787949</v>
      </c>
      <c r="AC7" s="33"/>
      <c r="AD7" s="33">
        <f t="shared" si="4"/>
        <v>811296.15999999992</v>
      </c>
      <c r="AE7" s="33"/>
      <c r="AF7" s="33">
        <f t="shared" si="4"/>
        <v>1364164.33</v>
      </c>
      <c r="AG7" s="33"/>
      <c r="AH7" s="33">
        <f t="shared" si="4"/>
        <v>1392073.33</v>
      </c>
      <c r="AI7" s="33"/>
      <c r="AJ7" s="33">
        <f t="shared" si="4"/>
        <v>1026606.1799999999</v>
      </c>
      <c r="AK7" s="33"/>
      <c r="AL7" s="33">
        <f t="shared" si="2"/>
        <v>20422171.189999998</v>
      </c>
      <c r="AM7" s="131"/>
      <c r="AN7" s="131">
        <f t="shared" si="3"/>
        <v>0</v>
      </c>
      <c r="AO7" s="131"/>
    </row>
    <row r="8" spans="1:41" s="7" customFormat="1" ht="16.5" customHeight="1" x14ac:dyDescent="0.2">
      <c r="A8" s="3"/>
      <c r="B8" s="4"/>
      <c r="C8" s="5" t="s">
        <v>17</v>
      </c>
      <c r="D8" s="6"/>
      <c r="E8" s="6"/>
      <c r="F8" s="6">
        <v>172753.87</v>
      </c>
      <c r="G8" s="6"/>
      <c r="H8" s="6">
        <v>184687.55</v>
      </c>
      <c r="I8" s="109"/>
      <c r="J8" s="109">
        <v>114500.55</v>
      </c>
      <c r="K8" s="109"/>
      <c r="L8" s="6">
        <v>113772.25</v>
      </c>
      <c r="M8" s="6"/>
      <c r="N8" s="6">
        <v>104400.2</v>
      </c>
      <c r="O8" s="6"/>
      <c r="P8" s="6">
        <v>150000</v>
      </c>
      <c r="Q8" s="6"/>
      <c r="R8" s="6">
        <v>274845</v>
      </c>
      <c r="S8" s="6"/>
      <c r="T8" s="6">
        <v>274845</v>
      </c>
      <c r="U8" s="6"/>
      <c r="V8" s="6">
        <v>253451.29</v>
      </c>
      <c r="W8" s="6"/>
      <c r="X8" s="6">
        <v>245000</v>
      </c>
      <c r="Y8" s="6"/>
      <c r="Z8" s="6">
        <v>119257.81</v>
      </c>
      <c r="AA8" s="6"/>
      <c r="AB8" s="6">
        <v>177417</v>
      </c>
      <c r="AC8" s="6"/>
      <c r="AD8" s="6">
        <v>110150.29</v>
      </c>
      <c r="AE8" s="6"/>
      <c r="AF8" s="6">
        <v>136000</v>
      </c>
      <c r="AG8" s="6"/>
      <c r="AH8" s="6">
        <v>193500</v>
      </c>
      <c r="AI8" s="6"/>
      <c r="AJ8" s="6">
        <f>46198+1412.6+18000+3278+6085+20194.58</f>
        <v>95168.180000000008</v>
      </c>
      <c r="AK8" s="6"/>
      <c r="AL8" s="6">
        <f t="shared" si="2"/>
        <v>2719748.99</v>
      </c>
      <c r="AM8" s="129">
        <f>+AL8*100/AL18</f>
        <v>8.9737573349126762</v>
      </c>
      <c r="AN8" s="129">
        <f t="shared" si="3"/>
        <v>0</v>
      </c>
      <c r="AO8" s="129"/>
    </row>
    <row r="9" spans="1:41" s="7" customFormat="1" ht="16.5" customHeight="1" x14ac:dyDescent="0.2">
      <c r="A9" s="3"/>
      <c r="B9" s="4"/>
      <c r="C9" s="5" t="s">
        <v>65</v>
      </c>
      <c r="D9" s="6">
        <v>240000</v>
      </c>
      <c r="E9" s="6"/>
      <c r="F9" s="6">
        <v>300000</v>
      </c>
      <c r="G9" s="6"/>
      <c r="H9" s="6">
        <v>330000</v>
      </c>
      <c r="I9" s="109"/>
      <c r="J9" s="108">
        <v>300000</v>
      </c>
      <c r="K9" s="108"/>
      <c r="L9" s="6">
        <v>300000</v>
      </c>
      <c r="M9" s="6"/>
      <c r="N9" s="6">
        <v>360000</v>
      </c>
      <c r="O9" s="6"/>
      <c r="P9" s="6">
        <v>269197</v>
      </c>
      <c r="Q9" s="6"/>
      <c r="R9" s="6">
        <v>300000</v>
      </c>
      <c r="S9" s="6"/>
      <c r="T9" s="6">
        <v>300000</v>
      </c>
      <c r="U9" s="6"/>
      <c r="V9" s="6">
        <v>330000</v>
      </c>
      <c r="W9" s="6"/>
      <c r="X9" s="6">
        <v>300000</v>
      </c>
      <c r="Y9" s="6"/>
      <c r="Z9" s="6">
        <v>270000</v>
      </c>
      <c r="AA9" s="6"/>
      <c r="AB9" s="6">
        <v>270000</v>
      </c>
      <c r="AC9" s="6"/>
      <c r="AD9" s="6">
        <v>216000</v>
      </c>
      <c r="AE9" s="6"/>
      <c r="AF9" s="6">
        <v>240000</v>
      </c>
      <c r="AG9" s="6"/>
      <c r="AH9" s="6">
        <v>248000</v>
      </c>
      <c r="AI9" s="6"/>
      <c r="AJ9" s="6">
        <v>330000</v>
      </c>
      <c r="AK9" s="6"/>
      <c r="AL9" s="6">
        <f t="shared" si="2"/>
        <v>4903197</v>
      </c>
      <c r="AM9" s="129">
        <f>+AL9*100/AL18</f>
        <v>16.178000324681371</v>
      </c>
      <c r="AN9" s="129">
        <f t="shared" si="3"/>
        <v>0</v>
      </c>
      <c r="AO9" s="129"/>
    </row>
    <row r="10" spans="1:41" s="7" customFormat="1" ht="16.5" customHeight="1" x14ac:dyDescent="0.2">
      <c r="A10" s="3"/>
      <c r="B10" s="4"/>
      <c r="C10" s="5" t="s">
        <v>14</v>
      </c>
      <c r="D10" s="6">
        <v>1867600</v>
      </c>
      <c r="E10" s="6"/>
      <c r="F10" s="6">
        <v>161030</v>
      </c>
      <c r="G10" s="6"/>
      <c r="H10" s="8">
        <v>265481</v>
      </c>
      <c r="I10" s="167"/>
      <c r="J10" s="28">
        <v>95000</v>
      </c>
      <c r="K10" s="110"/>
      <c r="L10" s="6">
        <v>145000</v>
      </c>
      <c r="M10" s="6"/>
      <c r="N10" s="6">
        <v>178940</v>
      </c>
      <c r="O10" s="156"/>
      <c r="P10" s="8">
        <v>550000</v>
      </c>
      <c r="R10" s="6">
        <v>60000</v>
      </c>
      <c r="S10" s="6"/>
      <c r="T10" s="6">
        <v>60000</v>
      </c>
      <c r="U10" s="6"/>
      <c r="V10" s="6">
        <v>184692</v>
      </c>
      <c r="W10" s="6"/>
      <c r="X10" s="6">
        <v>149996.67000000001</v>
      </c>
      <c r="Y10" s="6"/>
      <c r="Z10" s="6">
        <v>125000</v>
      </c>
      <c r="AA10" s="6"/>
      <c r="AB10" s="6">
        <v>95000</v>
      </c>
      <c r="AC10" s="6"/>
      <c r="AD10" s="6">
        <v>100119.87</v>
      </c>
      <c r="AE10" s="6"/>
      <c r="AF10" s="6">
        <v>348952.33</v>
      </c>
      <c r="AG10" s="6"/>
      <c r="AH10" s="6">
        <v>298313.33</v>
      </c>
      <c r="AI10" s="6"/>
      <c r="AJ10" s="6">
        <v>354200</v>
      </c>
      <c r="AK10" s="6"/>
      <c r="AL10" s="6">
        <f t="shared" si="2"/>
        <v>5039325.2</v>
      </c>
      <c r="AM10" s="129">
        <f>+AL10*100/AL18</f>
        <v>16.627152594883505</v>
      </c>
      <c r="AN10" s="129">
        <f t="shared" si="3"/>
        <v>0</v>
      </c>
      <c r="AO10" s="129"/>
    </row>
    <row r="11" spans="1:41" s="7" customFormat="1" ht="16.5" customHeight="1" x14ac:dyDescent="0.2">
      <c r="A11" s="3"/>
      <c r="B11" s="4"/>
      <c r="C11" s="9" t="s">
        <v>64</v>
      </c>
      <c r="D11" s="6"/>
      <c r="E11" s="6"/>
      <c r="F11" s="6">
        <v>175500</v>
      </c>
      <c r="G11" s="6"/>
      <c r="H11" s="6">
        <v>146400</v>
      </c>
      <c r="I11" s="109"/>
      <c r="J11" s="108">
        <v>144000</v>
      </c>
      <c r="K11" s="108"/>
      <c r="L11" s="6">
        <f>144000+39600</f>
        <v>183600</v>
      </c>
      <c r="M11" s="6"/>
      <c r="N11" s="6">
        <v>151200</v>
      </c>
      <c r="O11" s="6"/>
      <c r="P11" s="6">
        <f>231492+21600</f>
        <v>253092</v>
      </c>
      <c r="Q11" s="6"/>
      <c r="R11" s="6">
        <v>183000</v>
      </c>
      <c r="S11" s="6"/>
      <c r="T11" s="6">
        <v>157500</v>
      </c>
      <c r="U11" s="6"/>
      <c r="V11" s="6">
        <v>146400</v>
      </c>
      <c r="W11" s="6"/>
      <c r="X11" s="6">
        <v>200000</v>
      </c>
      <c r="Y11" s="6"/>
      <c r="Z11" s="6">
        <v>166700</v>
      </c>
      <c r="AA11" s="6"/>
      <c r="AB11" s="6">
        <v>142500</v>
      </c>
      <c r="AC11" s="6"/>
      <c r="AD11" s="6">
        <v>114000</v>
      </c>
      <c r="AE11" s="6"/>
      <c r="AF11" s="6">
        <v>126000</v>
      </c>
      <c r="AG11" s="6"/>
      <c r="AH11" s="6">
        <v>156900</v>
      </c>
      <c r="AI11" s="6"/>
      <c r="AJ11" s="6">
        <v>146400</v>
      </c>
      <c r="AK11" s="6"/>
      <c r="AL11" s="6">
        <f t="shared" si="2"/>
        <v>2593192</v>
      </c>
      <c r="AM11" s="129">
        <f>+AL11*100/AL18</f>
        <v>8.5561850804609989</v>
      </c>
      <c r="AN11" s="129">
        <f t="shared" si="3"/>
        <v>0</v>
      </c>
      <c r="AO11" s="129"/>
    </row>
    <row r="12" spans="1:41" s="7" customFormat="1" ht="16.5" customHeight="1" x14ac:dyDescent="0.2">
      <c r="A12" s="3"/>
      <c r="B12" s="4"/>
      <c r="C12" s="5" t="s">
        <v>10</v>
      </c>
      <c r="D12" s="6"/>
      <c r="E12" s="6"/>
      <c r="F12" s="6">
        <f>330000+39000</f>
        <v>369000</v>
      </c>
      <c r="G12" s="6"/>
      <c r="H12" s="6">
        <f>187324+13690</f>
        <v>201014</v>
      </c>
      <c r="I12" s="109"/>
      <c r="J12" s="108">
        <f>394531+14376</f>
        <v>408907</v>
      </c>
      <c r="K12" s="108"/>
      <c r="L12" s="8">
        <f>503175+23702</f>
        <v>526877</v>
      </c>
      <c r="M12" s="8"/>
      <c r="N12" s="6">
        <f>407385+18000</f>
        <v>425385</v>
      </c>
      <c r="O12" s="6"/>
      <c r="P12" s="6">
        <v>218436</v>
      </c>
      <c r="Q12" s="6"/>
      <c r="R12" s="6">
        <f>270600+13530+4000</f>
        <v>288130</v>
      </c>
      <c r="S12" s="6"/>
      <c r="T12" s="6">
        <f>281850+14093</f>
        <v>295943</v>
      </c>
      <c r="U12" s="6"/>
      <c r="V12" s="6">
        <f>426172+20123</f>
        <v>446295</v>
      </c>
      <c r="W12" s="6"/>
      <c r="X12" s="6">
        <v>100000</v>
      </c>
      <c r="Y12" s="6"/>
      <c r="Z12" s="6">
        <f>339675+13578</f>
        <v>353253</v>
      </c>
      <c r="AA12" s="6"/>
      <c r="AB12" s="6">
        <f>97200+5832</f>
        <v>103032</v>
      </c>
      <c r="AC12" s="6"/>
      <c r="AD12" s="6">
        <f>258120+12906</f>
        <v>271026</v>
      </c>
      <c r="AE12" s="6"/>
      <c r="AF12" s="6">
        <f>474120+39092</f>
        <v>513212</v>
      </c>
      <c r="AG12" s="6"/>
      <c r="AH12" s="6">
        <v>495360</v>
      </c>
      <c r="AI12" s="6"/>
      <c r="AJ12" s="6">
        <f>96037+4801</f>
        <v>100838</v>
      </c>
      <c r="AK12" s="6"/>
      <c r="AL12" s="6">
        <f t="shared" si="2"/>
        <v>5116708</v>
      </c>
      <c r="AM12" s="129">
        <f>+AL12*100/AL18</f>
        <v>16.882475594046042</v>
      </c>
      <c r="AN12" s="129">
        <f t="shared" si="3"/>
        <v>0</v>
      </c>
      <c r="AO12" s="129"/>
    </row>
    <row r="13" spans="1:41" s="7" customFormat="1" ht="16.5" customHeight="1" x14ac:dyDescent="0.2">
      <c r="A13" s="3"/>
      <c r="B13" s="4"/>
      <c r="C13" s="5" t="s">
        <v>70</v>
      </c>
      <c r="D13" s="6"/>
      <c r="E13" s="6"/>
      <c r="F13" s="6"/>
      <c r="G13" s="6"/>
      <c r="H13" s="6"/>
      <c r="I13" s="109"/>
      <c r="J13" s="108"/>
      <c r="K13" s="28"/>
      <c r="L13" s="8"/>
      <c r="N13" s="6"/>
      <c r="O13" s="6"/>
      <c r="P13" s="6">
        <v>50000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f t="shared" si="2"/>
        <v>50000</v>
      </c>
      <c r="AM13" s="129">
        <f>+AL13*100/AL18</f>
        <v>0.16497399884892827</v>
      </c>
      <c r="AN13" s="129">
        <f t="shared" si="3"/>
        <v>0</v>
      </c>
      <c r="AO13" s="129"/>
    </row>
    <row r="14" spans="1:41" s="7" customFormat="1" ht="16.5" customHeight="1" x14ac:dyDescent="0.2">
      <c r="A14" s="3"/>
      <c r="B14" s="10">
        <v>2.2999999999999998</v>
      </c>
      <c r="C14" s="5" t="s">
        <v>44</v>
      </c>
      <c r="D14" s="6"/>
      <c r="E14" s="6"/>
      <c r="F14" s="6">
        <v>2471.4299999999998</v>
      </c>
      <c r="G14" s="6"/>
      <c r="H14" s="6">
        <v>1232.21</v>
      </c>
      <c r="I14" s="109"/>
      <c r="J14" s="108">
        <v>1056.0899999999999</v>
      </c>
      <c r="K14" s="108"/>
      <c r="L14" s="6">
        <v>400.75</v>
      </c>
      <c r="M14" s="6"/>
      <c r="N14" s="6">
        <v>2580.5700000000002</v>
      </c>
      <c r="O14" s="6"/>
      <c r="P14" s="6">
        <v>1028.83</v>
      </c>
      <c r="Q14" s="6"/>
      <c r="R14" s="6">
        <v>2403.1</v>
      </c>
      <c r="S14" s="6"/>
      <c r="T14" s="6">
        <v>2489</v>
      </c>
      <c r="U14" s="6"/>
      <c r="V14" s="6">
        <v>1428</v>
      </c>
      <c r="W14" s="6"/>
      <c r="X14" s="6">
        <v>766.42</v>
      </c>
      <c r="Y14" s="6"/>
      <c r="Z14" s="6">
        <v>850</v>
      </c>
      <c r="AA14" s="6"/>
      <c r="AB14" s="6">
        <v>509</v>
      </c>
      <c r="AC14" s="6"/>
      <c r="AD14" s="6">
        <v>1935.29</v>
      </c>
      <c r="AE14" s="6"/>
      <c r="AF14" s="6">
        <v>2203.44</v>
      </c>
      <c r="AG14" s="6"/>
      <c r="AH14" s="6">
        <v>6638.34</v>
      </c>
      <c r="AI14" s="6"/>
      <c r="AJ14" s="6">
        <v>311.83999999999997</v>
      </c>
      <c r="AK14" s="6"/>
      <c r="AL14" s="6">
        <f t="shared" si="2"/>
        <v>28304.31</v>
      </c>
      <c r="AM14" s="130">
        <f>+AL14*100/AL18</f>
        <v>9.3389504107194168E-2</v>
      </c>
      <c r="AN14" s="129">
        <f t="shared" si="3"/>
        <v>0</v>
      </c>
      <c r="AO14" s="129"/>
    </row>
    <row r="15" spans="1:41" s="15" customFormat="1" ht="30" x14ac:dyDescent="0.2">
      <c r="A15" s="11"/>
      <c r="B15" s="12">
        <v>2.4</v>
      </c>
      <c r="C15" s="13" t="s">
        <v>66</v>
      </c>
      <c r="D15" s="14">
        <v>100000</v>
      </c>
      <c r="E15" s="14"/>
      <c r="F15" s="14">
        <v>197639.02</v>
      </c>
      <c r="G15" s="14"/>
      <c r="H15" s="14">
        <v>54098</v>
      </c>
      <c r="I15" s="168"/>
      <c r="J15" s="111">
        <v>165023.59</v>
      </c>
      <c r="K15" s="111"/>
      <c r="L15" s="14">
        <v>204193.19</v>
      </c>
      <c r="M15" s="14"/>
      <c r="N15" s="14">
        <f>180202.11</f>
        <v>180202.11</v>
      </c>
      <c r="O15" s="14"/>
      <c r="P15" s="14">
        <v>75270</v>
      </c>
      <c r="Q15" s="14"/>
      <c r="R15" s="14">
        <v>25000</v>
      </c>
      <c r="S15" s="14"/>
      <c r="T15" s="14"/>
      <c r="U15" s="14"/>
      <c r="V15" s="14">
        <v>278500</v>
      </c>
      <c r="W15" s="14"/>
      <c r="X15" s="14">
        <v>95557.49</v>
      </c>
      <c r="Y15" s="14"/>
      <c r="Z15" s="14">
        <v>125000</v>
      </c>
      <c r="AA15" s="14"/>
      <c r="AB15" s="14">
        <v>8067.8</v>
      </c>
      <c r="AC15" s="14"/>
      <c r="AD15" s="14">
        <f>80000+27985.2</f>
        <v>107985.2</v>
      </c>
      <c r="AE15" s="14"/>
      <c r="AF15" s="14"/>
      <c r="AG15" s="14"/>
      <c r="AH15" s="14"/>
      <c r="AI15" s="14"/>
      <c r="AJ15" s="14"/>
      <c r="AK15" s="14"/>
      <c r="AL15" s="6">
        <f t="shared" si="2"/>
        <v>1616536.4000000001</v>
      </c>
      <c r="AM15" s="129">
        <f>+AL15*100/AL18</f>
        <v>5.3337294838570131</v>
      </c>
      <c r="AN15" s="130">
        <f t="shared" si="3"/>
        <v>0</v>
      </c>
      <c r="AO15" s="130"/>
    </row>
    <row r="16" spans="1:41" s="7" customFormat="1" ht="16.5" customHeight="1" x14ac:dyDescent="0.2">
      <c r="A16" s="16"/>
      <c r="B16" s="17">
        <v>2.5</v>
      </c>
      <c r="C16" s="18" t="s">
        <v>92</v>
      </c>
      <c r="D16" s="6"/>
      <c r="E16" s="6"/>
      <c r="F16" s="6">
        <v>230880</v>
      </c>
      <c r="G16" s="6"/>
      <c r="H16" s="6">
        <v>760140</v>
      </c>
      <c r="I16" s="109"/>
      <c r="J16" s="108">
        <v>62675</v>
      </c>
      <c r="K16" s="108"/>
      <c r="L16" s="6">
        <v>65000</v>
      </c>
      <c r="M16" s="6"/>
      <c r="N16" s="6">
        <v>210440</v>
      </c>
      <c r="O16" s="6"/>
      <c r="P16" s="6">
        <v>307600</v>
      </c>
      <c r="Q16" s="6"/>
      <c r="R16" s="6">
        <v>70000</v>
      </c>
      <c r="S16" s="6"/>
      <c r="T16" s="6">
        <v>80000</v>
      </c>
      <c r="U16" s="6"/>
      <c r="V16" s="6">
        <v>73890</v>
      </c>
      <c r="W16" s="6"/>
      <c r="X16" s="6">
        <v>237860</v>
      </c>
      <c r="Y16" s="6"/>
      <c r="Z16" s="6">
        <v>149080</v>
      </c>
      <c r="AA16" s="6"/>
      <c r="AB16" s="6">
        <v>130000</v>
      </c>
      <c r="AC16" s="6"/>
      <c r="AD16" s="6">
        <v>72620</v>
      </c>
      <c r="AE16" s="6"/>
      <c r="AF16" s="6">
        <v>221010</v>
      </c>
      <c r="AG16" s="6"/>
      <c r="AH16" s="6">
        <v>66340</v>
      </c>
      <c r="AI16" s="6"/>
      <c r="AJ16" s="6">
        <v>175000</v>
      </c>
      <c r="AK16" s="6"/>
      <c r="AL16" s="6">
        <f t="shared" si="2"/>
        <v>2912535</v>
      </c>
      <c r="AM16" s="130">
        <f>+AL16*100/AL18</f>
        <v>9.6098509147492663</v>
      </c>
      <c r="AN16" s="129">
        <f t="shared" si="3"/>
        <v>0</v>
      </c>
      <c r="AO16" s="129"/>
    </row>
    <row r="17" spans="1:41" s="15" customFormat="1" ht="30.75" customHeight="1" x14ac:dyDescent="0.2">
      <c r="A17" s="11"/>
      <c r="B17" s="12">
        <v>2.6</v>
      </c>
      <c r="C17" s="13" t="s">
        <v>43</v>
      </c>
      <c r="D17" s="14">
        <v>12000</v>
      </c>
      <c r="E17" s="14"/>
      <c r="F17" s="14">
        <f>7964.38+65000</f>
        <v>72964.38</v>
      </c>
      <c r="G17" s="14"/>
      <c r="H17" s="14">
        <v>9979.98</v>
      </c>
      <c r="I17" s="168"/>
      <c r="J17" s="111">
        <v>4603.84</v>
      </c>
      <c r="K17" s="111"/>
      <c r="L17" s="14">
        <v>2000</v>
      </c>
      <c r="M17" s="14"/>
      <c r="N17" s="14">
        <f>9406.41+100.67</f>
        <v>9507.08</v>
      </c>
      <c r="O17" s="14"/>
      <c r="P17" s="14">
        <v>6774</v>
      </c>
      <c r="Q17" s="14"/>
      <c r="R17" s="14">
        <v>4250.41</v>
      </c>
      <c r="S17" s="14"/>
      <c r="T17" s="14">
        <v>1396</v>
      </c>
      <c r="U17" s="14"/>
      <c r="V17" s="14">
        <v>8213.6</v>
      </c>
      <c r="W17" s="14"/>
      <c r="X17" s="14">
        <v>10089.129999999999</v>
      </c>
      <c r="Y17" s="14"/>
      <c r="Z17" s="14">
        <v>11500</v>
      </c>
      <c r="AA17" s="14"/>
      <c r="AB17" s="14">
        <v>1694</v>
      </c>
      <c r="AC17" s="14"/>
      <c r="AD17" s="14">
        <v>1139.18</v>
      </c>
      <c r="AE17" s="14"/>
      <c r="AF17" s="14">
        <v>6481.18</v>
      </c>
      <c r="AG17" s="14"/>
      <c r="AH17" s="14">
        <f>210349.65+1639.24</f>
        <v>211988.88999999998</v>
      </c>
      <c r="AI17" s="14"/>
      <c r="AJ17" s="14">
        <v>3291.58</v>
      </c>
      <c r="AK17" s="14"/>
      <c r="AL17" s="6">
        <f t="shared" si="2"/>
        <v>377873.25</v>
      </c>
      <c r="AM17" s="133">
        <f>+AL17*100/AL18</f>
        <v>1.2467852222108156</v>
      </c>
      <c r="AN17" s="130">
        <f t="shared" si="3"/>
        <v>0</v>
      </c>
      <c r="AO17" s="130"/>
    </row>
    <row r="18" spans="1:41" s="7" customFormat="1" ht="16.5" customHeight="1" x14ac:dyDescent="0.2">
      <c r="A18" s="19"/>
      <c r="B18" s="20"/>
      <c r="C18" s="21" t="s">
        <v>40</v>
      </c>
      <c r="D18" s="22">
        <f>+D4+D5</f>
        <v>2989911.82</v>
      </c>
      <c r="E18" s="22"/>
      <c r="F18" s="22">
        <f t="shared" ref="F18:AJ18" si="5">+F4+F5</f>
        <v>1747266.0500000003</v>
      </c>
      <c r="G18" s="22"/>
      <c r="H18" s="22">
        <f t="shared" si="5"/>
        <v>2161924.4700000002</v>
      </c>
      <c r="I18" s="22"/>
      <c r="J18" s="22">
        <f t="shared" si="5"/>
        <v>1386766.2000000002</v>
      </c>
      <c r="K18" s="22"/>
      <c r="L18" s="22">
        <f t="shared" si="5"/>
        <v>1558397.9899999998</v>
      </c>
      <c r="M18" s="22"/>
      <c r="N18" s="22">
        <f t="shared" si="5"/>
        <v>1918158.86</v>
      </c>
      <c r="O18" s="22"/>
      <c r="P18" s="22">
        <f t="shared" si="5"/>
        <v>2113939.96</v>
      </c>
      <c r="Q18" s="22"/>
      <c r="R18" s="22">
        <f t="shared" si="5"/>
        <v>1705384.76</v>
      </c>
      <c r="S18" s="22"/>
      <c r="T18" s="22">
        <f t="shared" si="5"/>
        <v>1531194.62</v>
      </c>
      <c r="U18" s="22"/>
      <c r="V18" s="22">
        <f>+V4+V5</f>
        <v>1962241.2200000002</v>
      </c>
      <c r="W18" s="22"/>
      <c r="X18" s="22">
        <f t="shared" si="5"/>
        <v>1397493.34</v>
      </c>
      <c r="Y18" s="22"/>
      <c r="Z18" s="22">
        <f t="shared" si="5"/>
        <v>1486718.05</v>
      </c>
      <c r="AA18" s="22"/>
      <c r="AB18" s="22">
        <f t="shared" si="5"/>
        <v>1020961.5</v>
      </c>
      <c r="AC18" s="22"/>
      <c r="AD18" s="22">
        <f t="shared" si="5"/>
        <v>1151682.83</v>
      </c>
      <c r="AE18" s="22"/>
      <c r="AF18" s="22">
        <f t="shared" si="5"/>
        <v>3148653.09</v>
      </c>
      <c r="AG18" s="22"/>
      <c r="AH18" s="22">
        <f t="shared" ref="AH18" si="6">+AH4+AH5</f>
        <v>1798102.25</v>
      </c>
      <c r="AI18" s="22"/>
      <c r="AJ18" s="22">
        <f t="shared" si="5"/>
        <v>1229009.28</v>
      </c>
      <c r="AK18" s="22"/>
      <c r="AL18" s="22">
        <f t="shared" si="2"/>
        <v>30307806.289999995</v>
      </c>
      <c r="AM18" s="187">
        <v>100</v>
      </c>
      <c r="AN18" s="22">
        <f t="shared" si="3"/>
        <v>0</v>
      </c>
      <c r="AO18" s="22"/>
    </row>
    <row r="19" spans="1:41" s="7" customFormat="1" ht="16.5" customHeight="1" x14ac:dyDescent="0.2">
      <c r="A19" s="35">
        <v>3</v>
      </c>
      <c r="B19" s="36"/>
      <c r="C19" s="37" t="s">
        <v>1</v>
      </c>
      <c r="D19" s="33">
        <f>SUM(D20:D29)</f>
        <v>2496860</v>
      </c>
      <c r="E19" s="33"/>
      <c r="F19" s="33">
        <f t="shared" ref="F19:AJ19" si="7">SUM(F20:F29)</f>
        <v>1648243.25</v>
      </c>
      <c r="G19" s="33"/>
      <c r="H19" s="33">
        <f t="shared" si="7"/>
        <v>1980660.8</v>
      </c>
      <c r="I19" s="33"/>
      <c r="J19" s="33">
        <f t="shared" si="7"/>
        <v>1140688.3599999999</v>
      </c>
      <c r="K19" s="33"/>
      <c r="L19" s="33">
        <f t="shared" si="7"/>
        <v>1371311.78</v>
      </c>
      <c r="M19" s="33"/>
      <c r="N19" s="33">
        <f t="shared" si="7"/>
        <v>1758634.7699999998</v>
      </c>
      <c r="O19" s="33"/>
      <c r="P19" s="33">
        <f t="shared" si="7"/>
        <v>1899431</v>
      </c>
      <c r="Q19" s="33"/>
      <c r="R19" s="33">
        <f t="shared" si="7"/>
        <v>1276978</v>
      </c>
      <c r="S19" s="33"/>
      <c r="T19" s="33">
        <f t="shared" si="7"/>
        <v>1344851</v>
      </c>
      <c r="U19" s="33"/>
      <c r="V19" s="33">
        <f t="shared" si="7"/>
        <v>1353386.6099999999</v>
      </c>
      <c r="W19" s="33"/>
      <c r="X19" s="33">
        <f t="shared" si="7"/>
        <v>1286100</v>
      </c>
      <c r="Y19" s="33"/>
      <c r="Z19" s="33">
        <f t="shared" si="7"/>
        <v>1305882</v>
      </c>
      <c r="AA19" s="33"/>
      <c r="AB19" s="33">
        <f t="shared" si="7"/>
        <v>967799</v>
      </c>
      <c r="AC19" s="33"/>
      <c r="AD19" s="33">
        <f t="shared" si="7"/>
        <v>957850.69</v>
      </c>
      <c r="AE19" s="33"/>
      <c r="AF19" s="33">
        <f t="shared" si="7"/>
        <v>2906949.6</v>
      </c>
      <c r="AG19" s="33"/>
      <c r="AH19" s="33">
        <f t="shared" si="7"/>
        <v>1664978</v>
      </c>
      <c r="AI19" s="33"/>
      <c r="AJ19" s="33">
        <f t="shared" si="7"/>
        <v>1091844.54</v>
      </c>
      <c r="AK19" s="33"/>
      <c r="AL19" s="33">
        <f t="shared" si="2"/>
        <v>26452449.400000002</v>
      </c>
      <c r="AM19" s="131"/>
      <c r="AN19" s="33">
        <f t="shared" si="3"/>
        <v>0</v>
      </c>
      <c r="AO19" s="33"/>
    </row>
    <row r="20" spans="1:41" s="7" customFormat="1" ht="16.5" customHeight="1" x14ac:dyDescent="0.2">
      <c r="A20" s="16"/>
      <c r="B20" s="17">
        <v>3.1</v>
      </c>
      <c r="C20" s="18" t="s">
        <v>17</v>
      </c>
      <c r="D20" s="6"/>
      <c r="E20" s="6"/>
      <c r="F20" s="6">
        <f>123397.23+27142.5+27609.71+6037.71+5842.1</f>
        <v>190029.24999999997</v>
      </c>
      <c r="G20" s="6"/>
      <c r="H20" s="6">
        <v>135715.79999999999</v>
      </c>
      <c r="I20" s="6"/>
      <c r="J20" s="6">
        <v>108819.36</v>
      </c>
      <c r="K20" s="6"/>
      <c r="L20" s="6">
        <v>70425.78</v>
      </c>
      <c r="M20" s="6"/>
      <c r="N20" s="6">
        <f>68206.78+4166+20000+1982.6+3000+3000+12871</f>
        <v>113226.38</v>
      </c>
      <c r="O20" s="6"/>
      <c r="P20" s="6">
        <v>104073</v>
      </c>
      <c r="Q20" s="6"/>
      <c r="R20" s="6">
        <v>150655</v>
      </c>
      <c r="S20" s="6"/>
      <c r="T20" s="6">
        <v>150655</v>
      </c>
      <c r="U20" s="6"/>
      <c r="V20" s="6">
        <v>96646.61</v>
      </c>
      <c r="W20" s="6"/>
      <c r="X20" s="6">
        <f>150000+4000+25000+25000+4000+4000+10000</f>
        <v>222000</v>
      </c>
      <c r="Y20" s="6"/>
      <c r="Z20" s="6">
        <f>43124+21683+3145+4500+2380</f>
        <v>74832</v>
      </c>
      <c r="AA20" s="6"/>
      <c r="AB20" s="6">
        <v>157680</v>
      </c>
      <c r="AC20" s="6"/>
      <c r="AD20" s="6">
        <f>69187.11+3956.08+13219.5</f>
        <v>86362.69</v>
      </c>
      <c r="AE20" s="6"/>
      <c r="AF20" s="6">
        <v>185000</v>
      </c>
      <c r="AG20" s="6"/>
      <c r="AH20" s="6">
        <f>145000+35000+1350</f>
        <v>181350</v>
      </c>
      <c r="AI20" s="6"/>
      <c r="AJ20" s="6">
        <f>46198.94+1412.6+18000+19592+3278+6085+20811</f>
        <v>115377.54000000001</v>
      </c>
      <c r="AK20" s="6"/>
      <c r="AL20" s="6">
        <f t="shared" si="2"/>
        <v>2142848.4099999997</v>
      </c>
      <c r="AM20" s="129">
        <f>+AL20*100/AL30</f>
        <v>8.1007561061623257</v>
      </c>
      <c r="AN20" s="129">
        <f t="shared" si="3"/>
        <v>0</v>
      </c>
      <c r="AO20" s="129"/>
    </row>
    <row r="21" spans="1:41" s="7" customFormat="1" ht="16.5" customHeight="1" x14ac:dyDescent="0.2">
      <c r="A21" s="16"/>
      <c r="B21" s="17">
        <v>3.2</v>
      </c>
      <c r="C21" s="9" t="s">
        <v>14</v>
      </c>
      <c r="D21" s="6">
        <v>1867600</v>
      </c>
      <c r="E21" s="6"/>
      <c r="F21" s="6">
        <v>456910</v>
      </c>
      <c r="G21" s="6"/>
      <c r="H21" s="6">
        <v>914870</v>
      </c>
      <c r="I21" s="6"/>
      <c r="J21" s="6">
        <v>179075</v>
      </c>
      <c r="K21" s="6"/>
      <c r="L21" s="6">
        <v>211010</v>
      </c>
      <c r="M21" s="6"/>
      <c r="N21" s="6">
        <v>389380</v>
      </c>
      <c r="O21" s="6"/>
      <c r="P21" s="6">
        <v>590775</v>
      </c>
      <c r="Q21" s="6"/>
      <c r="R21" s="6">
        <v>173160</v>
      </c>
      <c r="S21" s="6"/>
      <c r="T21" s="6">
        <v>199050</v>
      </c>
      <c r="U21" s="6"/>
      <c r="V21" s="6">
        <v>206560</v>
      </c>
      <c r="W21" s="6"/>
      <c r="X21" s="6">
        <v>363100</v>
      </c>
      <c r="Y21" s="6"/>
      <c r="Z21" s="6">
        <v>245380</v>
      </c>
      <c r="AA21" s="6"/>
      <c r="AB21" s="6">
        <v>227060</v>
      </c>
      <c r="AC21" s="6"/>
      <c r="AD21" s="6">
        <v>170150</v>
      </c>
      <c r="AE21" s="6"/>
      <c r="AF21" s="6">
        <v>490770</v>
      </c>
      <c r="AG21" s="6"/>
      <c r="AH21" s="6">
        <v>194640</v>
      </c>
      <c r="AI21" s="6"/>
      <c r="AJ21" s="6">
        <v>324234</v>
      </c>
      <c r="AK21" s="6"/>
      <c r="AL21" s="6">
        <f t="shared" si="2"/>
        <v>7203724</v>
      </c>
      <c r="AM21" s="129">
        <f>+AL21*100/AL30</f>
        <v>27.232729533167539</v>
      </c>
      <c r="AN21" s="129">
        <f t="shared" si="3"/>
        <v>0</v>
      </c>
      <c r="AO21" s="129"/>
    </row>
    <row r="22" spans="1:41" s="7" customFormat="1" ht="16.5" customHeight="1" x14ac:dyDescent="0.2">
      <c r="A22" s="16"/>
      <c r="B22" s="17">
        <v>3.3</v>
      </c>
      <c r="C22" s="5" t="s">
        <v>10</v>
      </c>
      <c r="D22" s="6"/>
      <c r="E22" s="6"/>
      <c r="F22" s="6">
        <f>138480+191520</f>
        <v>330000</v>
      </c>
      <c r="G22" s="6"/>
      <c r="H22" s="6">
        <f>202200+94080</f>
        <v>296280</v>
      </c>
      <c r="I22" s="6"/>
      <c r="J22" s="6">
        <f>191520+107880+14796</f>
        <v>314196</v>
      </c>
      <c r="K22" s="6"/>
      <c r="L22" s="6">
        <f>215280+168960+128280</f>
        <v>512520</v>
      </c>
      <c r="M22" s="6"/>
      <c r="N22" s="6">
        <v>209640</v>
      </c>
      <c r="O22" s="6"/>
      <c r="P22" s="6">
        <f>9900+103920+94080</f>
        <v>207900</v>
      </c>
      <c r="Q22" s="6"/>
      <c r="R22" s="6">
        <v>131400</v>
      </c>
      <c r="S22" s="6"/>
      <c r="T22" s="6">
        <f>131400+94080</f>
        <v>225480</v>
      </c>
      <c r="U22" s="6"/>
      <c r="V22" s="6">
        <f>204240+126840+96360</f>
        <v>427440</v>
      </c>
      <c r="W22" s="6"/>
      <c r="X22" s="6">
        <f>99840+9000</f>
        <v>108840</v>
      </c>
      <c r="Y22" s="6"/>
      <c r="Z22" s="6">
        <f>129000+142740+13587</f>
        <v>285327</v>
      </c>
      <c r="AA22" s="6"/>
      <c r="AB22" s="6">
        <v>97200</v>
      </c>
      <c r="AC22" s="6"/>
      <c r="AD22" s="6">
        <f>160920+97200+12906</f>
        <v>271026</v>
      </c>
      <c r="AE22" s="6"/>
      <c r="AF22" s="6">
        <f>165120+130680+137640+191520</f>
        <v>624960</v>
      </c>
      <c r="AG22" s="6"/>
      <c r="AH22" s="6">
        <f>207240+191520+96600</f>
        <v>495360</v>
      </c>
      <c r="AI22" s="6"/>
      <c r="AJ22" s="6">
        <f>96037+4801</f>
        <v>100838</v>
      </c>
      <c r="AK22" s="6"/>
      <c r="AL22" s="6">
        <f t="shared" si="2"/>
        <v>4638407</v>
      </c>
      <c r="AM22" s="129">
        <f>+AL22*100/AL30</f>
        <v>17.534886580295282</v>
      </c>
      <c r="AN22" s="129">
        <f t="shared" si="3"/>
        <v>0</v>
      </c>
      <c r="AO22" s="129"/>
    </row>
    <row r="23" spans="1:41" s="7" customFormat="1" ht="16.5" customHeight="1" x14ac:dyDescent="0.2">
      <c r="A23" s="16"/>
      <c r="B23" s="17">
        <v>3.4</v>
      </c>
      <c r="C23" s="9" t="s">
        <v>64</v>
      </c>
      <c r="D23" s="6"/>
      <c r="E23" s="6"/>
      <c r="F23" s="6">
        <f>180000+100000+4500</f>
        <v>284500</v>
      </c>
      <c r="G23" s="6"/>
      <c r="H23" s="6">
        <f>147000+42000</f>
        <v>189000</v>
      </c>
      <c r="I23" s="6"/>
      <c r="J23" s="6">
        <f>144000+38400+12000</f>
        <v>194400</v>
      </c>
      <c r="K23" s="6"/>
      <c r="L23" s="6">
        <f>180000+39600</f>
        <v>219600</v>
      </c>
      <c r="M23" s="6"/>
      <c r="N23" s="6">
        <v>157500</v>
      </c>
      <c r="O23" s="6"/>
      <c r="P23" s="6">
        <f>228680+27866+10000</f>
        <v>266546</v>
      </c>
      <c r="Q23" s="6"/>
      <c r="R23" s="6">
        <f>114000+31500</f>
        <v>145500</v>
      </c>
      <c r="S23" s="6"/>
      <c r="T23" s="6">
        <f>196440+40000+3000</f>
        <v>239440</v>
      </c>
      <c r="U23" s="6"/>
      <c r="V23" s="6">
        <v>140400</v>
      </c>
      <c r="W23" s="6"/>
      <c r="X23" s="6">
        <f>240160+12000</f>
        <v>252160</v>
      </c>
      <c r="Y23" s="6"/>
      <c r="Z23" s="6">
        <f>114000+18000</f>
        <v>132000</v>
      </c>
      <c r="AA23" s="6"/>
      <c r="AB23" s="6">
        <f>114000+12000</f>
        <v>126000</v>
      </c>
      <c r="AC23" s="6"/>
      <c r="AD23" s="6">
        <f>114000+36000</f>
        <v>150000</v>
      </c>
      <c r="AE23" s="6"/>
      <c r="AF23" s="6">
        <f>276000+159600+3000</f>
        <v>438600</v>
      </c>
      <c r="AG23" s="6"/>
      <c r="AH23" s="6">
        <f>160000+55200</f>
        <v>215200</v>
      </c>
      <c r="AI23" s="6"/>
      <c r="AJ23" s="6">
        <f>146400+20000+10000</f>
        <v>176400</v>
      </c>
      <c r="AK23" s="6"/>
      <c r="AL23" s="6">
        <f t="shared" si="2"/>
        <v>3327246</v>
      </c>
      <c r="AM23" s="129">
        <f>+AL23*100/AL30</f>
        <v>12.578215157648122</v>
      </c>
      <c r="AN23" s="129">
        <f t="shared" si="3"/>
        <v>0</v>
      </c>
      <c r="AO23" s="129"/>
    </row>
    <row r="24" spans="1:41" s="7" customFormat="1" ht="16.5" customHeight="1" x14ac:dyDescent="0.2">
      <c r="A24" s="16"/>
      <c r="B24" s="17">
        <v>3.5</v>
      </c>
      <c r="C24" s="9" t="s">
        <v>11</v>
      </c>
      <c r="D24" s="6">
        <f>50000+50000+30000+10000</f>
        <v>140000</v>
      </c>
      <c r="E24" s="6"/>
      <c r="F24" s="6">
        <f>50000+50000+72000+3200+20000</f>
        <v>195200</v>
      </c>
      <c r="G24" s="6"/>
      <c r="H24" s="6">
        <f>50000+46000+30000+30000+30000+18000+48000+15744</f>
        <v>267744</v>
      </c>
      <c r="I24" s="6"/>
      <c r="J24" s="6">
        <f>25000+15000+36000+72000+2400+15744</f>
        <v>166144</v>
      </c>
      <c r="K24" s="6"/>
      <c r="L24" s="6">
        <f>18000+15000+57600+57600+2000+12000</f>
        <v>162200</v>
      </c>
      <c r="M24" s="6"/>
      <c r="N24" s="6">
        <f>40000+10000+20000+72000+3200+12000+57600+5000+20000+5000+5000+5000+10000</f>
        <v>264800</v>
      </c>
      <c r="O24" s="6"/>
      <c r="P24" s="6">
        <f>15000+30000+100080+72000+16000+11609+30000+48000+5000+50000</f>
        <v>377689</v>
      </c>
      <c r="Q24" s="6"/>
      <c r="R24" s="6">
        <f>30000+30000+30000+36000+4000+36000+50000+20000+6000+20000+20000+6570+15744</f>
        <v>304314</v>
      </c>
      <c r="S24" s="6"/>
      <c r="T24" s="6">
        <f>23296+20000+42000+4000+30000+57600+15600+8000+9000+8000+5000+4500+8000+9000+5000+40000</f>
        <v>288996</v>
      </c>
      <c r="U24" s="6"/>
      <c r="V24" s="6">
        <f>15000+10000+58800+72000+5000+20000</f>
        <v>180800</v>
      </c>
      <c r="W24" s="6"/>
      <c r="X24" s="6">
        <f>20000+20000+72000+10000+48000+20000+30000</f>
        <v>220000</v>
      </c>
      <c r="Y24" s="6"/>
      <c r="Z24" s="6">
        <f>30000+50000+72000+3200+48000</f>
        <v>203200</v>
      </c>
      <c r="AA24" s="6"/>
      <c r="AB24" s="6">
        <v>202990</v>
      </c>
      <c r="AC24" s="6"/>
      <c r="AD24" s="6">
        <f>30000+80000+72000+4000+2000+2000+20000+6000</f>
        <v>216000</v>
      </c>
      <c r="AE24" s="6"/>
      <c r="AF24" s="6">
        <f>30000+30000+53000+72000+5000+54000+30000+40000+30000+15600+45000+20000+48000+10000+27000</f>
        <v>509600</v>
      </c>
      <c r="AG24" s="6"/>
      <c r="AH24" s="6">
        <f>10000+9000+134000+84000+50000</f>
        <v>287000</v>
      </c>
      <c r="AI24" s="6"/>
      <c r="AJ24" s="6">
        <f>50000+72000+12000+3200+5582+2000+100000</f>
        <v>244782</v>
      </c>
      <c r="AK24" s="6"/>
      <c r="AL24" s="6">
        <f t="shared" si="2"/>
        <v>4231459</v>
      </c>
      <c r="AM24" s="129">
        <f>+AL24*100/AL30</f>
        <v>15.996473279332687</v>
      </c>
      <c r="AN24" s="129">
        <f t="shared" si="3"/>
        <v>0</v>
      </c>
      <c r="AO24" s="129"/>
    </row>
    <row r="25" spans="1:41" s="7" customFormat="1" ht="16.5" customHeight="1" x14ac:dyDescent="0.2">
      <c r="A25" s="16"/>
      <c r="B25" s="17">
        <v>3.6</v>
      </c>
      <c r="C25" s="9" t="s">
        <v>12</v>
      </c>
      <c r="D25" s="6">
        <f>50000+10000+5000+60000+50000</f>
        <v>175000</v>
      </c>
      <c r="E25" s="6"/>
      <c r="F25" s="6">
        <f>6926+4385+11353+1710+1835+23600+2725+9270</f>
        <v>61804</v>
      </c>
      <c r="G25" s="6"/>
      <c r="H25" s="6">
        <f>20126+14375</f>
        <v>34501</v>
      </c>
      <c r="I25" s="6"/>
      <c r="J25" s="6">
        <f>15687+15495+3100</f>
        <v>34282</v>
      </c>
      <c r="K25" s="6"/>
      <c r="L25" s="6">
        <f>25224+16570+15487+2300+3500+9200</f>
        <v>72281</v>
      </c>
      <c r="M25" s="6"/>
      <c r="N25" s="6">
        <f>35924+25576+4850+5396+2200+13800+2200</f>
        <v>89946</v>
      </c>
      <c r="O25" s="6"/>
      <c r="P25" s="6">
        <f>19660+5000+20950+1200+5240</f>
        <v>52050</v>
      </c>
      <c r="Q25" s="6"/>
      <c r="R25" s="6">
        <v>67949</v>
      </c>
      <c r="S25" s="6"/>
      <c r="T25" s="6">
        <f>8660+5600+5500+10000+5400</f>
        <v>35160</v>
      </c>
      <c r="U25" s="6"/>
      <c r="V25" s="6">
        <f>16560+4000+13240+8400+22900+12000</f>
        <v>77100</v>
      </c>
      <c r="W25" s="6"/>
      <c r="X25" s="6">
        <f>20000+5000+20000+10000+5000+10000+5000+5000</f>
        <v>80000</v>
      </c>
      <c r="Y25" s="6"/>
      <c r="Z25" s="6">
        <f>28345+25258+5000+5000+37440</f>
        <v>101043</v>
      </c>
      <c r="AA25" s="6"/>
      <c r="AB25" s="6">
        <v>40700</v>
      </c>
      <c r="AC25" s="6"/>
      <c r="AD25" s="6">
        <f>11067+9945+400+2100</f>
        <v>23512</v>
      </c>
      <c r="AE25" s="6"/>
      <c r="AF25" s="6">
        <f>32044+3900+30432+24603.6+8100+25000</f>
        <v>124079.6</v>
      </c>
      <c r="AG25" s="6"/>
      <c r="AH25" s="6">
        <f>10871+4740+13932+3330+3860+3000+8720</f>
        <v>48453</v>
      </c>
      <c r="AI25" s="6"/>
      <c r="AJ25" s="6">
        <f>11524+2494+11275+1365+6195+9570+9790</f>
        <v>52213</v>
      </c>
      <c r="AK25" s="6"/>
      <c r="AL25" s="6">
        <f t="shared" si="2"/>
        <v>1170073.6000000001</v>
      </c>
      <c r="AM25" s="129">
        <f>+AL25*100/AL30</f>
        <v>4.4233090943933533</v>
      </c>
      <c r="AN25" s="129">
        <f t="shared" si="3"/>
        <v>0</v>
      </c>
      <c r="AO25" s="129"/>
    </row>
    <row r="26" spans="1:41" s="7" customFormat="1" ht="16.5" customHeight="1" x14ac:dyDescent="0.2">
      <c r="A26" s="16"/>
      <c r="B26" s="17">
        <v>3.7</v>
      </c>
      <c r="C26" s="9" t="s">
        <v>13</v>
      </c>
      <c r="D26" s="6">
        <f>30000+9600+8400+16260</f>
        <v>64260</v>
      </c>
      <c r="E26" s="6"/>
      <c r="F26" s="6">
        <f>35000+3500+3800</f>
        <v>42300</v>
      </c>
      <c r="G26" s="6"/>
      <c r="H26" s="6">
        <f>40000+3000</f>
        <v>43000</v>
      </c>
      <c r="I26" s="6"/>
      <c r="J26" s="6">
        <f>24000+1440</f>
        <v>25440</v>
      </c>
      <c r="K26" s="6"/>
      <c r="L26" s="6">
        <f>25000+2400</f>
        <v>27400</v>
      </c>
      <c r="M26" s="6"/>
      <c r="N26" s="6">
        <f>34691.49+13450.9+1500</f>
        <v>49642.39</v>
      </c>
      <c r="O26" s="6"/>
      <c r="P26" s="6">
        <f>53973+3425</f>
        <v>57398</v>
      </c>
      <c r="Q26" s="6"/>
      <c r="R26" s="6">
        <f>30000+2000+5000</f>
        <v>37000</v>
      </c>
      <c r="S26" s="6"/>
      <c r="T26" s="6">
        <f>28435+1086+3049</f>
        <v>32570</v>
      </c>
      <c r="U26" s="6"/>
      <c r="V26" s="6">
        <f>40000+2000</f>
        <v>42000</v>
      </c>
      <c r="W26" s="6"/>
      <c r="X26" s="6">
        <f>25000+10000+5000</f>
        <v>40000</v>
      </c>
      <c r="Y26" s="6"/>
      <c r="Z26" s="6">
        <f>40000+6000+3600</f>
        <v>49600</v>
      </c>
      <c r="AA26" s="6"/>
      <c r="AB26" s="6">
        <f>23992+1177</f>
        <v>25169</v>
      </c>
      <c r="AC26" s="6"/>
      <c r="AD26" s="6">
        <f>8000+1000+1800</f>
        <v>10800</v>
      </c>
      <c r="AE26" s="6"/>
      <c r="AF26" s="6">
        <f>100000+6000+3600+12000</f>
        <v>121600</v>
      </c>
      <c r="AG26" s="6"/>
      <c r="AH26" s="6">
        <f>32000+1475</f>
        <v>33475</v>
      </c>
      <c r="AI26" s="6"/>
      <c r="AJ26" s="6">
        <f>30000+2000</f>
        <v>32000</v>
      </c>
      <c r="AK26" s="6"/>
      <c r="AL26" s="6">
        <f t="shared" si="2"/>
        <v>733654.39</v>
      </c>
      <c r="AM26" s="129">
        <f>+AL26*100/AL30</f>
        <v>2.7734837666866494</v>
      </c>
      <c r="AN26" s="129">
        <f t="shared" si="3"/>
        <v>0</v>
      </c>
      <c r="AO26" s="129"/>
    </row>
    <row r="27" spans="1:41" s="7" customFormat="1" ht="16.5" customHeight="1" x14ac:dyDescent="0.2">
      <c r="A27" s="16"/>
      <c r="B27" s="17">
        <v>3.8</v>
      </c>
      <c r="C27" s="9" t="s">
        <v>15</v>
      </c>
      <c r="D27" s="6"/>
      <c r="E27" s="6"/>
      <c r="F27" s="6">
        <f>9000+16000+7900+9600</f>
        <v>42500</v>
      </c>
      <c r="G27" s="6"/>
      <c r="H27" s="6">
        <f>9600+9800+2850+15000+21000+1700+6600+3000</f>
        <v>69550</v>
      </c>
      <c r="I27" s="6"/>
      <c r="J27" s="6">
        <f>10000+7900+8600+19000</f>
        <v>45500</v>
      </c>
      <c r="K27" s="6"/>
      <c r="L27" s="6">
        <f>20000+9000+5800+8000+10200+6000+16000+5000</f>
        <v>80000</v>
      </c>
      <c r="M27" s="6"/>
      <c r="N27" s="6">
        <f>10000+45000+39000+20000+10000+30000+10000+19000+12000+20000+30000+4300+10000+7900</f>
        <v>267200</v>
      </c>
      <c r="O27" s="6"/>
      <c r="P27" s="6">
        <f>13000+70000+10000</f>
        <v>93000</v>
      </c>
      <c r="Q27" s="6"/>
      <c r="R27" s="6">
        <f>5000+15000+6000+20000+16000+8600+15000+30000+7900+700+9600+10000+8000+5000+19000</f>
        <v>175800</v>
      </c>
      <c r="S27" s="6"/>
      <c r="T27" s="6">
        <f>27000+17000+12000+3000+20000+20000+20000+5500+9000</f>
        <v>133500</v>
      </c>
      <c r="U27" s="6"/>
      <c r="V27" s="6">
        <f>10000+20000+35000+30000+30000</f>
        <v>125000</v>
      </c>
      <c r="W27" s="6"/>
      <c r="X27" s="6"/>
      <c r="Y27" s="6"/>
      <c r="Z27" s="6">
        <f>50000+15000+15000+22000+30000+11000+9000</f>
        <v>152000</v>
      </c>
      <c r="AA27" s="6"/>
      <c r="AB27" s="6">
        <v>91000</v>
      </c>
      <c r="AC27" s="6"/>
      <c r="AD27" s="6">
        <v>30000</v>
      </c>
      <c r="AE27" s="6"/>
      <c r="AF27" s="6">
        <f>20000+69000+27000+20000+30000+10000+12000+20000+4000+2000+30000+3000+15000+10000+1500+7900+5000+30000+16000+4300+19000+5000+4300+7500</f>
        <v>372500</v>
      </c>
      <c r="AG27" s="6"/>
      <c r="AH27" s="6">
        <f>3000+3900+22000+5500+25000+5250</f>
        <v>64650</v>
      </c>
      <c r="AI27" s="6"/>
      <c r="AJ27" s="6">
        <f>10000+6000</f>
        <v>16000</v>
      </c>
      <c r="AK27" s="6"/>
      <c r="AL27" s="6">
        <f t="shared" si="2"/>
        <v>1758200</v>
      </c>
      <c r="AM27" s="129">
        <f>+AL27*100/AL30</f>
        <v>6.6466434673531589</v>
      </c>
      <c r="AN27" s="129">
        <f t="shared" si="3"/>
        <v>0</v>
      </c>
      <c r="AO27" s="129"/>
    </row>
    <row r="28" spans="1:41" s="7" customFormat="1" ht="16.5" customHeight="1" x14ac:dyDescent="0.2">
      <c r="A28" s="16"/>
      <c r="B28" s="17">
        <v>3.9</v>
      </c>
      <c r="C28" s="9" t="s">
        <v>16</v>
      </c>
      <c r="D28" s="6">
        <f>150000+100000</f>
        <v>250000</v>
      </c>
      <c r="E28" s="6"/>
      <c r="F28" s="6">
        <v>45000</v>
      </c>
      <c r="G28" s="6"/>
      <c r="H28" s="6">
        <v>30000</v>
      </c>
      <c r="I28" s="6"/>
      <c r="J28" s="6">
        <v>72832</v>
      </c>
      <c r="K28" s="6"/>
      <c r="L28" s="6">
        <v>15875</v>
      </c>
      <c r="M28" s="6"/>
      <c r="N28" s="6">
        <f>40000+50000+35000+24300+30000+20000+18000</f>
        <v>217300</v>
      </c>
      <c r="O28" s="6"/>
      <c r="P28" s="6">
        <f>40000+20000+20000+10000+10000+25000+25000</f>
        <v>150000</v>
      </c>
      <c r="Q28" s="6"/>
      <c r="R28" s="6">
        <v>91200</v>
      </c>
      <c r="S28" s="6"/>
      <c r="T28" s="6">
        <v>40000</v>
      </c>
      <c r="U28" s="6"/>
      <c r="V28" s="6">
        <v>57440</v>
      </c>
      <c r="W28" s="6"/>
      <c r="X28" s="6"/>
      <c r="Y28" s="6"/>
      <c r="Z28" s="6">
        <f>22500+40000</f>
        <v>62500</v>
      </c>
      <c r="AA28" s="6"/>
      <c r="AB28" s="6"/>
      <c r="AC28" s="6"/>
      <c r="AD28" s="6"/>
      <c r="AE28" s="6"/>
      <c r="AF28" s="6">
        <v>39840</v>
      </c>
      <c r="AG28" s="6"/>
      <c r="AH28" s="6">
        <f>99850+45000</f>
        <v>144850</v>
      </c>
      <c r="AI28" s="6"/>
      <c r="AJ28" s="6">
        <v>30000</v>
      </c>
      <c r="AK28" s="6"/>
      <c r="AL28" s="6">
        <f t="shared" si="2"/>
        <v>1246837</v>
      </c>
      <c r="AM28" s="129">
        <f>+AL28*100/AL30</f>
        <v>4.7135030149608754</v>
      </c>
      <c r="AN28" s="129">
        <f t="shared" si="3"/>
        <v>0</v>
      </c>
      <c r="AO28" s="129"/>
    </row>
    <row r="29" spans="1:41" s="7" customFormat="1" ht="16.5" hidden="1" customHeight="1" x14ac:dyDescent="0.2">
      <c r="A29" s="16"/>
      <c r="B29" s="23">
        <v>3.1</v>
      </c>
      <c r="C29" s="9" t="s">
        <v>18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>
        <f t="shared" si="2"/>
        <v>0</v>
      </c>
      <c r="AM29" s="134"/>
      <c r="AN29" s="6">
        <f t="shared" si="3"/>
        <v>0</v>
      </c>
      <c r="AO29" s="6"/>
    </row>
    <row r="30" spans="1:41" s="7" customFormat="1" ht="16.5" customHeight="1" x14ac:dyDescent="0.2">
      <c r="A30" s="19"/>
      <c r="B30" s="20"/>
      <c r="C30" s="24" t="s">
        <v>19</v>
      </c>
      <c r="D30" s="22">
        <f t="shared" ref="D30" si="8">+D19</f>
        <v>2496860</v>
      </c>
      <c r="E30" s="22"/>
      <c r="F30" s="22">
        <f t="shared" ref="F30:V30" si="9">+F19</f>
        <v>1648243.25</v>
      </c>
      <c r="G30" s="22"/>
      <c r="H30" s="22">
        <f t="shared" si="9"/>
        <v>1980660.8</v>
      </c>
      <c r="I30" s="22"/>
      <c r="J30" s="22">
        <f t="shared" si="9"/>
        <v>1140688.3599999999</v>
      </c>
      <c r="K30" s="22"/>
      <c r="L30" s="22">
        <f t="shared" si="9"/>
        <v>1371311.78</v>
      </c>
      <c r="M30" s="22"/>
      <c r="N30" s="22">
        <f t="shared" si="9"/>
        <v>1758634.7699999998</v>
      </c>
      <c r="O30" s="22"/>
      <c r="P30" s="22">
        <f t="shared" si="9"/>
        <v>1899431</v>
      </c>
      <c r="Q30" s="22"/>
      <c r="R30" s="22">
        <f t="shared" si="9"/>
        <v>1276978</v>
      </c>
      <c r="S30" s="22"/>
      <c r="T30" s="22">
        <f t="shared" si="9"/>
        <v>1344851</v>
      </c>
      <c r="U30" s="22"/>
      <c r="V30" s="22">
        <f t="shared" si="9"/>
        <v>1353386.6099999999</v>
      </c>
      <c r="W30" s="22"/>
      <c r="X30" s="22">
        <f>+X19</f>
        <v>1286100</v>
      </c>
      <c r="Y30" s="22"/>
      <c r="Z30" s="22">
        <f t="shared" ref="Z30:AJ30" si="10">+Z19</f>
        <v>1305882</v>
      </c>
      <c r="AA30" s="22"/>
      <c r="AB30" s="22">
        <f t="shared" si="10"/>
        <v>967799</v>
      </c>
      <c r="AC30" s="22"/>
      <c r="AD30" s="22">
        <f>+AD19</f>
        <v>957850.69</v>
      </c>
      <c r="AE30" s="22"/>
      <c r="AF30" s="22">
        <f t="shared" si="10"/>
        <v>2906949.6</v>
      </c>
      <c r="AG30" s="22"/>
      <c r="AH30" s="22">
        <f t="shared" ref="AH30" si="11">+AH19</f>
        <v>1664978</v>
      </c>
      <c r="AI30" s="22"/>
      <c r="AJ30" s="22">
        <f t="shared" si="10"/>
        <v>1091844.54</v>
      </c>
      <c r="AK30" s="22"/>
      <c r="AL30" s="22">
        <f t="shared" si="2"/>
        <v>26452449.400000002</v>
      </c>
      <c r="AM30" s="187">
        <v>100</v>
      </c>
      <c r="AN30" s="22">
        <f t="shared" si="3"/>
        <v>0</v>
      </c>
      <c r="AO30" s="22"/>
    </row>
    <row r="31" spans="1:41" s="7" customFormat="1" ht="16.5" customHeight="1" x14ac:dyDescent="0.2">
      <c r="A31" s="19">
        <v>4</v>
      </c>
      <c r="B31" s="20"/>
      <c r="C31" s="24" t="s">
        <v>37</v>
      </c>
      <c r="D31" s="22">
        <f>+D4+D5-D30</f>
        <v>493051.81999999983</v>
      </c>
      <c r="E31" s="22"/>
      <c r="F31" s="22">
        <f>+F4+F5-F30</f>
        <v>99022.800000000279</v>
      </c>
      <c r="G31" s="22"/>
      <c r="H31" s="22">
        <f t="shared" ref="H31:AJ31" si="12">+H4+H5-H30</f>
        <v>181263.67000000016</v>
      </c>
      <c r="I31" s="22"/>
      <c r="J31" s="22">
        <f t="shared" si="12"/>
        <v>246077.84000000032</v>
      </c>
      <c r="K31" s="22"/>
      <c r="L31" s="22">
        <f t="shared" si="12"/>
        <v>187086.20999999973</v>
      </c>
      <c r="M31" s="22"/>
      <c r="N31" s="22">
        <f>+N4+N5-N30</f>
        <v>159524.09000000032</v>
      </c>
      <c r="O31" s="22"/>
      <c r="P31" s="22">
        <f t="shared" si="12"/>
        <v>214508.95999999996</v>
      </c>
      <c r="Q31" s="22"/>
      <c r="R31" s="22">
        <f t="shared" si="12"/>
        <v>428406.76</v>
      </c>
      <c r="S31" s="22"/>
      <c r="T31" s="22">
        <f t="shared" si="12"/>
        <v>186343.62000000011</v>
      </c>
      <c r="U31" s="22"/>
      <c r="V31" s="22">
        <f t="shared" si="12"/>
        <v>608854.61000000034</v>
      </c>
      <c r="W31" s="22"/>
      <c r="X31" s="22">
        <f t="shared" si="12"/>
        <v>111393.34000000008</v>
      </c>
      <c r="Y31" s="22"/>
      <c r="Z31" s="22">
        <f t="shared" si="12"/>
        <v>180836.05000000005</v>
      </c>
      <c r="AA31" s="22"/>
      <c r="AB31" s="22">
        <f t="shared" si="12"/>
        <v>53162.5</v>
      </c>
      <c r="AC31" s="22"/>
      <c r="AD31" s="22">
        <f t="shared" si="12"/>
        <v>193832.14000000013</v>
      </c>
      <c r="AE31" s="22"/>
      <c r="AF31" s="22">
        <f t="shared" si="12"/>
        <v>241703.48999999976</v>
      </c>
      <c r="AG31" s="22"/>
      <c r="AH31" s="22">
        <f t="shared" ref="AH31" si="13">+AH4+AH5-AH30</f>
        <v>133124.25</v>
      </c>
      <c r="AI31" s="22"/>
      <c r="AJ31" s="22">
        <f t="shared" si="12"/>
        <v>137164.74</v>
      </c>
      <c r="AK31" s="22"/>
      <c r="AL31" s="22">
        <f t="shared" si="2"/>
        <v>3855356.8900000006</v>
      </c>
      <c r="AM31" s="22"/>
      <c r="AN31" s="22">
        <f t="shared" si="3"/>
        <v>0</v>
      </c>
      <c r="AO31" s="22"/>
    </row>
    <row r="32" spans="1:41" s="7" customFormat="1" ht="27" customHeight="1" x14ac:dyDescent="0.2">
      <c r="A32" s="11">
        <v>5</v>
      </c>
      <c r="B32" s="17"/>
      <c r="C32" s="18" t="s">
        <v>82</v>
      </c>
      <c r="D32" s="6">
        <f t="shared" ref="D32" si="14">+D33+D34</f>
        <v>10710</v>
      </c>
      <c r="E32" s="6"/>
      <c r="F32" s="6">
        <f t="shared" ref="F32:AJ32" si="15">+F33+F34</f>
        <v>62050</v>
      </c>
      <c r="G32" s="6"/>
      <c r="H32" s="6">
        <f t="shared" si="15"/>
        <v>56546.666666666664</v>
      </c>
      <c r="I32" s="6"/>
      <c r="J32" s="6">
        <f t="shared" si="15"/>
        <v>56606</v>
      </c>
      <c r="K32" s="6"/>
      <c r="L32" s="6">
        <f t="shared" si="15"/>
        <v>89986.666666666672</v>
      </c>
      <c r="M32" s="6"/>
      <c r="N32" s="6">
        <f t="shared" si="15"/>
        <v>43213.731666666667</v>
      </c>
      <c r="O32" s="6"/>
      <c r="P32" s="6">
        <f t="shared" si="15"/>
        <v>44216.333333333336</v>
      </c>
      <c r="Q32" s="6"/>
      <c r="R32" s="6">
        <f t="shared" si="15"/>
        <v>28066.666666666668</v>
      </c>
      <c r="S32" s="6"/>
      <c r="T32" s="6">
        <f>+T33+T34</f>
        <v>43008.333333333336</v>
      </c>
      <c r="U32" s="6"/>
      <c r="V32" s="6">
        <f t="shared" si="15"/>
        <v>78240</v>
      </c>
      <c r="W32" s="6"/>
      <c r="X32" s="6">
        <f t="shared" si="15"/>
        <v>24806.666666666668</v>
      </c>
      <c r="Y32" s="6"/>
      <c r="Z32" s="6">
        <f t="shared" si="15"/>
        <v>55821.166666666664</v>
      </c>
      <c r="AA32" s="6"/>
      <c r="AB32" s="6">
        <f t="shared" si="15"/>
        <v>20394.833333333332</v>
      </c>
      <c r="AC32" s="6"/>
      <c r="AD32" s="6">
        <f t="shared" si="15"/>
        <v>46971</v>
      </c>
      <c r="AE32" s="6"/>
      <c r="AF32" s="6">
        <f t="shared" si="15"/>
        <v>124426.66666666667</v>
      </c>
      <c r="AG32" s="6"/>
      <c r="AH32" s="6">
        <f t="shared" ref="AH32" si="16">+AH33+AH34</f>
        <v>88139.166666666672</v>
      </c>
      <c r="AI32" s="6"/>
      <c r="AJ32" s="6">
        <f t="shared" si="15"/>
        <v>22139.666666666664</v>
      </c>
      <c r="AK32" s="6"/>
      <c r="AL32" s="6">
        <f t="shared" si="2"/>
        <v>895343.56499999983</v>
      </c>
      <c r="AM32" s="6"/>
      <c r="AN32" s="6">
        <f t="shared" si="3"/>
        <v>0</v>
      </c>
      <c r="AO32" s="6"/>
    </row>
    <row r="33" spans="1:41" s="7" customFormat="1" ht="16.5" hidden="1" customHeight="1" x14ac:dyDescent="0.2">
      <c r="A33" s="16"/>
      <c r="B33" s="17"/>
      <c r="C33" s="8" t="s">
        <v>41</v>
      </c>
      <c r="D33" s="6">
        <f t="shared" ref="D33" si="17">+D22/12*2</f>
        <v>0</v>
      </c>
      <c r="E33" s="6"/>
      <c r="F33" s="6">
        <f t="shared" ref="F33:AJ33" si="18">+F22/12*2</f>
        <v>55000</v>
      </c>
      <c r="G33" s="6"/>
      <c r="H33" s="6">
        <f t="shared" si="18"/>
        <v>49380</v>
      </c>
      <c r="I33" s="6"/>
      <c r="J33" s="6">
        <f t="shared" si="18"/>
        <v>52366</v>
      </c>
      <c r="K33" s="6"/>
      <c r="L33" s="6">
        <f t="shared" si="18"/>
        <v>85420</v>
      </c>
      <c r="M33" s="6"/>
      <c r="N33" s="6">
        <f t="shared" si="18"/>
        <v>34940</v>
      </c>
      <c r="O33" s="6"/>
      <c r="P33" s="6">
        <f t="shared" si="18"/>
        <v>34650</v>
      </c>
      <c r="Q33" s="6"/>
      <c r="R33" s="6">
        <f t="shared" si="18"/>
        <v>21900</v>
      </c>
      <c r="S33" s="6"/>
      <c r="T33" s="6">
        <f t="shared" si="18"/>
        <v>37580</v>
      </c>
      <c r="U33" s="6"/>
      <c r="V33" s="6">
        <f t="shared" si="18"/>
        <v>71240</v>
      </c>
      <c r="W33" s="6"/>
      <c r="X33" s="6">
        <f t="shared" si="18"/>
        <v>18140</v>
      </c>
      <c r="Y33" s="6"/>
      <c r="Z33" s="6">
        <f t="shared" si="18"/>
        <v>47554.5</v>
      </c>
      <c r="AA33" s="6"/>
      <c r="AB33" s="6">
        <f t="shared" si="18"/>
        <v>16200</v>
      </c>
      <c r="AC33" s="6"/>
      <c r="AD33" s="6">
        <f t="shared" si="18"/>
        <v>45171</v>
      </c>
      <c r="AE33" s="6"/>
      <c r="AF33" s="6">
        <f t="shared" si="18"/>
        <v>104160</v>
      </c>
      <c r="AG33" s="6"/>
      <c r="AH33" s="6">
        <f t="shared" ref="AH33" si="19">+AH22/12*2</f>
        <v>82560</v>
      </c>
      <c r="AI33" s="6"/>
      <c r="AJ33" s="6">
        <f t="shared" si="18"/>
        <v>16806.333333333332</v>
      </c>
      <c r="AK33" s="6"/>
      <c r="AL33" s="6">
        <f>SUM(D33:AJ33)</f>
        <v>773067.83333333337</v>
      </c>
      <c r="AM33" s="6"/>
      <c r="AN33" s="6"/>
      <c r="AO33" s="6"/>
    </row>
    <row r="34" spans="1:41" s="7" customFormat="1" ht="16.5" hidden="1" customHeight="1" x14ac:dyDescent="0.2">
      <c r="A34" s="16"/>
      <c r="B34" s="17"/>
      <c r="C34" s="8" t="s">
        <v>42</v>
      </c>
      <c r="D34" s="6">
        <f t="shared" ref="D34" si="20">+D26/12*2</f>
        <v>10710</v>
      </c>
      <c r="E34" s="6"/>
      <c r="F34" s="6">
        <f t="shared" ref="F34:AJ34" si="21">+F26/12*2</f>
        <v>7050</v>
      </c>
      <c r="G34" s="6"/>
      <c r="H34" s="6">
        <f t="shared" si="21"/>
        <v>7166.666666666667</v>
      </c>
      <c r="I34" s="6"/>
      <c r="J34" s="6">
        <f t="shared" si="21"/>
        <v>4240</v>
      </c>
      <c r="K34" s="6"/>
      <c r="L34" s="6">
        <f t="shared" si="21"/>
        <v>4566.666666666667</v>
      </c>
      <c r="M34" s="6"/>
      <c r="N34" s="6">
        <f t="shared" si="21"/>
        <v>8273.7316666666666</v>
      </c>
      <c r="O34" s="6"/>
      <c r="P34" s="6">
        <f t="shared" si="21"/>
        <v>9566.3333333333339</v>
      </c>
      <c r="Q34" s="6"/>
      <c r="R34" s="6">
        <f t="shared" si="21"/>
        <v>6166.666666666667</v>
      </c>
      <c r="S34" s="6"/>
      <c r="T34" s="6">
        <f t="shared" si="21"/>
        <v>5428.333333333333</v>
      </c>
      <c r="U34" s="6"/>
      <c r="V34" s="6">
        <f t="shared" si="21"/>
        <v>7000</v>
      </c>
      <c r="W34" s="6"/>
      <c r="X34" s="6">
        <f t="shared" si="21"/>
        <v>6666.666666666667</v>
      </c>
      <c r="Y34" s="6"/>
      <c r="Z34" s="6">
        <f t="shared" si="21"/>
        <v>8266.6666666666661</v>
      </c>
      <c r="AA34" s="6"/>
      <c r="AB34" s="6">
        <f t="shared" si="21"/>
        <v>4194.833333333333</v>
      </c>
      <c r="AC34" s="6"/>
      <c r="AD34" s="6">
        <f t="shared" si="21"/>
        <v>1800</v>
      </c>
      <c r="AE34" s="6"/>
      <c r="AF34" s="6">
        <f t="shared" si="21"/>
        <v>20266.666666666668</v>
      </c>
      <c r="AG34" s="6"/>
      <c r="AH34" s="6">
        <f t="shared" ref="AH34" si="22">+AH26/12*2</f>
        <v>5579.166666666667</v>
      </c>
      <c r="AI34" s="6"/>
      <c r="AJ34" s="6">
        <f t="shared" si="21"/>
        <v>5333.333333333333</v>
      </c>
      <c r="AK34" s="6"/>
      <c r="AL34" s="6">
        <f>SUM(D34:AJ34)</f>
        <v>122275.73166666669</v>
      </c>
      <c r="AM34" s="28"/>
      <c r="AN34" s="6"/>
      <c r="AO34" s="6"/>
    </row>
    <row r="35" spans="1:41" s="7" customFormat="1" ht="16.5" hidden="1" customHeight="1" x14ac:dyDescent="0.55000000000000004">
      <c r="A35" s="25">
        <v>6</v>
      </c>
      <c r="B35" s="26"/>
      <c r="C35" s="27" t="s">
        <v>25</v>
      </c>
      <c r="D35" s="28">
        <f t="shared" ref="D35" si="23">+D31-D32</f>
        <v>482341.81999999983</v>
      </c>
      <c r="E35" s="28"/>
      <c r="F35" s="28">
        <f t="shared" ref="F35:AJ35" si="24">+F31-F32</f>
        <v>36972.800000000279</v>
      </c>
      <c r="G35" s="28"/>
      <c r="H35" s="28">
        <f t="shared" si="24"/>
        <v>124717.0033333335</v>
      </c>
      <c r="I35" s="28"/>
      <c r="J35" s="28">
        <f t="shared" si="24"/>
        <v>189471.84000000032</v>
      </c>
      <c r="K35" s="28"/>
      <c r="L35" s="28">
        <f t="shared" si="24"/>
        <v>97099.543333333058</v>
      </c>
      <c r="M35" s="28"/>
      <c r="N35" s="28">
        <f t="shared" si="24"/>
        <v>116310.35833333366</v>
      </c>
      <c r="O35" s="28"/>
      <c r="P35" s="28">
        <f t="shared" si="24"/>
        <v>170292.62666666662</v>
      </c>
      <c r="Q35" s="28"/>
      <c r="R35" s="28">
        <f t="shared" si="24"/>
        <v>400340.09333333332</v>
      </c>
      <c r="S35" s="28"/>
      <c r="T35" s="28">
        <f t="shared" si="24"/>
        <v>143335.28666666677</v>
      </c>
      <c r="U35" s="28"/>
      <c r="V35" s="28">
        <f t="shared" si="24"/>
        <v>530614.61000000034</v>
      </c>
      <c r="W35" s="28"/>
      <c r="X35" s="28">
        <f t="shared" si="24"/>
        <v>86586.673333333412</v>
      </c>
      <c r="Y35" s="28"/>
      <c r="Z35" s="28">
        <f t="shared" si="24"/>
        <v>125014.88333333339</v>
      </c>
      <c r="AA35" s="28"/>
      <c r="AB35" s="28">
        <f t="shared" si="24"/>
        <v>32767.666666666668</v>
      </c>
      <c r="AC35" s="28"/>
      <c r="AD35" s="28">
        <f t="shared" si="24"/>
        <v>146861.14000000013</v>
      </c>
      <c r="AE35" s="28"/>
      <c r="AF35" s="28">
        <f t="shared" si="24"/>
        <v>117276.82333333309</v>
      </c>
      <c r="AG35" s="28"/>
      <c r="AH35" s="28">
        <f t="shared" ref="AH35" si="25">+AH31-AH32</f>
        <v>44985.083333333328</v>
      </c>
      <c r="AI35" s="28"/>
      <c r="AJ35" s="28">
        <f t="shared" si="24"/>
        <v>115025.07333333333</v>
      </c>
      <c r="AK35" s="28"/>
      <c r="AL35" s="28">
        <f>SUM(D35:AJ35)</f>
        <v>2960013.3250000011</v>
      </c>
      <c r="AM35" s="1"/>
      <c r="AN35" s="28"/>
      <c r="AO35" s="28"/>
    </row>
    <row r="37" spans="1:41" x14ac:dyDescent="0.55000000000000004">
      <c r="AM37" s="38"/>
    </row>
    <row r="38" spans="1:41" x14ac:dyDescent="0.55000000000000004"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N38" s="38"/>
      <c r="AO38" s="38"/>
    </row>
  </sheetData>
  <mergeCells count="24">
    <mergeCell ref="A1:AL1"/>
    <mergeCell ref="A2:B3"/>
    <mergeCell ref="C2:C3"/>
    <mergeCell ref="AL2:AL3"/>
    <mergeCell ref="E2:E3"/>
    <mergeCell ref="G2:G3"/>
    <mergeCell ref="I2:I3"/>
    <mergeCell ref="K2:K3"/>
    <mergeCell ref="M2:M3"/>
    <mergeCell ref="O2:O3"/>
    <mergeCell ref="Q2:Q3"/>
    <mergeCell ref="S2:S3"/>
    <mergeCell ref="U2:U3"/>
    <mergeCell ref="W2:W3"/>
    <mergeCell ref="AI2:AI3"/>
    <mergeCell ref="AK2:AK3"/>
    <mergeCell ref="AN2:AN3"/>
    <mergeCell ref="AO2:AO3"/>
    <mergeCell ref="Y2:Y3"/>
    <mergeCell ref="AA2:AA3"/>
    <mergeCell ref="AC2:AC3"/>
    <mergeCell ref="AE2:AE3"/>
    <mergeCell ref="AG2:AG3"/>
    <mergeCell ref="AM2:AM3"/>
  </mergeCells>
  <printOptions horizontalCentered="1"/>
  <pageMargins left="0.23622047244094491" right="0.23622047244094491" top="0.6692913385826772" bottom="0.35433070866141736" header="0.31496062992125984" footer="0.31496062992125984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38"/>
  <sheetViews>
    <sheetView view="pageBreakPreview" zoomScale="120" zoomScaleNormal="110" zoomScaleSheetLayoutView="120" workbookViewId="0">
      <pane xSplit="3" ySplit="3" topLeftCell="U4" activePane="bottomRight" state="frozen"/>
      <selection activeCell="G16" sqref="G16"/>
      <selection pane="topRight" activeCell="G16" sqref="G16"/>
      <selection pane="bottomLeft" activeCell="G16" sqref="G16"/>
      <selection pane="bottomRight" activeCell="AK4" sqref="AK4"/>
    </sheetView>
  </sheetViews>
  <sheetFormatPr defaultRowHeight="24" x14ac:dyDescent="0.55000000000000004"/>
  <cols>
    <col min="1" max="1" width="2" style="1" customWidth="1"/>
    <col min="2" max="2" width="3.125" style="1" customWidth="1"/>
    <col min="3" max="3" width="15.5" style="1" customWidth="1"/>
    <col min="4" max="4" width="6.5" style="1" bestFit="1" customWidth="1"/>
    <col min="5" max="5" width="6" style="1" customWidth="1"/>
    <col min="6" max="6" width="6.5" style="1" bestFit="1" customWidth="1"/>
    <col min="7" max="7" width="6" style="1" customWidth="1"/>
    <col min="8" max="8" width="6.5" style="1" bestFit="1" customWidth="1"/>
    <col min="9" max="9" width="6" style="1" customWidth="1"/>
    <col min="10" max="10" width="7.75" style="1" bestFit="1" customWidth="1"/>
    <col min="11" max="11" width="6.125" style="1" customWidth="1"/>
    <col min="12" max="12" width="6.5" style="1" bestFit="1" customWidth="1"/>
    <col min="13" max="13" width="6" style="1" customWidth="1"/>
    <col min="14" max="14" width="6.5" style="1" bestFit="1" customWidth="1"/>
    <col min="15" max="15" width="6" style="1" customWidth="1"/>
    <col min="16" max="16" width="7.375" style="1" bestFit="1" customWidth="1"/>
    <col min="17" max="17" width="6.125" style="1" customWidth="1"/>
    <col min="18" max="18" width="6.5" style="1" bestFit="1" customWidth="1"/>
    <col min="19" max="19" width="6" style="1" customWidth="1"/>
    <col min="20" max="20" width="6.5" style="1" bestFit="1" customWidth="1"/>
    <col min="21" max="21" width="6" style="1" customWidth="1"/>
    <col min="22" max="22" width="6.5" style="1" bestFit="1" customWidth="1"/>
    <col min="23" max="23" width="6" style="1" customWidth="1"/>
    <col min="24" max="24" width="6.5" style="1" bestFit="1" customWidth="1"/>
    <col min="25" max="25" width="6.125" style="1" customWidth="1"/>
    <col min="26" max="26" width="6.5" style="1" bestFit="1" customWidth="1"/>
    <col min="27" max="27" width="6.125" style="1" customWidth="1"/>
    <col min="28" max="28" width="6.5" style="1" bestFit="1" customWidth="1"/>
    <col min="29" max="29" width="6" style="1" customWidth="1"/>
    <col min="30" max="30" width="6.5" style="1" bestFit="1" customWidth="1"/>
    <col min="31" max="31" width="6.125" style="1" customWidth="1"/>
    <col min="32" max="32" width="6.5" style="1" bestFit="1" customWidth="1"/>
    <col min="33" max="33" width="6" style="1" customWidth="1"/>
    <col min="34" max="34" width="7.125" style="1" bestFit="1" customWidth="1"/>
    <col min="35" max="35" width="8.875" style="1" bestFit="1" customWidth="1"/>
    <col min="36" max="37" width="7.125" style="1" customWidth="1"/>
    <col min="38" max="16384" width="9" style="1"/>
  </cols>
  <sheetData>
    <row r="1" spans="1:37" ht="16.5" customHeight="1" x14ac:dyDescent="0.55000000000000004">
      <c r="A1" s="207" t="s">
        <v>126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132"/>
    </row>
    <row r="2" spans="1:37" s="2" customFormat="1" ht="18" customHeight="1" x14ac:dyDescent="0.4">
      <c r="A2" s="197" t="s">
        <v>0</v>
      </c>
      <c r="B2" s="198"/>
      <c r="C2" s="201" t="s">
        <v>81</v>
      </c>
      <c r="D2" s="119" t="s">
        <v>76</v>
      </c>
      <c r="E2" s="203" t="s">
        <v>165</v>
      </c>
      <c r="F2" s="119" t="s">
        <v>76</v>
      </c>
      <c r="G2" s="203" t="s">
        <v>165</v>
      </c>
      <c r="H2" s="119" t="s">
        <v>76</v>
      </c>
      <c r="I2" s="203" t="s">
        <v>165</v>
      </c>
      <c r="J2" s="119" t="s">
        <v>76</v>
      </c>
      <c r="K2" s="203" t="s">
        <v>165</v>
      </c>
      <c r="L2" s="106" t="s">
        <v>76</v>
      </c>
      <c r="M2" s="203" t="s">
        <v>165</v>
      </c>
      <c r="N2" s="106" t="s">
        <v>76</v>
      </c>
      <c r="O2" s="203" t="s">
        <v>165</v>
      </c>
      <c r="P2" s="106" t="s">
        <v>76</v>
      </c>
      <c r="Q2" s="203" t="s">
        <v>165</v>
      </c>
      <c r="R2" s="106" t="s">
        <v>76</v>
      </c>
      <c r="S2" s="203" t="s">
        <v>165</v>
      </c>
      <c r="T2" s="106" t="s">
        <v>76</v>
      </c>
      <c r="U2" s="203" t="s">
        <v>165</v>
      </c>
      <c r="V2" s="106" t="s">
        <v>76</v>
      </c>
      <c r="W2" s="203" t="s">
        <v>165</v>
      </c>
      <c r="X2" s="106" t="s">
        <v>76</v>
      </c>
      <c r="Y2" s="203" t="s">
        <v>165</v>
      </c>
      <c r="Z2" s="106" t="s">
        <v>76</v>
      </c>
      <c r="AA2" s="203" t="s">
        <v>165</v>
      </c>
      <c r="AB2" s="106" t="s">
        <v>76</v>
      </c>
      <c r="AC2" s="203" t="s">
        <v>165</v>
      </c>
      <c r="AD2" s="106" t="s">
        <v>76</v>
      </c>
      <c r="AE2" s="203" t="s">
        <v>165</v>
      </c>
      <c r="AF2" s="123" t="s">
        <v>76</v>
      </c>
      <c r="AG2" s="203" t="s">
        <v>165</v>
      </c>
      <c r="AH2" s="194" t="s">
        <v>166</v>
      </c>
      <c r="AI2" s="194" t="s">
        <v>159</v>
      </c>
      <c r="AJ2" s="194" t="s">
        <v>167</v>
      </c>
      <c r="AK2" s="194" t="s">
        <v>168</v>
      </c>
    </row>
    <row r="3" spans="1:37" s="2" customFormat="1" ht="27" customHeight="1" x14ac:dyDescent="0.4">
      <c r="A3" s="199"/>
      <c r="B3" s="200"/>
      <c r="C3" s="202"/>
      <c r="D3" s="120" t="s">
        <v>137</v>
      </c>
      <c r="E3" s="206"/>
      <c r="F3" s="120" t="s">
        <v>134</v>
      </c>
      <c r="G3" s="206"/>
      <c r="H3" s="120" t="s">
        <v>130</v>
      </c>
      <c r="I3" s="206"/>
      <c r="J3" s="105" t="s">
        <v>125</v>
      </c>
      <c r="K3" s="206"/>
      <c r="L3" s="107" t="s">
        <v>127</v>
      </c>
      <c r="M3" s="206"/>
      <c r="N3" s="107" t="s">
        <v>128</v>
      </c>
      <c r="O3" s="206"/>
      <c r="P3" s="107" t="s">
        <v>131</v>
      </c>
      <c r="Q3" s="206"/>
      <c r="R3" s="107" t="s">
        <v>132</v>
      </c>
      <c r="S3" s="206"/>
      <c r="T3" s="107" t="s">
        <v>133</v>
      </c>
      <c r="U3" s="206"/>
      <c r="V3" s="107" t="s">
        <v>135</v>
      </c>
      <c r="W3" s="206"/>
      <c r="X3" s="107" t="s">
        <v>136</v>
      </c>
      <c r="Y3" s="206"/>
      <c r="Z3" s="107" t="s">
        <v>138</v>
      </c>
      <c r="AA3" s="206"/>
      <c r="AB3" s="107" t="s">
        <v>139</v>
      </c>
      <c r="AC3" s="206"/>
      <c r="AD3" s="107" t="s">
        <v>140</v>
      </c>
      <c r="AE3" s="206"/>
      <c r="AF3" s="124" t="s">
        <v>129</v>
      </c>
      <c r="AG3" s="206"/>
      <c r="AH3" s="195"/>
      <c r="AI3" s="195"/>
      <c r="AJ3" s="195"/>
      <c r="AK3" s="195"/>
    </row>
    <row r="4" spans="1:37" s="7" customFormat="1" ht="16.5" customHeight="1" x14ac:dyDescent="0.2">
      <c r="A4" s="29">
        <v>1</v>
      </c>
      <c r="B4" s="30"/>
      <c r="C4" s="31" t="s">
        <v>22</v>
      </c>
      <c r="D4" s="32">
        <v>52762.87</v>
      </c>
      <c r="E4" s="32"/>
      <c r="F4" s="32">
        <v>294641.15999999997</v>
      </c>
      <c r="G4" s="32"/>
      <c r="H4" s="32">
        <v>132173.35</v>
      </c>
      <c r="I4" s="32"/>
      <c r="J4" s="32">
        <v>148630.23000000001</v>
      </c>
      <c r="K4" s="32"/>
      <c r="L4" s="32">
        <v>303100.09999999998</v>
      </c>
      <c r="M4" s="32"/>
      <c r="N4" s="32">
        <v>89903.63</v>
      </c>
      <c r="O4" s="32"/>
      <c r="P4" s="32">
        <v>162496.94</v>
      </c>
      <c r="Q4" s="32"/>
      <c r="R4" s="32">
        <v>102505.61</v>
      </c>
      <c r="S4" s="32"/>
      <c r="T4" s="32">
        <v>180772.89</v>
      </c>
      <c r="U4" s="32"/>
      <c r="V4" s="32">
        <v>15018.03</v>
      </c>
      <c r="W4" s="32"/>
      <c r="X4" s="32">
        <v>605162.89</v>
      </c>
      <c r="Y4" s="32"/>
      <c r="Z4" s="32">
        <v>291055.87</v>
      </c>
      <c r="AA4" s="32"/>
      <c r="AB4" s="32">
        <v>368027.64</v>
      </c>
      <c r="AC4" s="32"/>
      <c r="AD4" s="32">
        <v>35348.83</v>
      </c>
      <c r="AE4" s="32"/>
      <c r="AF4" s="32">
        <v>422460.31</v>
      </c>
      <c r="AG4" s="32"/>
      <c r="AH4" s="33">
        <f>+D4+F4+H4+J4+L4+N4+P4+R4+T4+V4+X4+Z4+AB4+AD4+AF4</f>
        <v>3204060.3500000006</v>
      </c>
      <c r="AI4" s="131">
        <f>+AH4*100/AH18</f>
        <v>11.975810102665681</v>
      </c>
      <c r="AJ4" s="131">
        <f>+E4+G4+I4+K4+M4+O4+Q4+S4+U4+W4+Y4+AA4+AC4+AE4+AG4</f>
        <v>0</v>
      </c>
      <c r="AK4" s="131"/>
    </row>
    <row r="5" spans="1:37" s="7" customFormat="1" ht="16.5" customHeight="1" x14ac:dyDescent="0.2">
      <c r="A5" s="29">
        <v>2</v>
      </c>
      <c r="B5" s="30"/>
      <c r="C5" s="34" t="s">
        <v>38</v>
      </c>
      <c r="D5" s="33">
        <f>+D6+D7+D14+D15+D16+D17</f>
        <v>1182984.2</v>
      </c>
      <c r="E5" s="33"/>
      <c r="F5" s="33">
        <f t="shared" ref="F5:AF5" si="0">+F6+F7+F14+F15+F16+F17</f>
        <v>1226587.9100000001</v>
      </c>
      <c r="G5" s="33"/>
      <c r="H5" s="33">
        <f t="shared" si="0"/>
        <v>2450377.52</v>
      </c>
      <c r="I5" s="33"/>
      <c r="J5" s="33">
        <f t="shared" si="0"/>
        <v>1490806.9200000004</v>
      </c>
      <c r="K5" s="33"/>
      <c r="L5" s="33">
        <f t="shared" si="0"/>
        <v>1174898.2000000002</v>
      </c>
      <c r="M5" s="33"/>
      <c r="N5" s="33">
        <f t="shared" si="0"/>
        <v>2628495.4899999998</v>
      </c>
      <c r="O5" s="33"/>
      <c r="P5" s="33">
        <f t="shared" si="0"/>
        <v>1841393.8</v>
      </c>
      <c r="Q5" s="33"/>
      <c r="R5" s="33">
        <f t="shared" si="0"/>
        <v>2110928.0300000003</v>
      </c>
      <c r="S5" s="33"/>
      <c r="T5" s="33">
        <f t="shared" si="0"/>
        <v>1369087.78</v>
      </c>
      <c r="U5" s="33"/>
      <c r="V5" s="33">
        <f t="shared" si="0"/>
        <v>1330699.02</v>
      </c>
      <c r="W5" s="33"/>
      <c r="X5" s="33">
        <f t="shared" si="0"/>
        <v>1570359.63</v>
      </c>
      <c r="Y5" s="33"/>
      <c r="Z5" s="33">
        <f t="shared" si="0"/>
        <v>996810.92999999993</v>
      </c>
      <c r="AA5" s="33"/>
      <c r="AB5" s="33">
        <f t="shared" si="0"/>
        <v>2097589.7400000002</v>
      </c>
      <c r="AC5" s="33"/>
      <c r="AD5" s="33">
        <f t="shared" si="0"/>
        <v>1146931.75</v>
      </c>
      <c r="AE5" s="33"/>
      <c r="AF5" s="33">
        <f t="shared" si="0"/>
        <v>932423.90000000014</v>
      </c>
      <c r="AG5" s="33"/>
      <c r="AH5" s="33">
        <f t="shared" ref="AH5:AH32" si="1">+D5+F5+H5+J5+L5+N5+P5+R5+T5+V5+X5+Z5+AB5+AD5+AF5</f>
        <v>23550374.82</v>
      </c>
      <c r="AI5" s="131">
        <f>+AH5*100/AH18</f>
        <v>88.02418989733431</v>
      </c>
      <c r="AJ5" s="131">
        <f t="shared" ref="AJ5:AJ32" si="2">+E5+G5+I5+K5+M5+O5+Q5+S5+U5+W5+Y5+AA5+AC5+AE5+AG5</f>
        <v>0</v>
      </c>
      <c r="AK5" s="131"/>
    </row>
    <row r="6" spans="1:37" s="7" customFormat="1" ht="16.5" customHeight="1" x14ac:dyDescent="0.2">
      <c r="A6" s="3"/>
      <c r="B6" s="4">
        <v>2.1</v>
      </c>
      <c r="C6" s="8" t="s">
        <v>23</v>
      </c>
      <c r="D6" s="6">
        <v>183.33</v>
      </c>
      <c r="E6" s="6"/>
      <c r="F6" s="6"/>
      <c r="G6" s="6"/>
      <c r="H6" s="6"/>
      <c r="I6" s="6"/>
      <c r="J6" s="6">
        <v>393.33</v>
      </c>
      <c r="K6" s="6"/>
      <c r="L6" s="6">
        <v>55</v>
      </c>
      <c r="M6" s="6"/>
      <c r="N6" s="6">
        <v>3405</v>
      </c>
      <c r="O6" s="6"/>
      <c r="P6" s="6">
        <v>318.33</v>
      </c>
      <c r="Q6" s="6"/>
      <c r="R6" s="6">
        <v>13268.95</v>
      </c>
      <c r="S6" s="6"/>
      <c r="T6" s="6">
        <v>3542.99</v>
      </c>
      <c r="U6" s="6"/>
      <c r="V6" s="6">
        <v>1796.67</v>
      </c>
      <c r="W6" s="6"/>
      <c r="X6" s="6"/>
      <c r="Y6" s="6"/>
      <c r="Z6" s="6">
        <v>533.33000000000004</v>
      </c>
      <c r="AA6" s="6"/>
      <c r="AB6" s="6">
        <v>3238.33</v>
      </c>
      <c r="AC6" s="6"/>
      <c r="AD6" s="6">
        <v>50</v>
      </c>
      <c r="AE6" s="109"/>
      <c r="AF6" s="108">
        <v>1259</v>
      </c>
      <c r="AG6" s="108"/>
      <c r="AH6" s="6">
        <f t="shared" si="1"/>
        <v>28044.260000000002</v>
      </c>
      <c r="AI6" s="129">
        <f>+AH6*100/AH18</f>
        <v>0.10482097574403773</v>
      </c>
      <c r="AJ6" s="129">
        <f t="shared" si="2"/>
        <v>0</v>
      </c>
      <c r="AK6" s="129"/>
    </row>
    <row r="7" spans="1:37" s="7" customFormat="1" ht="16.5" customHeight="1" x14ac:dyDescent="0.2">
      <c r="A7" s="29"/>
      <c r="B7" s="30">
        <v>2.2000000000000002</v>
      </c>
      <c r="C7" s="34" t="s">
        <v>24</v>
      </c>
      <c r="D7" s="33">
        <f>SUM(D8:D13)</f>
        <v>896330.02</v>
      </c>
      <c r="E7" s="33"/>
      <c r="F7" s="33">
        <f t="shared" ref="F7:AF7" si="3">SUM(F8:F13)</f>
        <v>902827.11</v>
      </c>
      <c r="G7" s="33"/>
      <c r="H7" s="33">
        <f t="shared" si="3"/>
        <v>2011099.08</v>
      </c>
      <c r="I7" s="33"/>
      <c r="J7" s="33">
        <f t="shared" si="3"/>
        <v>1340340.6600000001</v>
      </c>
      <c r="K7" s="33"/>
      <c r="L7" s="33">
        <f t="shared" si="3"/>
        <v>1091031.4000000001</v>
      </c>
      <c r="M7" s="33"/>
      <c r="N7" s="33">
        <f t="shared" si="3"/>
        <v>1375798.44</v>
      </c>
      <c r="O7" s="33"/>
      <c r="P7" s="33">
        <f t="shared" si="3"/>
        <v>1404274.56</v>
      </c>
      <c r="Q7" s="33"/>
      <c r="R7" s="33">
        <f t="shared" si="3"/>
        <v>1741125.79</v>
      </c>
      <c r="S7" s="33"/>
      <c r="T7" s="33">
        <f t="shared" si="3"/>
        <v>1046726.29</v>
      </c>
      <c r="U7" s="33"/>
      <c r="V7" s="33">
        <f t="shared" si="3"/>
        <v>1011304.75</v>
      </c>
      <c r="W7" s="33"/>
      <c r="X7" s="33">
        <f t="shared" si="3"/>
        <v>1149926.83</v>
      </c>
      <c r="Y7" s="33"/>
      <c r="Z7" s="33">
        <f t="shared" si="3"/>
        <v>881229.28</v>
      </c>
      <c r="AA7" s="33"/>
      <c r="AB7" s="33">
        <f t="shared" si="3"/>
        <v>1838670.05</v>
      </c>
      <c r="AC7" s="33"/>
      <c r="AD7" s="33">
        <f t="shared" si="3"/>
        <v>850388.67999999993</v>
      </c>
      <c r="AE7" s="33"/>
      <c r="AF7" s="33">
        <f t="shared" si="3"/>
        <v>814980.04</v>
      </c>
      <c r="AG7" s="33"/>
      <c r="AH7" s="33">
        <f t="shared" si="1"/>
        <v>18356052.98</v>
      </c>
      <c r="AI7" s="33"/>
      <c r="AJ7" s="131">
        <f t="shared" si="2"/>
        <v>0</v>
      </c>
      <c r="AK7" s="131"/>
    </row>
    <row r="8" spans="1:37" s="7" customFormat="1" ht="16.5" customHeight="1" x14ac:dyDescent="0.2">
      <c r="A8" s="3"/>
      <c r="B8" s="4"/>
      <c r="C8" s="5" t="s">
        <v>17</v>
      </c>
      <c r="D8" s="6">
        <v>111644.02</v>
      </c>
      <c r="E8" s="6"/>
      <c r="F8" s="6">
        <v>343446.86</v>
      </c>
      <c r="G8" s="6"/>
      <c r="H8" s="6">
        <v>319493.63</v>
      </c>
      <c r="I8" s="6"/>
      <c r="J8" s="6">
        <v>200268.51</v>
      </c>
      <c r="K8" s="6"/>
      <c r="L8" s="6">
        <v>188008.78</v>
      </c>
      <c r="M8" s="6"/>
      <c r="N8" s="6">
        <v>221508.29</v>
      </c>
      <c r="O8" s="6"/>
      <c r="P8" s="6">
        <v>218211.56</v>
      </c>
      <c r="Q8" s="6"/>
      <c r="R8" s="6">
        <v>175401.13</v>
      </c>
      <c r="S8" s="6"/>
      <c r="T8" s="6">
        <v>138335.96</v>
      </c>
      <c r="U8" s="6"/>
      <c r="V8" s="6">
        <v>173212.75</v>
      </c>
      <c r="W8" s="6"/>
      <c r="X8" s="6">
        <v>131226.82999999999</v>
      </c>
      <c r="Y8" s="6"/>
      <c r="Z8" s="6">
        <v>213169.28</v>
      </c>
      <c r="AA8" s="6"/>
      <c r="AB8" s="6">
        <v>326863.39</v>
      </c>
      <c r="AC8" s="6"/>
      <c r="AD8" s="6">
        <v>110271.09</v>
      </c>
      <c r="AE8" s="109"/>
      <c r="AF8" s="109">
        <v>185098.11</v>
      </c>
      <c r="AG8" s="109"/>
      <c r="AH8" s="6">
        <f t="shared" si="1"/>
        <v>3056160.19</v>
      </c>
      <c r="AI8" s="129">
        <f>+AH8*100/AH18</f>
        <v>11.42300396394427</v>
      </c>
      <c r="AJ8" s="129">
        <f t="shared" si="2"/>
        <v>0</v>
      </c>
      <c r="AK8" s="129"/>
    </row>
    <row r="9" spans="1:37" s="7" customFormat="1" ht="16.5" customHeight="1" x14ac:dyDescent="0.2">
      <c r="A9" s="3"/>
      <c r="B9" s="4"/>
      <c r="C9" s="5" t="s">
        <v>65</v>
      </c>
      <c r="D9" s="6">
        <v>216000</v>
      </c>
      <c r="E9" s="6"/>
      <c r="F9" s="6">
        <v>216000</v>
      </c>
      <c r="G9" s="6"/>
      <c r="H9" s="6">
        <v>240000</v>
      </c>
      <c r="I9" s="6"/>
      <c r="J9" s="6">
        <v>311696.33</v>
      </c>
      <c r="K9" s="6"/>
      <c r="L9" s="6">
        <v>216000</v>
      </c>
      <c r="M9" s="6"/>
      <c r="N9" s="6">
        <v>240000</v>
      </c>
      <c r="O9" s="6"/>
      <c r="P9" s="6">
        <v>240000</v>
      </c>
      <c r="Q9" s="6"/>
      <c r="R9" s="6">
        <v>240000</v>
      </c>
      <c r="S9" s="6"/>
      <c r="T9" s="6">
        <v>216000</v>
      </c>
      <c r="U9" s="6"/>
      <c r="V9" s="6">
        <v>240000</v>
      </c>
      <c r="W9" s="6"/>
      <c r="X9" s="6">
        <v>216000</v>
      </c>
      <c r="Y9" s="6"/>
      <c r="Z9" s="6">
        <v>240000</v>
      </c>
      <c r="AA9" s="6"/>
      <c r="AB9" s="6">
        <v>240000</v>
      </c>
      <c r="AC9" s="6"/>
      <c r="AD9" s="6">
        <v>216000</v>
      </c>
      <c r="AE9" s="109"/>
      <c r="AF9" s="108">
        <v>216000</v>
      </c>
      <c r="AG9" s="108"/>
      <c r="AH9" s="6">
        <f t="shared" si="1"/>
        <v>3503696.33</v>
      </c>
      <c r="AI9" s="129">
        <f>+AH9*100/AH18</f>
        <v>13.095758918987485</v>
      </c>
      <c r="AJ9" s="129">
        <f t="shared" si="2"/>
        <v>0</v>
      </c>
      <c r="AK9" s="129"/>
    </row>
    <row r="10" spans="1:37" s="7" customFormat="1" ht="16.5" customHeight="1" x14ac:dyDescent="0.2">
      <c r="A10" s="3"/>
      <c r="B10" s="4"/>
      <c r="C10" s="5" t="s">
        <v>14</v>
      </c>
      <c r="D10" s="6">
        <v>13960</v>
      </c>
      <c r="E10" s="6"/>
      <c r="F10" s="6">
        <v>36975.58</v>
      </c>
      <c r="G10" s="6"/>
      <c r="H10" s="6">
        <v>285512.11</v>
      </c>
      <c r="I10" s="6"/>
      <c r="J10" s="6">
        <v>300077.82</v>
      </c>
      <c r="K10" s="6"/>
      <c r="L10" s="6">
        <v>65657.289999999994</v>
      </c>
      <c r="M10" s="6"/>
      <c r="N10" s="8">
        <v>228184.75</v>
      </c>
      <c r="O10" s="8"/>
      <c r="P10" s="6">
        <v>252563</v>
      </c>
      <c r="Q10" s="156"/>
      <c r="R10" s="8">
        <v>674604.66</v>
      </c>
      <c r="T10" s="6">
        <v>130882.33</v>
      </c>
      <c r="U10" s="6"/>
      <c r="V10" s="6"/>
      <c r="W10" s="6"/>
      <c r="X10" s="6">
        <v>320300</v>
      </c>
      <c r="Y10" s="6"/>
      <c r="Z10" s="6">
        <v>156700</v>
      </c>
      <c r="AA10" s="6"/>
      <c r="AB10" s="6">
        <v>98393.33</v>
      </c>
      <c r="AC10" s="6"/>
      <c r="AD10" s="6">
        <v>73437.59</v>
      </c>
      <c r="AE10" s="156"/>
      <c r="AF10" s="28">
        <v>80053.929999999993</v>
      </c>
      <c r="AG10" s="110"/>
      <c r="AH10" s="6">
        <f t="shared" si="1"/>
        <v>2717302.39</v>
      </c>
      <c r="AI10" s="129">
        <f>+AH10*100/AH18</f>
        <v>10.156455827731085</v>
      </c>
      <c r="AJ10" s="129">
        <f t="shared" si="2"/>
        <v>0</v>
      </c>
      <c r="AK10" s="129"/>
    </row>
    <row r="11" spans="1:37" s="7" customFormat="1" ht="16.5" customHeight="1" x14ac:dyDescent="0.2">
      <c r="A11" s="3"/>
      <c r="B11" s="4"/>
      <c r="C11" s="9" t="s">
        <v>64</v>
      </c>
      <c r="D11" s="6">
        <f>122400+93600+2000</f>
        <v>218000</v>
      </c>
      <c r="E11" s="6"/>
      <c r="F11" s="6">
        <f>122400+5966.67</f>
        <v>128366.67</v>
      </c>
      <c r="G11" s="6"/>
      <c r="H11" s="6">
        <f>218040+3566.67</f>
        <v>221606.67</v>
      </c>
      <c r="I11" s="6"/>
      <c r="J11" s="6">
        <f>120880+108000</f>
        <v>228880</v>
      </c>
      <c r="K11" s="6"/>
      <c r="L11" s="6">
        <f>122400+102000</f>
        <v>224400</v>
      </c>
      <c r="M11" s="6"/>
      <c r="N11" s="6">
        <f>151200+174000</f>
        <v>325200</v>
      </c>
      <c r="O11" s="6"/>
      <c r="P11" s="6">
        <f>151200+35000</f>
        <v>186200</v>
      </c>
      <c r="Q11" s="6"/>
      <c r="R11" s="6">
        <f>151200+192000</f>
        <v>343200</v>
      </c>
      <c r="S11" s="6"/>
      <c r="T11" s="6">
        <f>122400+97000</f>
        <v>219400</v>
      </c>
      <c r="U11" s="6"/>
      <c r="V11" s="6">
        <f>151200+116400</f>
        <v>267600</v>
      </c>
      <c r="W11" s="6"/>
      <c r="X11" s="6">
        <f>122400+60000</f>
        <v>182400</v>
      </c>
      <c r="Y11" s="6"/>
      <c r="Z11" s="6">
        <f>151200+5800</f>
        <v>157000</v>
      </c>
      <c r="AA11" s="6"/>
      <c r="AB11" s="6">
        <f>151200+192600</f>
        <v>343800</v>
      </c>
      <c r="AC11" s="6"/>
      <c r="AD11" s="6">
        <f>122400+122000</f>
        <v>244400</v>
      </c>
      <c r="AE11" s="109"/>
      <c r="AF11" s="108">
        <f>122400+75600</f>
        <v>198000</v>
      </c>
      <c r="AG11" s="108"/>
      <c r="AH11" s="6">
        <f t="shared" si="1"/>
        <v>3488453.34</v>
      </c>
      <c r="AI11" s="129">
        <f>+AH11*100/AH18</f>
        <v>13.038785225081616</v>
      </c>
      <c r="AJ11" s="129">
        <f t="shared" si="2"/>
        <v>0</v>
      </c>
      <c r="AK11" s="129"/>
    </row>
    <row r="12" spans="1:37" s="7" customFormat="1" ht="16.5" customHeight="1" x14ac:dyDescent="0.2">
      <c r="A12" s="3"/>
      <c r="B12" s="4"/>
      <c r="C12" s="5" t="s">
        <v>10</v>
      </c>
      <c r="D12" s="6">
        <f>129720+191520+15486</f>
        <v>336726</v>
      </c>
      <c r="E12" s="6"/>
      <c r="F12" s="6">
        <f>169560+8478</f>
        <v>178038</v>
      </c>
      <c r="G12" s="6"/>
      <c r="H12" s="6">
        <f>214440+208800+107280+126120+180846.67+107000</f>
        <v>944486.67</v>
      </c>
      <c r="I12" s="6"/>
      <c r="J12" s="6">
        <f>276088+17366+5964</f>
        <v>299418</v>
      </c>
      <c r="K12" s="6"/>
      <c r="L12" s="6">
        <f>291840+14592</f>
        <v>306432</v>
      </c>
      <c r="M12" s="6"/>
      <c r="N12" s="6">
        <f>344160+16745.4</f>
        <v>360905.4</v>
      </c>
      <c r="O12" s="6"/>
      <c r="P12" s="6">
        <f>158760+127920+197280+23340</f>
        <v>507300</v>
      </c>
      <c r="Q12" s="6"/>
      <c r="R12" s="6">
        <v>307920</v>
      </c>
      <c r="S12" s="6"/>
      <c r="T12" s="6">
        <f>326640+15468</f>
        <v>342108</v>
      </c>
      <c r="U12" s="6"/>
      <c r="V12" s="6">
        <f>316800+13692</f>
        <v>330492</v>
      </c>
      <c r="W12" s="6"/>
      <c r="X12" s="6">
        <v>300000</v>
      </c>
      <c r="Y12" s="6"/>
      <c r="Z12" s="6">
        <v>114360</v>
      </c>
      <c r="AA12" s="6"/>
      <c r="AB12" s="6">
        <v>803280</v>
      </c>
      <c r="AC12" s="6"/>
      <c r="AD12" s="6">
        <f>197280+9000</f>
        <v>206280</v>
      </c>
      <c r="AE12" s="109"/>
      <c r="AF12" s="108">
        <f>129360+6468</f>
        <v>135828</v>
      </c>
      <c r="AG12" s="108"/>
      <c r="AH12" s="6">
        <f t="shared" si="1"/>
        <v>5473574.0700000003</v>
      </c>
      <c r="AI12" s="129">
        <f>+AH12*100/AH18</f>
        <v>20.458567094466527</v>
      </c>
      <c r="AJ12" s="129">
        <f t="shared" si="2"/>
        <v>0</v>
      </c>
      <c r="AK12" s="129"/>
    </row>
    <row r="13" spans="1:37" s="7" customFormat="1" ht="16.5" customHeight="1" x14ac:dyDescent="0.2">
      <c r="A13" s="3"/>
      <c r="B13" s="4"/>
      <c r="C13" s="5" t="s">
        <v>70</v>
      </c>
      <c r="D13" s="6"/>
      <c r="E13" s="6"/>
      <c r="F13" s="6"/>
      <c r="G13" s="156"/>
      <c r="H13" s="8"/>
      <c r="J13" s="6"/>
      <c r="K13" s="6"/>
      <c r="L13" s="6">
        <v>90533.33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26333.33</v>
      </c>
      <c r="AC13" s="6"/>
      <c r="AD13" s="6"/>
      <c r="AE13" s="109"/>
      <c r="AF13" s="108"/>
      <c r="AG13" s="108"/>
      <c r="AH13" s="6">
        <f t="shared" si="1"/>
        <v>116866.66</v>
      </c>
      <c r="AI13" s="129">
        <f>+AH13*100/AH18</f>
        <v>0.43681228647668735</v>
      </c>
      <c r="AJ13" s="129">
        <f t="shared" si="2"/>
        <v>0</v>
      </c>
      <c r="AK13" s="129"/>
    </row>
    <row r="14" spans="1:37" s="7" customFormat="1" ht="16.5" customHeight="1" x14ac:dyDescent="0.2">
      <c r="A14" s="3"/>
      <c r="B14" s="10">
        <v>2.2999999999999998</v>
      </c>
      <c r="C14" s="5" t="s">
        <v>44</v>
      </c>
      <c r="D14" s="6">
        <v>700.01</v>
      </c>
      <c r="E14" s="6"/>
      <c r="F14" s="6">
        <v>1346.54</v>
      </c>
      <c r="G14" s="6"/>
      <c r="H14" s="6">
        <v>1752.9</v>
      </c>
      <c r="I14" s="6"/>
      <c r="J14" s="6">
        <v>1065.03</v>
      </c>
      <c r="K14" s="6"/>
      <c r="L14" s="6">
        <v>1225.79</v>
      </c>
      <c r="M14" s="6"/>
      <c r="N14" s="6">
        <v>623.45000000000005</v>
      </c>
      <c r="O14" s="6"/>
      <c r="P14" s="6">
        <v>1679.52</v>
      </c>
      <c r="Q14" s="6"/>
      <c r="R14" s="6">
        <v>825.79</v>
      </c>
      <c r="S14" s="6"/>
      <c r="T14" s="6">
        <v>653.52</v>
      </c>
      <c r="U14" s="6"/>
      <c r="V14" s="6">
        <v>467.14</v>
      </c>
      <c r="W14" s="6"/>
      <c r="X14" s="6">
        <v>3789.38</v>
      </c>
      <c r="Y14" s="6"/>
      <c r="Z14" s="6">
        <v>1422.27</v>
      </c>
      <c r="AA14" s="6"/>
      <c r="AB14" s="6">
        <v>1545.48</v>
      </c>
      <c r="AC14" s="6"/>
      <c r="AD14" s="6">
        <v>1380.87</v>
      </c>
      <c r="AE14" s="109"/>
      <c r="AF14" s="108">
        <v>1523.56</v>
      </c>
      <c r="AG14" s="108"/>
      <c r="AH14" s="6">
        <f t="shared" si="1"/>
        <v>20001.25</v>
      </c>
      <c r="AI14" s="129">
        <f>+AH14*100/AH18</f>
        <v>7.475863300013745E-2</v>
      </c>
      <c r="AJ14" s="129">
        <f t="shared" si="2"/>
        <v>0</v>
      </c>
      <c r="AK14" s="129"/>
    </row>
    <row r="15" spans="1:37" s="15" customFormat="1" ht="30" x14ac:dyDescent="0.2">
      <c r="A15" s="11"/>
      <c r="B15" s="12">
        <v>2.4</v>
      </c>
      <c r="C15" s="13" t="s">
        <v>66</v>
      </c>
      <c r="D15" s="14">
        <f>57007.45+19850.22+48313.17</f>
        <v>125170.84</v>
      </c>
      <c r="E15" s="14"/>
      <c r="F15" s="14">
        <f>81016.91+41397.35</f>
        <v>122414.26000000001</v>
      </c>
      <c r="G15" s="14"/>
      <c r="H15" s="14"/>
      <c r="I15" s="14"/>
      <c r="J15" s="14">
        <f>48240+21403.56</f>
        <v>69643.56</v>
      </c>
      <c r="K15" s="14"/>
      <c r="L15" s="14">
        <f>71604.21+10981.8</f>
        <v>82586.010000000009</v>
      </c>
      <c r="M15" s="14"/>
      <c r="N15" s="14">
        <f>290000+14684.6+53984</f>
        <v>358668.6</v>
      </c>
      <c r="O15" s="14"/>
      <c r="P15" s="14">
        <f>49323.56+53117.83</f>
        <v>102441.39</v>
      </c>
      <c r="Q15" s="14"/>
      <c r="R15" s="14">
        <v>133482.5</v>
      </c>
      <c r="S15" s="14"/>
      <c r="T15" s="14">
        <f>23333.33+152471.65</f>
        <v>175804.97999999998</v>
      </c>
      <c r="U15" s="14"/>
      <c r="V15" s="14">
        <f>90929.36+39201.1</f>
        <v>130130.45999999999</v>
      </c>
      <c r="W15" s="14"/>
      <c r="X15" s="14">
        <f>28367.9+83445.52</f>
        <v>111813.42000000001</v>
      </c>
      <c r="Y15" s="14"/>
      <c r="Z15" s="14">
        <f>104131.18+9494.87</f>
        <v>113626.04999999999</v>
      </c>
      <c r="AA15" s="14"/>
      <c r="AB15" s="14">
        <f>108500+136405.02+9230.86</f>
        <v>254135.88</v>
      </c>
      <c r="AC15" s="14"/>
      <c r="AD15" s="14">
        <f>74883.63+15071.77+25065.13</f>
        <v>115020.53000000001</v>
      </c>
      <c r="AE15" s="168"/>
      <c r="AF15" s="111">
        <f>15167.23+99494.07</f>
        <v>114661.3</v>
      </c>
      <c r="AG15" s="111"/>
      <c r="AH15" s="14">
        <f t="shared" si="1"/>
        <v>2009599.7800000003</v>
      </c>
      <c r="AI15" s="130">
        <f>+AH15*100/AH18</f>
        <v>7.5112771666859306</v>
      </c>
      <c r="AJ15" s="130">
        <f t="shared" si="2"/>
        <v>0</v>
      </c>
      <c r="AK15" s="130"/>
    </row>
    <row r="16" spans="1:37" s="7" customFormat="1" ht="16.5" customHeight="1" x14ac:dyDescent="0.2">
      <c r="A16" s="16"/>
      <c r="B16" s="17">
        <v>2.5</v>
      </c>
      <c r="C16" s="18" t="s">
        <v>92</v>
      </c>
      <c r="D16" s="6">
        <v>160600</v>
      </c>
      <c r="E16" s="6"/>
      <c r="F16" s="6">
        <v>200000</v>
      </c>
      <c r="G16" s="6"/>
      <c r="H16" s="6">
        <v>135600</v>
      </c>
      <c r="I16" s="6"/>
      <c r="J16" s="6"/>
      <c r="K16" s="6"/>
      <c r="L16" s="6"/>
      <c r="M16" s="6"/>
      <c r="N16" s="6">
        <v>890000</v>
      </c>
      <c r="O16" s="6"/>
      <c r="P16" s="6">
        <v>320250</v>
      </c>
      <c r="Q16" s="6"/>
      <c r="R16" s="6">
        <v>222225</v>
      </c>
      <c r="S16" s="6"/>
      <c r="T16" s="6">
        <v>142360</v>
      </c>
      <c r="U16" s="6"/>
      <c r="V16" s="6">
        <v>187000</v>
      </c>
      <c r="W16" s="6"/>
      <c r="X16" s="6">
        <v>175830</v>
      </c>
      <c r="Y16" s="6"/>
      <c r="Z16" s="6"/>
      <c r="AA16" s="6"/>
      <c r="AB16" s="6"/>
      <c r="AC16" s="6"/>
      <c r="AD16" s="6">
        <v>180000</v>
      </c>
      <c r="AE16" s="109"/>
      <c r="AF16" s="108"/>
      <c r="AG16" s="108"/>
      <c r="AH16" s="6">
        <f t="shared" si="1"/>
        <v>2613865</v>
      </c>
      <c r="AI16" s="129">
        <f>+AH16*100/AH18</f>
        <v>9.7698380974641221</v>
      </c>
      <c r="AJ16" s="129">
        <f t="shared" si="2"/>
        <v>0</v>
      </c>
      <c r="AK16" s="129"/>
    </row>
    <row r="17" spans="1:37" s="15" customFormat="1" ht="15" x14ac:dyDescent="0.2">
      <c r="A17" s="11"/>
      <c r="B17" s="12">
        <v>2.6</v>
      </c>
      <c r="C17" s="13" t="s">
        <v>43</v>
      </c>
      <c r="D17" s="14"/>
      <c r="E17" s="14"/>
      <c r="F17" s="14"/>
      <c r="G17" s="14"/>
      <c r="H17" s="14">
        <v>301925.53999999998</v>
      </c>
      <c r="I17" s="14"/>
      <c r="J17" s="14">
        <v>79364.34</v>
      </c>
      <c r="K17" s="14"/>
      <c r="L17" s="14"/>
      <c r="M17" s="14"/>
      <c r="N17" s="14"/>
      <c r="O17" s="14"/>
      <c r="P17" s="14">
        <f>12000+430</f>
        <v>12430</v>
      </c>
      <c r="Q17" s="14"/>
      <c r="R17" s="14"/>
      <c r="S17" s="14"/>
      <c r="T17" s="14"/>
      <c r="U17" s="14"/>
      <c r="V17" s="14"/>
      <c r="W17" s="14"/>
      <c r="X17" s="14">
        <v>129000</v>
      </c>
      <c r="Y17" s="14"/>
      <c r="Z17" s="14"/>
      <c r="AA17" s="14"/>
      <c r="AB17" s="14"/>
      <c r="AC17" s="14"/>
      <c r="AD17" s="14">
        <v>91.67</v>
      </c>
      <c r="AE17" s="168"/>
      <c r="AF17" s="111"/>
      <c r="AG17" s="111"/>
      <c r="AH17" s="14">
        <f t="shared" si="1"/>
        <v>522811.55</v>
      </c>
      <c r="AI17" s="130">
        <f>+AH17*100/AH18</f>
        <v>1.9541117077524159</v>
      </c>
      <c r="AJ17" s="130">
        <f t="shared" si="2"/>
        <v>0</v>
      </c>
      <c r="AK17" s="130"/>
    </row>
    <row r="18" spans="1:37" s="7" customFormat="1" ht="16.5" customHeight="1" x14ac:dyDescent="0.2">
      <c r="A18" s="19"/>
      <c r="B18" s="20"/>
      <c r="C18" s="21" t="s">
        <v>40</v>
      </c>
      <c r="D18" s="22">
        <f>+D4+D5</f>
        <v>1235747.07</v>
      </c>
      <c r="E18" s="22"/>
      <c r="F18" s="22">
        <f t="shared" ref="F18:AF18" si="4">+F4+F5</f>
        <v>1521229.07</v>
      </c>
      <c r="G18" s="22"/>
      <c r="H18" s="22">
        <f t="shared" si="4"/>
        <v>2582550.87</v>
      </c>
      <c r="I18" s="22"/>
      <c r="J18" s="22">
        <f t="shared" si="4"/>
        <v>1639437.1500000004</v>
      </c>
      <c r="K18" s="22"/>
      <c r="L18" s="22">
        <f t="shared" si="4"/>
        <v>1477998.3000000003</v>
      </c>
      <c r="M18" s="22"/>
      <c r="N18" s="22">
        <f t="shared" si="4"/>
        <v>2718399.1199999996</v>
      </c>
      <c r="O18" s="22"/>
      <c r="P18" s="22">
        <f t="shared" si="4"/>
        <v>2003890.74</v>
      </c>
      <c r="Q18" s="22"/>
      <c r="R18" s="22">
        <f t="shared" si="4"/>
        <v>2213433.64</v>
      </c>
      <c r="S18" s="22"/>
      <c r="T18" s="22">
        <f t="shared" si="4"/>
        <v>1549860.67</v>
      </c>
      <c r="U18" s="22"/>
      <c r="V18" s="22">
        <f t="shared" si="4"/>
        <v>1345717.05</v>
      </c>
      <c r="W18" s="22"/>
      <c r="X18" s="22">
        <f t="shared" si="4"/>
        <v>2175522.52</v>
      </c>
      <c r="Y18" s="22"/>
      <c r="Z18" s="22">
        <f t="shared" si="4"/>
        <v>1287866.7999999998</v>
      </c>
      <c r="AA18" s="22"/>
      <c r="AB18" s="22">
        <f t="shared" si="4"/>
        <v>2465617.3800000004</v>
      </c>
      <c r="AC18" s="22"/>
      <c r="AD18" s="22">
        <f t="shared" si="4"/>
        <v>1182280.58</v>
      </c>
      <c r="AE18" s="22"/>
      <c r="AF18" s="22">
        <f t="shared" si="4"/>
        <v>1354884.2100000002</v>
      </c>
      <c r="AG18" s="22"/>
      <c r="AH18" s="22">
        <f t="shared" si="1"/>
        <v>26754435.170000002</v>
      </c>
      <c r="AI18" s="187">
        <v>100</v>
      </c>
      <c r="AJ18" s="22">
        <f t="shared" si="2"/>
        <v>0</v>
      </c>
      <c r="AK18" s="22"/>
    </row>
    <row r="19" spans="1:37" s="7" customFormat="1" ht="16.5" customHeight="1" x14ac:dyDescent="0.2">
      <c r="A19" s="35">
        <v>3</v>
      </c>
      <c r="B19" s="36"/>
      <c r="C19" s="37" t="s">
        <v>1</v>
      </c>
      <c r="D19" s="33">
        <f>SUM(D20:D29)</f>
        <v>1184304.1200000001</v>
      </c>
      <c r="E19" s="33"/>
      <c r="F19" s="33">
        <f t="shared" ref="F19:AF19" si="5">SUM(F20:F29)</f>
        <v>1491693.8599999999</v>
      </c>
      <c r="G19" s="33"/>
      <c r="H19" s="33">
        <f t="shared" si="5"/>
        <v>2462739.36</v>
      </c>
      <c r="I19" s="33"/>
      <c r="J19" s="33">
        <f t="shared" si="5"/>
        <v>1480575.71</v>
      </c>
      <c r="K19" s="33"/>
      <c r="L19" s="33">
        <f t="shared" si="5"/>
        <v>1292953.98</v>
      </c>
      <c r="M19" s="33"/>
      <c r="N19" s="33">
        <f t="shared" si="5"/>
        <v>2650399.4900000002</v>
      </c>
      <c r="O19" s="33"/>
      <c r="P19" s="33">
        <f t="shared" si="5"/>
        <v>1884686.7</v>
      </c>
      <c r="Q19" s="33"/>
      <c r="R19" s="33">
        <f t="shared" si="5"/>
        <v>1991810.73</v>
      </c>
      <c r="S19" s="33"/>
      <c r="T19" s="33">
        <f t="shared" si="5"/>
        <v>1486693.96</v>
      </c>
      <c r="U19" s="33"/>
      <c r="V19" s="33">
        <f t="shared" si="5"/>
        <v>1277387.99</v>
      </c>
      <c r="W19" s="33"/>
      <c r="X19" s="33">
        <f t="shared" si="5"/>
        <v>1894262.03</v>
      </c>
      <c r="Y19" s="33"/>
      <c r="Z19" s="33">
        <f t="shared" si="5"/>
        <v>1030324.4199999999</v>
      </c>
      <c r="AA19" s="33"/>
      <c r="AB19" s="33">
        <f t="shared" si="5"/>
        <v>2201658.59</v>
      </c>
      <c r="AC19" s="33"/>
      <c r="AD19" s="33">
        <f>SUM(AD20:AD29)</f>
        <v>1135791.29</v>
      </c>
      <c r="AE19" s="33"/>
      <c r="AF19" s="33">
        <f t="shared" si="5"/>
        <v>1172328.51</v>
      </c>
      <c r="AG19" s="33"/>
      <c r="AH19" s="33">
        <f t="shared" si="1"/>
        <v>24637610.740000002</v>
      </c>
      <c r="AI19" s="33"/>
      <c r="AJ19" s="33">
        <f t="shared" si="2"/>
        <v>0</v>
      </c>
      <c r="AK19" s="33"/>
    </row>
    <row r="20" spans="1:37" s="7" customFormat="1" ht="16.5" customHeight="1" x14ac:dyDescent="0.2">
      <c r="A20" s="16"/>
      <c r="B20" s="17">
        <v>3.1</v>
      </c>
      <c r="C20" s="18" t="s">
        <v>17</v>
      </c>
      <c r="D20" s="6">
        <v>115239.12</v>
      </c>
      <c r="E20" s="6"/>
      <c r="F20" s="6">
        <v>347405.86</v>
      </c>
      <c r="G20" s="6"/>
      <c r="H20" s="6">
        <v>319493.63</v>
      </c>
      <c r="I20" s="6"/>
      <c r="J20" s="6">
        <f>153855.21+1550+24161+15852.9+4500+349.4+3595.2</f>
        <v>203863.71</v>
      </c>
      <c r="K20" s="6"/>
      <c r="L20" s="6">
        <f>139985.56+1450+24161+17732.22+3150+1530+3595.2</f>
        <v>191603.98</v>
      </c>
      <c r="M20" s="6"/>
      <c r="N20" s="6">
        <f>123285.51+4326+24161+43684.84+3825+2238.56+19987.38+3595.2</f>
        <v>225103.49000000002</v>
      </c>
      <c r="O20" s="6"/>
      <c r="P20" s="6">
        <f>132094.81+7075+24161+31056+5400+6919.01+11505+3595</f>
        <v>221805.82</v>
      </c>
      <c r="Q20" s="6"/>
      <c r="R20" s="6">
        <f>78400.9+3304+24833+25114.12+2518+3031.11+38200+3595.2</f>
        <v>178996.33</v>
      </c>
      <c r="S20" s="6"/>
      <c r="T20" s="6">
        <v>138335.96</v>
      </c>
      <c r="U20" s="6"/>
      <c r="V20" s="6">
        <v>176806.95</v>
      </c>
      <c r="W20" s="6"/>
      <c r="X20" s="6">
        <v>134822.03</v>
      </c>
      <c r="Y20" s="6"/>
      <c r="Z20" s="6">
        <v>115239.22</v>
      </c>
      <c r="AA20" s="6"/>
      <c r="AB20" s="6">
        <v>330458.59000000003</v>
      </c>
      <c r="AC20" s="6"/>
      <c r="AD20" s="6">
        <v>113866.29000000001</v>
      </c>
      <c r="AE20" s="6"/>
      <c r="AF20" s="6">
        <f>131360.86+3515+24161+20644.18+3600+1817.07+3595.2</f>
        <v>188693.31</v>
      </c>
      <c r="AG20" s="6"/>
      <c r="AH20" s="6">
        <f t="shared" si="1"/>
        <v>3001734.29</v>
      </c>
      <c r="AI20" s="129">
        <f>+AH20*100/AH30</f>
        <v>12.18354458830126</v>
      </c>
      <c r="AJ20" s="129">
        <f t="shared" si="2"/>
        <v>0</v>
      </c>
      <c r="AK20" s="129"/>
    </row>
    <row r="21" spans="1:37" s="7" customFormat="1" ht="16.5" customHeight="1" x14ac:dyDescent="0.2">
      <c r="A21" s="16"/>
      <c r="B21" s="17">
        <v>3.2</v>
      </c>
      <c r="C21" s="9" t="s">
        <v>14</v>
      </c>
      <c r="D21" s="6">
        <v>160600</v>
      </c>
      <c r="E21" s="6"/>
      <c r="F21" s="6">
        <v>232000</v>
      </c>
      <c r="G21" s="6"/>
      <c r="H21" s="6">
        <v>143100</v>
      </c>
      <c r="I21" s="6"/>
      <c r="J21" s="6">
        <v>19000</v>
      </c>
      <c r="K21" s="6"/>
      <c r="L21" s="6">
        <v>57000</v>
      </c>
      <c r="M21" s="6"/>
      <c r="N21" s="6">
        <v>896000</v>
      </c>
      <c r="O21" s="6"/>
      <c r="P21" s="6">
        <v>320250</v>
      </c>
      <c r="Q21" s="6"/>
      <c r="R21" s="6">
        <v>242225</v>
      </c>
      <c r="S21" s="6"/>
      <c r="T21" s="6">
        <v>178890</v>
      </c>
      <c r="U21" s="6"/>
      <c r="V21" s="6">
        <v>187000</v>
      </c>
      <c r="W21" s="6"/>
      <c r="X21" s="6">
        <v>236830</v>
      </c>
      <c r="Y21" s="6"/>
      <c r="Z21" s="6">
        <v>29000</v>
      </c>
      <c r="AA21" s="6"/>
      <c r="AB21" s="6">
        <v>30000</v>
      </c>
      <c r="AC21" s="6"/>
      <c r="AD21" s="6">
        <v>183000</v>
      </c>
      <c r="AE21" s="6"/>
      <c r="AF21" s="6">
        <v>28000</v>
      </c>
      <c r="AG21" s="6"/>
      <c r="AH21" s="6">
        <f t="shared" si="1"/>
        <v>2942895</v>
      </c>
      <c r="AI21" s="129">
        <f>+AH21*100/AH30</f>
        <v>11.944725611002976</v>
      </c>
      <c r="AJ21" s="129">
        <f t="shared" si="2"/>
        <v>0</v>
      </c>
      <c r="AK21" s="129"/>
    </row>
    <row r="22" spans="1:37" s="7" customFormat="1" ht="16.5" customHeight="1" x14ac:dyDescent="0.2">
      <c r="A22" s="16"/>
      <c r="B22" s="17">
        <v>3.3</v>
      </c>
      <c r="C22" s="5" t="s">
        <v>10</v>
      </c>
      <c r="D22" s="6">
        <f>191520+129720+15300</f>
        <v>336540</v>
      </c>
      <c r="E22" s="6"/>
      <c r="F22" s="6">
        <f>169560+8478</f>
        <v>178038</v>
      </c>
      <c r="G22" s="6"/>
      <c r="H22" s="6">
        <f>208800+325320+340560</f>
        <v>874680</v>
      </c>
      <c r="I22" s="6"/>
      <c r="J22" s="6">
        <f>155760+212880+107280</f>
        <v>475920</v>
      </c>
      <c r="K22" s="6"/>
      <c r="L22" s="6">
        <f>103200+6000</f>
        <v>109200</v>
      </c>
      <c r="M22" s="6"/>
      <c r="N22" s="6">
        <f>141720+202440+16086</f>
        <v>360246</v>
      </c>
      <c r="O22" s="6"/>
      <c r="P22" s="6">
        <f>158760+127920+197280+37918.67+4938.04</f>
        <v>526816.71</v>
      </c>
      <c r="Q22" s="6"/>
      <c r="R22" s="6">
        <f>60000+6000+307920+15396+6158.4</f>
        <v>395474.4</v>
      </c>
      <c r="S22" s="6"/>
      <c r="T22" s="6">
        <f>15468+197280+129360</f>
        <v>342108</v>
      </c>
      <c r="U22" s="6"/>
      <c r="V22" s="6">
        <f>222960+93840</f>
        <v>316800</v>
      </c>
      <c r="W22" s="6"/>
      <c r="X22" s="6">
        <f>159000+7950+134400+6720</f>
        <v>308070</v>
      </c>
      <c r="Y22" s="6"/>
      <c r="Z22" s="6">
        <f>114360+5718+2287.2</f>
        <v>122365.2</v>
      </c>
      <c r="AA22" s="6"/>
      <c r="AB22" s="6">
        <f>202440+214440+123240+137040+126120</f>
        <v>803280</v>
      </c>
      <c r="AC22" s="6"/>
      <c r="AD22" s="6">
        <v>197280</v>
      </c>
      <c r="AE22" s="6"/>
      <c r="AF22" s="6">
        <f>129360+6468+2587.2</f>
        <v>138415.20000000001</v>
      </c>
      <c r="AG22" s="6"/>
      <c r="AH22" s="6">
        <f t="shared" si="1"/>
        <v>5485233.5099999998</v>
      </c>
      <c r="AI22" s="129">
        <f>+AH22*100/AH30</f>
        <v>22.263658468694516</v>
      </c>
      <c r="AJ22" s="129">
        <f t="shared" si="2"/>
        <v>0</v>
      </c>
      <c r="AK22" s="129"/>
    </row>
    <row r="23" spans="1:37" s="7" customFormat="1" ht="16.5" customHeight="1" x14ac:dyDescent="0.2">
      <c r="A23" s="16"/>
      <c r="B23" s="17">
        <v>3.4</v>
      </c>
      <c r="C23" s="9" t="s">
        <v>64</v>
      </c>
      <c r="D23" s="6">
        <f>122400+93600</f>
        <v>216000</v>
      </c>
      <c r="E23" s="6"/>
      <c r="F23" s="6">
        <f>136800+58000+5000</f>
        <v>199800</v>
      </c>
      <c r="G23" s="6"/>
      <c r="H23" s="6">
        <f>151200+3000+100000</f>
        <v>254200</v>
      </c>
      <c r="I23" s="6"/>
      <c r="J23" s="6">
        <f>120000+72000</f>
        <v>192000</v>
      </c>
      <c r="K23" s="6"/>
      <c r="L23" s="6">
        <f>122400+102000</f>
        <v>224400</v>
      </c>
      <c r="M23" s="6"/>
      <c r="N23" s="6">
        <f>151200+6000+100000</f>
        <v>257200</v>
      </c>
      <c r="O23" s="6"/>
      <c r="P23" s="6">
        <f>117352+87600+5044.44</f>
        <v>209996.44</v>
      </c>
      <c r="Q23" s="6"/>
      <c r="R23" s="6">
        <f>192000+151200</f>
        <v>343200</v>
      </c>
      <c r="S23" s="6"/>
      <c r="T23" s="6">
        <f>144000+97000+6300</f>
        <v>247300</v>
      </c>
      <c r="U23" s="6"/>
      <c r="V23" s="6">
        <f>145200+60000</f>
        <v>205200</v>
      </c>
      <c r="W23" s="6"/>
      <c r="X23" s="6">
        <f>142000+126000+10000</f>
        <v>278000</v>
      </c>
      <c r="Y23" s="6"/>
      <c r="Z23" s="6">
        <f>124000+64800</f>
        <v>188800</v>
      </c>
      <c r="AA23" s="6"/>
      <c r="AB23" s="6">
        <f>150000+100000</f>
        <v>250000</v>
      </c>
      <c r="AC23" s="6"/>
      <c r="AD23" s="6">
        <f>140000+78500+4000</f>
        <v>222500</v>
      </c>
      <c r="AE23" s="6"/>
      <c r="AF23" s="6">
        <f>132000+36000+1500</f>
        <v>169500</v>
      </c>
      <c r="AG23" s="6"/>
      <c r="AH23" s="6">
        <f t="shared" si="1"/>
        <v>3458096.44</v>
      </c>
      <c r="AI23" s="129">
        <f>+AH23*100/AH30</f>
        <v>14.03584331489442</v>
      </c>
      <c r="AJ23" s="129">
        <f t="shared" si="2"/>
        <v>0</v>
      </c>
      <c r="AK23" s="129"/>
    </row>
    <row r="24" spans="1:37" s="7" customFormat="1" ht="16.5" customHeight="1" x14ac:dyDescent="0.2">
      <c r="A24" s="16"/>
      <c r="B24" s="17">
        <v>3.5</v>
      </c>
      <c r="C24" s="9" t="s">
        <v>11</v>
      </c>
      <c r="D24" s="6">
        <v>192800</v>
      </c>
      <c r="E24" s="6"/>
      <c r="F24" s="6">
        <f>231000+30000</f>
        <v>261000</v>
      </c>
      <c r="G24" s="6"/>
      <c r="H24" s="6">
        <v>507670</v>
      </c>
      <c r="I24" s="6"/>
      <c r="J24" s="6">
        <f>10000+7000+48000+281300+22152</f>
        <v>368452</v>
      </c>
      <c r="K24" s="6"/>
      <c r="L24" s="6">
        <f>20000+54000+30000+9000+4400+6000+3600+5000+9000+3000+31000+5000+5000+5000+20000+20000+30000+30000+40000+35000+3000+3000+50000+8000+5000+8000</f>
        <v>442000</v>
      </c>
      <c r="M24" s="6"/>
      <c r="N24" s="6">
        <f>50000+54000+36000+3000+6000+5000+8000+15000+5000+7500+8000+4000+25700+12850+15000+6000+5000+20000+9000+6000+45000+25000+25000+7000+20000+30000+12000+9000+6000+9000+6000+15000+7000+3000+35000+1500+8000</f>
        <v>564550</v>
      </c>
      <c r="O24" s="6"/>
      <c r="P24" s="6">
        <v>431950</v>
      </c>
      <c r="Q24" s="6"/>
      <c r="R24" s="6">
        <v>497700</v>
      </c>
      <c r="S24" s="6"/>
      <c r="T24" s="6">
        <v>415050</v>
      </c>
      <c r="U24" s="6"/>
      <c r="V24" s="6">
        <v>236392</v>
      </c>
      <c r="W24" s="6"/>
      <c r="X24" s="6">
        <v>543730</v>
      </c>
      <c r="Y24" s="6"/>
      <c r="Z24" s="6">
        <f>20000+10000+17500+54000+30000+20000+25000+15000+15000+12300+5000+25000+2000+5000+5000+15000+4500+10000+5000+15000+1500+6000+3000+3500+6000+35000</f>
        <v>365300</v>
      </c>
      <c r="AA24" s="6"/>
      <c r="AB24" s="6">
        <v>438220</v>
      </c>
      <c r="AC24" s="6"/>
      <c r="AD24" s="6">
        <v>276600</v>
      </c>
      <c r="AE24" s="6"/>
      <c r="AF24" s="6">
        <f>14400+32500+54000+24000+2000+5000+3000+1500+2500+4000+10000+3000+2000+4500+4500+4500+20000+50000</f>
        <v>241400</v>
      </c>
      <c r="AG24" s="6"/>
      <c r="AH24" s="6">
        <f t="shared" si="1"/>
        <v>5782814</v>
      </c>
      <c r="AI24" s="129">
        <f>+AH24*100/AH30</f>
        <v>23.471488615620522</v>
      </c>
      <c r="AJ24" s="129">
        <f t="shared" si="2"/>
        <v>0</v>
      </c>
      <c r="AK24" s="129"/>
    </row>
    <row r="25" spans="1:37" s="7" customFormat="1" ht="16.5" customHeight="1" x14ac:dyDescent="0.2">
      <c r="A25" s="16"/>
      <c r="B25" s="17">
        <v>3.6</v>
      </c>
      <c r="C25" s="9" t="s">
        <v>12</v>
      </c>
      <c r="D25" s="6">
        <v>51225</v>
      </c>
      <c r="E25" s="6"/>
      <c r="F25" s="6">
        <v>97050</v>
      </c>
      <c r="G25" s="6"/>
      <c r="H25" s="6">
        <v>135035</v>
      </c>
      <c r="I25" s="6"/>
      <c r="J25" s="6">
        <f>18000+9000+1200+8000+4000+4140+3000</f>
        <v>47340</v>
      </c>
      <c r="K25" s="6"/>
      <c r="L25" s="6">
        <f>10000+28000+20000+10000+30000+13440+3810</f>
        <v>115250</v>
      </c>
      <c r="M25" s="6"/>
      <c r="N25" s="6">
        <f>23000+45760+42640+6500+15000+3000</f>
        <v>135900</v>
      </c>
      <c r="O25" s="6"/>
      <c r="P25" s="6">
        <v>106078</v>
      </c>
      <c r="Q25" s="6"/>
      <c r="R25" s="6">
        <v>106315</v>
      </c>
      <c r="S25" s="6"/>
      <c r="T25" s="6">
        <v>75655</v>
      </c>
      <c r="U25" s="6"/>
      <c r="V25" s="6">
        <v>39840</v>
      </c>
      <c r="W25" s="6"/>
      <c r="X25" s="6">
        <v>211010</v>
      </c>
      <c r="Y25" s="6"/>
      <c r="Z25" s="6">
        <f>15700+22520+17400+7500</f>
        <v>63120</v>
      </c>
      <c r="AA25" s="6"/>
      <c r="AB25" s="6">
        <v>120500</v>
      </c>
      <c r="AC25" s="6"/>
      <c r="AD25" s="6">
        <v>42445</v>
      </c>
      <c r="AE25" s="6"/>
      <c r="AF25" s="6">
        <f>16700+17000+21000+14700+6300+13000+24180</f>
        <v>112880</v>
      </c>
      <c r="AG25" s="6"/>
      <c r="AH25" s="6">
        <f t="shared" si="1"/>
        <v>1459643</v>
      </c>
      <c r="AI25" s="129">
        <f>+AH25*100/AH30</f>
        <v>5.9244502862049844</v>
      </c>
      <c r="AJ25" s="129">
        <f t="shared" si="2"/>
        <v>0</v>
      </c>
      <c r="AK25" s="129"/>
    </row>
    <row r="26" spans="1:37" s="7" customFormat="1" ht="16.5" customHeight="1" x14ac:dyDescent="0.2">
      <c r="A26" s="16"/>
      <c r="B26" s="17">
        <v>3.7</v>
      </c>
      <c r="C26" s="9" t="s">
        <v>13</v>
      </c>
      <c r="D26" s="6">
        <v>34000</v>
      </c>
      <c r="E26" s="6"/>
      <c r="F26" s="6">
        <f>24000+5000+2400</f>
        <v>31400</v>
      </c>
      <c r="G26" s="6"/>
      <c r="H26" s="6">
        <v>45560.73</v>
      </c>
      <c r="I26" s="6"/>
      <c r="J26" s="6">
        <f>13000+3000</f>
        <v>16000</v>
      </c>
      <c r="K26" s="6"/>
      <c r="L26" s="6">
        <f>30000+5000</f>
        <v>35000</v>
      </c>
      <c r="M26" s="6"/>
      <c r="N26" s="6">
        <v>40000</v>
      </c>
      <c r="O26" s="6"/>
      <c r="P26" s="6">
        <v>45839.73</v>
      </c>
      <c r="Q26" s="6"/>
      <c r="R26" s="6">
        <v>55000</v>
      </c>
      <c r="S26" s="6"/>
      <c r="T26" s="6">
        <v>12155</v>
      </c>
      <c r="U26" s="6"/>
      <c r="V26" s="6">
        <v>75349.039999999994</v>
      </c>
      <c r="W26" s="6"/>
      <c r="X26" s="6">
        <f>20000+2400+6000</f>
        <v>28400</v>
      </c>
      <c r="Y26" s="6"/>
      <c r="Z26" s="6">
        <f>45600+2400</f>
        <v>48000</v>
      </c>
      <c r="AA26" s="6"/>
      <c r="AB26" s="6">
        <v>37200</v>
      </c>
      <c r="AC26" s="6"/>
      <c r="AD26" s="6">
        <v>23200</v>
      </c>
      <c r="AE26" s="6"/>
      <c r="AF26" s="6">
        <f>24000+1440</f>
        <v>25440</v>
      </c>
      <c r="AG26" s="6"/>
      <c r="AH26" s="6">
        <f t="shared" si="1"/>
        <v>552544.5</v>
      </c>
      <c r="AI26" s="129">
        <f>+AH26*100/AH30</f>
        <v>2.2426870276951214</v>
      </c>
      <c r="AJ26" s="129">
        <f t="shared" si="2"/>
        <v>0</v>
      </c>
      <c r="AK26" s="129"/>
    </row>
    <row r="27" spans="1:37" s="7" customFormat="1" ht="16.5" customHeight="1" x14ac:dyDescent="0.2">
      <c r="A27" s="16"/>
      <c r="B27" s="17">
        <v>3.8</v>
      </c>
      <c r="C27" s="9" t="s">
        <v>15</v>
      </c>
      <c r="D27" s="6">
        <v>77900</v>
      </c>
      <c r="E27" s="6"/>
      <c r="F27" s="6">
        <f>15000+130000</f>
        <v>145000</v>
      </c>
      <c r="G27" s="6"/>
      <c r="H27" s="6">
        <v>183000</v>
      </c>
      <c r="I27" s="6"/>
      <c r="J27" s="6">
        <f>12000+5000+15000+20000+15000+10000+20000+12000+8000+7000+5000+4000+3000+8000+5000+9000</f>
        <v>158000</v>
      </c>
      <c r="K27" s="6"/>
      <c r="L27" s="6">
        <v>118500</v>
      </c>
      <c r="M27" s="6"/>
      <c r="N27" s="6">
        <f>18900+152500</f>
        <v>171400</v>
      </c>
      <c r="O27" s="6"/>
      <c r="P27" s="6">
        <v>21950</v>
      </c>
      <c r="Q27" s="6"/>
      <c r="R27" s="6">
        <f>12500+160400</f>
        <v>172900</v>
      </c>
      <c r="S27" s="6"/>
      <c r="T27" s="6">
        <v>77200</v>
      </c>
      <c r="U27" s="6"/>
      <c r="V27" s="6">
        <v>40000</v>
      </c>
      <c r="W27" s="6"/>
      <c r="X27" s="6">
        <v>153400</v>
      </c>
      <c r="Y27" s="6"/>
      <c r="Z27" s="6">
        <v>98500</v>
      </c>
      <c r="AA27" s="6"/>
      <c r="AB27" s="6">
        <v>192000</v>
      </c>
      <c r="AC27" s="6"/>
      <c r="AD27" s="6">
        <v>76900</v>
      </c>
      <c r="AE27" s="6"/>
      <c r="AF27" s="6">
        <v>268000</v>
      </c>
      <c r="AG27" s="6"/>
      <c r="AH27" s="6">
        <f t="shared" si="1"/>
        <v>1954650</v>
      </c>
      <c r="AI27" s="129">
        <f>+AH27*100/AH30</f>
        <v>7.9336020875861921</v>
      </c>
      <c r="AJ27" s="129">
        <f t="shared" si="2"/>
        <v>0</v>
      </c>
      <c r="AK27" s="129"/>
    </row>
    <row r="28" spans="1:37" s="7" customFormat="1" ht="16.5" customHeight="1" x14ac:dyDescent="0.2">
      <c r="A28" s="16"/>
      <c r="B28" s="17">
        <v>3.9</v>
      </c>
      <c r="C28" s="9" t="s">
        <v>16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1"/>
        <v>0</v>
      </c>
      <c r="AI28" s="6"/>
      <c r="AJ28" s="129">
        <f t="shared" si="2"/>
        <v>0</v>
      </c>
      <c r="AK28" s="129"/>
    </row>
    <row r="29" spans="1:37" s="7" customFormat="1" ht="16.5" customHeight="1" x14ac:dyDescent="0.2">
      <c r="A29" s="16"/>
      <c r="B29" s="23">
        <v>3.1</v>
      </c>
      <c r="C29" s="9" t="s">
        <v>18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1"/>
        <v>0</v>
      </c>
      <c r="AI29" s="6"/>
      <c r="AJ29" s="6">
        <f t="shared" si="2"/>
        <v>0</v>
      </c>
      <c r="AK29" s="6"/>
    </row>
    <row r="30" spans="1:37" s="7" customFormat="1" ht="16.5" customHeight="1" x14ac:dyDescent="0.2">
      <c r="A30" s="19"/>
      <c r="B30" s="20"/>
      <c r="C30" s="24" t="s">
        <v>19</v>
      </c>
      <c r="D30" s="22">
        <f t="shared" ref="D30:V30" si="6">+D19</f>
        <v>1184304.1200000001</v>
      </c>
      <c r="E30" s="22"/>
      <c r="F30" s="22">
        <f t="shared" ref="F30:J30" si="7">+F19</f>
        <v>1491693.8599999999</v>
      </c>
      <c r="G30" s="22"/>
      <c r="H30" s="22">
        <f t="shared" si="7"/>
        <v>2462739.36</v>
      </c>
      <c r="I30" s="22"/>
      <c r="J30" s="22">
        <f t="shared" si="7"/>
        <v>1480575.71</v>
      </c>
      <c r="K30" s="22"/>
      <c r="L30" s="22">
        <f t="shared" si="6"/>
        <v>1292953.98</v>
      </c>
      <c r="M30" s="22"/>
      <c r="N30" s="22">
        <f t="shared" si="6"/>
        <v>2650399.4900000002</v>
      </c>
      <c r="O30" s="22"/>
      <c r="P30" s="22">
        <f t="shared" si="6"/>
        <v>1884686.7</v>
      </c>
      <c r="Q30" s="22"/>
      <c r="R30" s="22">
        <f t="shared" si="6"/>
        <v>1991810.73</v>
      </c>
      <c r="S30" s="22"/>
      <c r="T30" s="22">
        <f t="shared" si="6"/>
        <v>1486693.96</v>
      </c>
      <c r="U30" s="22"/>
      <c r="V30" s="22">
        <f t="shared" si="6"/>
        <v>1277387.99</v>
      </c>
      <c r="W30" s="22"/>
      <c r="X30" s="22">
        <f>+X19</f>
        <v>1894262.03</v>
      </c>
      <c r="Y30" s="22"/>
      <c r="Z30" s="22">
        <f t="shared" ref="Z30:AF30" si="8">+Z19</f>
        <v>1030324.4199999999</v>
      </c>
      <c r="AA30" s="22"/>
      <c r="AB30" s="22">
        <f>+AB19</f>
        <v>2201658.59</v>
      </c>
      <c r="AC30" s="22"/>
      <c r="AD30" s="22">
        <f t="shared" si="8"/>
        <v>1135791.29</v>
      </c>
      <c r="AE30" s="22"/>
      <c r="AF30" s="22">
        <f t="shared" si="8"/>
        <v>1172328.51</v>
      </c>
      <c r="AG30" s="22"/>
      <c r="AH30" s="22">
        <f t="shared" si="1"/>
        <v>24637610.740000002</v>
      </c>
      <c r="AI30" s="187">
        <v>100</v>
      </c>
      <c r="AJ30" s="22">
        <f t="shared" si="2"/>
        <v>0</v>
      </c>
      <c r="AK30" s="22"/>
    </row>
    <row r="31" spans="1:37" s="7" customFormat="1" ht="16.5" customHeight="1" x14ac:dyDescent="0.2">
      <c r="A31" s="19">
        <v>4</v>
      </c>
      <c r="B31" s="20"/>
      <c r="C31" s="24" t="s">
        <v>37</v>
      </c>
      <c r="D31" s="22">
        <f t="shared" ref="D31:H31" si="9">+D4+D5-D30</f>
        <v>51442.949999999953</v>
      </c>
      <c r="E31" s="22"/>
      <c r="F31" s="22">
        <f t="shared" si="9"/>
        <v>29535.210000000196</v>
      </c>
      <c r="G31" s="22"/>
      <c r="H31" s="22">
        <f t="shared" si="9"/>
        <v>119811.51000000024</v>
      </c>
      <c r="I31" s="22"/>
      <c r="J31" s="22">
        <f t="shared" ref="J31" si="10">+J4+J5-J30</f>
        <v>158861.44000000041</v>
      </c>
      <c r="K31" s="22"/>
      <c r="L31" s="22">
        <f>+L4+L5-L30</f>
        <v>185044.3200000003</v>
      </c>
      <c r="M31" s="22"/>
      <c r="N31" s="22">
        <f t="shared" ref="N31:AD31" si="11">+N4+N5-N30</f>
        <v>67999.629999999423</v>
      </c>
      <c r="O31" s="22"/>
      <c r="P31" s="22">
        <f>+P4+P5-P30</f>
        <v>119204.04000000004</v>
      </c>
      <c r="Q31" s="22"/>
      <c r="R31" s="22">
        <f t="shared" si="11"/>
        <v>221622.91000000015</v>
      </c>
      <c r="S31" s="22"/>
      <c r="T31" s="22">
        <f t="shared" si="11"/>
        <v>63166.709999999963</v>
      </c>
      <c r="U31" s="22"/>
      <c r="V31" s="22">
        <f t="shared" si="11"/>
        <v>68329.060000000056</v>
      </c>
      <c r="W31" s="22"/>
      <c r="X31" s="22">
        <f t="shared" si="11"/>
        <v>281260.49</v>
      </c>
      <c r="Y31" s="22"/>
      <c r="Z31" s="22">
        <f t="shared" si="11"/>
        <v>257542.37999999989</v>
      </c>
      <c r="AA31" s="22"/>
      <c r="AB31" s="22">
        <f t="shared" si="11"/>
        <v>263958.7900000005</v>
      </c>
      <c r="AC31" s="22"/>
      <c r="AD31" s="22">
        <f t="shared" si="11"/>
        <v>46489.290000000037</v>
      </c>
      <c r="AE31" s="22"/>
      <c r="AF31" s="22">
        <f t="shared" ref="AF31" si="12">+AF4+AF5-AF30</f>
        <v>182555.70000000019</v>
      </c>
      <c r="AG31" s="22"/>
      <c r="AH31" s="22">
        <f t="shared" si="1"/>
        <v>2116824.4300000016</v>
      </c>
      <c r="AI31" s="22"/>
      <c r="AJ31" s="22">
        <f t="shared" si="2"/>
        <v>0</v>
      </c>
      <c r="AK31" s="22"/>
    </row>
    <row r="32" spans="1:37" s="7" customFormat="1" ht="27" customHeight="1" x14ac:dyDescent="0.2">
      <c r="A32" s="11">
        <v>5</v>
      </c>
      <c r="B32" s="17"/>
      <c r="C32" s="18" t="s">
        <v>82</v>
      </c>
      <c r="D32" s="6">
        <f t="shared" ref="D32" si="13">+D33+D34</f>
        <v>61756.666666666664</v>
      </c>
      <c r="E32" s="6"/>
      <c r="F32" s="6">
        <f>+F33+F34</f>
        <v>34906.333333333336</v>
      </c>
      <c r="G32" s="6"/>
      <c r="H32" s="6">
        <f t="shared" ref="H32:J32" si="14">+H33+H34</f>
        <v>153373.45499999999</v>
      </c>
      <c r="I32" s="6"/>
      <c r="J32" s="6">
        <f t="shared" si="14"/>
        <v>81986.666666666672</v>
      </c>
      <c r="K32" s="6"/>
      <c r="L32" s="6">
        <f t="shared" ref="L32:AD32" si="15">+L33+L34</f>
        <v>24033.333333333332</v>
      </c>
      <c r="M32" s="6"/>
      <c r="N32" s="6">
        <f t="shared" si="15"/>
        <v>66707.666666666672</v>
      </c>
      <c r="O32" s="6"/>
      <c r="P32" s="6">
        <f t="shared" si="15"/>
        <v>95442.739999999991</v>
      </c>
      <c r="Q32" s="6"/>
      <c r="R32" s="6">
        <f t="shared" si="15"/>
        <v>75079.06666666668</v>
      </c>
      <c r="S32" s="6"/>
      <c r="T32" s="6">
        <f t="shared" si="15"/>
        <v>59043.833333333336</v>
      </c>
      <c r="U32" s="6"/>
      <c r="V32" s="6">
        <f t="shared" si="15"/>
        <v>65358.173333333332</v>
      </c>
      <c r="W32" s="6"/>
      <c r="X32" s="6">
        <f t="shared" si="15"/>
        <v>56078.333333333336</v>
      </c>
      <c r="Y32" s="6"/>
      <c r="Z32" s="6">
        <f t="shared" si="15"/>
        <v>28394.2</v>
      </c>
      <c r="AA32" s="6"/>
      <c r="AB32" s="6">
        <f t="shared" si="15"/>
        <v>140080</v>
      </c>
      <c r="AC32" s="6"/>
      <c r="AD32" s="6">
        <f t="shared" si="15"/>
        <v>36746.666666666664</v>
      </c>
      <c r="AE32" s="6"/>
      <c r="AF32" s="6">
        <f t="shared" ref="AF32" si="16">+AF33+AF34</f>
        <v>27309.200000000001</v>
      </c>
      <c r="AG32" s="6"/>
      <c r="AH32" s="6">
        <f>+D32+F32+H32+J32+L32+N32+P32+R32+T32+V32+X32+Z32+AB32+AD32+AF32</f>
        <v>1006296.335</v>
      </c>
      <c r="AI32" s="6"/>
      <c r="AJ32" s="6">
        <f t="shared" si="2"/>
        <v>0</v>
      </c>
      <c r="AK32" s="6"/>
    </row>
    <row r="33" spans="1:37" s="7" customFormat="1" ht="16.5" hidden="1" customHeight="1" x14ac:dyDescent="0.2">
      <c r="A33" s="16"/>
      <c r="B33" s="17"/>
      <c r="C33" s="8" t="s">
        <v>41</v>
      </c>
      <c r="D33" s="6">
        <f t="shared" ref="D33:J33" si="17">+D22/12*2</f>
        <v>56090</v>
      </c>
      <c r="E33" s="6"/>
      <c r="F33" s="6">
        <f t="shared" si="17"/>
        <v>29673</v>
      </c>
      <c r="G33" s="6"/>
      <c r="H33" s="6">
        <f t="shared" si="17"/>
        <v>145780</v>
      </c>
      <c r="I33" s="6"/>
      <c r="J33" s="6">
        <f t="shared" si="17"/>
        <v>79320</v>
      </c>
      <c r="K33" s="6"/>
      <c r="L33" s="6">
        <f t="shared" ref="L33:AD33" si="18">+L22/12*2</f>
        <v>18200</v>
      </c>
      <c r="M33" s="6"/>
      <c r="N33" s="6">
        <f t="shared" si="18"/>
        <v>60041</v>
      </c>
      <c r="O33" s="6"/>
      <c r="P33" s="6">
        <f t="shared" si="18"/>
        <v>87802.784999999989</v>
      </c>
      <c r="Q33" s="6"/>
      <c r="R33" s="6">
        <f t="shared" si="18"/>
        <v>65912.400000000009</v>
      </c>
      <c r="S33" s="6"/>
      <c r="T33" s="6">
        <f t="shared" si="18"/>
        <v>57018</v>
      </c>
      <c r="U33" s="6"/>
      <c r="V33" s="6">
        <f t="shared" si="18"/>
        <v>52800</v>
      </c>
      <c r="W33" s="6"/>
      <c r="X33" s="6">
        <f t="shared" si="18"/>
        <v>51345</v>
      </c>
      <c r="Y33" s="6"/>
      <c r="Z33" s="6">
        <f t="shared" si="18"/>
        <v>20394.2</v>
      </c>
      <c r="AA33" s="6"/>
      <c r="AB33" s="6">
        <f t="shared" si="18"/>
        <v>133880</v>
      </c>
      <c r="AC33" s="6"/>
      <c r="AD33" s="6">
        <f t="shared" si="18"/>
        <v>32880</v>
      </c>
      <c r="AE33" s="6"/>
      <c r="AF33" s="6">
        <f t="shared" ref="AF33" si="19">+AF22/12*2</f>
        <v>23069.200000000001</v>
      </c>
      <c r="AG33" s="6"/>
      <c r="AH33" s="6">
        <f t="shared" ref="AH4:AH35" si="20">SUM(D33:AF33)</f>
        <v>914205.58499999985</v>
      </c>
      <c r="AI33" s="6"/>
      <c r="AJ33" s="6"/>
      <c r="AK33" s="6"/>
    </row>
    <row r="34" spans="1:37" s="7" customFormat="1" ht="16.5" hidden="1" customHeight="1" x14ac:dyDescent="0.2">
      <c r="A34" s="16"/>
      <c r="B34" s="17"/>
      <c r="C34" s="8" t="s">
        <v>42</v>
      </c>
      <c r="D34" s="6">
        <f t="shared" ref="D34:J34" si="21">+D26/12*2</f>
        <v>5666.666666666667</v>
      </c>
      <c r="E34" s="6"/>
      <c r="F34" s="6">
        <f t="shared" si="21"/>
        <v>5233.333333333333</v>
      </c>
      <c r="G34" s="6"/>
      <c r="H34" s="6">
        <f t="shared" si="21"/>
        <v>7593.4550000000008</v>
      </c>
      <c r="I34" s="6"/>
      <c r="J34" s="6">
        <f t="shared" si="21"/>
        <v>2666.6666666666665</v>
      </c>
      <c r="K34" s="6"/>
      <c r="L34" s="6">
        <f t="shared" ref="L34:AD34" si="22">+L26/12*2</f>
        <v>5833.333333333333</v>
      </c>
      <c r="M34" s="6"/>
      <c r="N34" s="6">
        <f t="shared" si="22"/>
        <v>6666.666666666667</v>
      </c>
      <c r="O34" s="6"/>
      <c r="P34" s="6">
        <f t="shared" si="22"/>
        <v>7639.9550000000008</v>
      </c>
      <c r="Q34" s="6"/>
      <c r="R34" s="6">
        <f t="shared" si="22"/>
        <v>9166.6666666666661</v>
      </c>
      <c r="S34" s="6"/>
      <c r="T34" s="6">
        <f t="shared" si="22"/>
        <v>2025.8333333333333</v>
      </c>
      <c r="U34" s="6"/>
      <c r="V34" s="6">
        <f t="shared" si="22"/>
        <v>12558.173333333332</v>
      </c>
      <c r="W34" s="6"/>
      <c r="X34" s="6">
        <f t="shared" si="22"/>
        <v>4733.333333333333</v>
      </c>
      <c r="Y34" s="6"/>
      <c r="Z34" s="6">
        <f t="shared" si="22"/>
        <v>8000</v>
      </c>
      <c r="AA34" s="6"/>
      <c r="AB34" s="6">
        <f t="shared" si="22"/>
        <v>6200</v>
      </c>
      <c r="AC34" s="6"/>
      <c r="AD34" s="6">
        <f t="shared" si="22"/>
        <v>3866.6666666666665</v>
      </c>
      <c r="AE34" s="6"/>
      <c r="AF34" s="6">
        <f t="shared" ref="AF34" si="23">+AF26/12*2</f>
        <v>4240</v>
      </c>
      <c r="AG34" s="6"/>
      <c r="AH34" s="6">
        <f t="shared" si="20"/>
        <v>92090.75</v>
      </c>
      <c r="AI34" s="6"/>
      <c r="AJ34" s="6"/>
      <c r="AK34" s="6"/>
    </row>
    <row r="35" spans="1:37" s="7" customFormat="1" ht="16.5" hidden="1" customHeight="1" x14ac:dyDescent="0.2">
      <c r="A35" s="25">
        <v>6</v>
      </c>
      <c r="B35" s="26"/>
      <c r="C35" s="27" t="s">
        <v>25</v>
      </c>
      <c r="D35" s="40">
        <f t="shared" ref="D35:J35" si="24">+D31-D32</f>
        <v>-10313.716666666711</v>
      </c>
      <c r="E35" s="40"/>
      <c r="F35" s="40">
        <f t="shared" si="24"/>
        <v>-5371.1233333331402</v>
      </c>
      <c r="G35" s="40"/>
      <c r="H35" s="40">
        <f t="shared" si="24"/>
        <v>-33561.944999999745</v>
      </c>
      <c r="I35" s="40"/>
      <c r="J35" s="28">
        <f t="shared" si="24"/>
        <v>76874.773333333738</v>
      </c>
      <c r="K35" s="28"/>
      <c r="L35" s="28">
        <f t="shared" ref="L35:AD35" si="25">+L31-L32</f>
        <v>161010.98666666695</v>
      </c>
      <c r="M35" s="28"/>
      <c r="N35" s="28">
        <f t="shared" si="25"/>
        <v>1291.9633333327511</v>
      </c>
      <c r="O35" s="28"/>
      <c r="P35" s="28">
        <f t="shared" si="25"/>
        <v>23761.300000000047</v>
      </c>
      <c r="Q35" s="28"/>
      <c r="R35" s="28">
        <f t="shared" si="25"/>
        <v>146543.84333333347</v>
      </c>
      <c r="S35" s="28"/>
      <c r="T35" s="28">
        <f t="shared" si="25"/>
        <v>4122.876666666627</v>
      </c>
      <c r="U35" s="28"/>
      <c r="V35" s="28">
        <f t="shared" si="25"/>
        <v>2970.8866666667236</v>
      </c>
      <c r="W35" s="28"/>
      <c r="X35" s="28">
        <f t="shared" si="25"/>
        <v>225182.15666666665</v>
      </c>
      <c r="Y35" s="28"/>
      <c r="Z35" s="28">
        <f t="shared" si="25"/>
        <v>229148.17999999988</v>
      </c>
      <c r="AA35" s="28"/>
      <c r="AB35" s="28">
        <f t="shared" si="25"/>
        <v>123878.7900000005</v>
      </c>
      <c r="AC35" s="28"/>
      <c r="AD35" s="28">
        <f t="shared" si="25"/>
        <v>9742.623333333373</v>
      </c>
      <c r="AE35" s="28"/>
      <c r="AF35" s="28">
        <f t="shared" ref="AF35" si="26">+AF31-AF32</f>
        <v>155246.50000000017</v>
      </c>
      <c r="AG35" s="28"/>
      <c r="AH35" s="28">
        <f t="shared" si="20"/>
        <v>1110528.0950000014</v>
      </c>
      <c r="AI35" s="28"/>
      <c r="AJ35" s="28"/>
      <c r="AK35" s="28"/>
    </row>
    <row r="38" spans="1:37" x14ac:dyDescent="0.55000000000000004">
      <c r="D38" s="38"/>
      <c r="E38" s="38"/>
      <c r="F38" s="38"/>
      <c r="G38" s="38"/>
      <c r="H38" s="38"/>
      <c r="I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</sheetData>
  <mergeCells count="22">
    <mergeCell ref="A1:AH1"/>
    <mergeCell ref="A2:B3"/>
    <mergeCell ref="C2:C3"/>
    <mergeCell ref="AI2:AI3"/>
    <mergeCell ref="E2:E3"/>
    <mergeCell ref="G2:G3"/>
    <mergeCell ref="I2:I3"/>
    <mergeCell ref="K2:K3"/>
    <mergeCell ref="M2:M3"/>
    <mergeCell ref="O2:O3"/>
    <mergeCell ref="Q2:Q3"/>
    <mergeCell ref="S2:S3"/>
    <mergeCell ref="U2:U3"/>
    <mergeCell ref="W2:W3"/>
    <mergeCell ref="Y2:Y3"/>
    <mergeCell ref="AK2:AK3"/>
    <mergeCell ref="AA2:AA3"/>
    <mergeCell ref="AC2:AC3"/>
    <mergeCell ref="AE2:AE3"/>
    <mergeCell ref="AG2:AG3"/>
    <mergeCell ref="AJ2:AJ3"/>
    <mergeCell ref="AH2:AH3"/>
  </mergeCells>
  <printOptions horizontalCentered="1"/>
  <pageMargins left="0.35433070866141736" right="0.15748031496062992" top="0.19685039370078741" bottom="0.19685039370078741" header="0.11811023622047245" footer="0.11811023622047245"/>
  <pageSetup paperSize="5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8"/>
  <sheetViews>
    <sheetView view="pageBreakPreview" zoomScale="120" zoomScaleNormal="110" zoomScaleSheetLayoutView="120" workbookViewId="0">
      <pane xSplit="3" ySplit="3" topLeftCell="Q25" activePane="bottomRight" state="frozen"/>
      <selection pane="topRight" activeCell="C1" sqref="C1"/>
      <selection pane="bottomLeft" activeCell="A5" sqref="A5"/>
      <selection pane="bottomRight" activeCell="AA38" sqref="AA38"/>
    </sheetView>
  </sheetViews>
  <sheetFormatPr defaultRowHeight="24" x14ac:dyDescent="0.55000000000000004"/>
  <cols>
    <col min="1" max="2" width="3.875" style="1" customWidth="1"/>
    <col min="3" max="3" width="20.875" style="1" customWidth="1"/>
    <col min="4" max="23" width="9.75" style="1" customWidth="1"/>
    <col min="24" max="25" width="9" style="1"/>
    <col min="26" max="27" width="7.125" style="1" customWidth="1"/>
    <col min="28" max="16384" width="9" style="1"/>
  </cols>
  <sheetData>
    <row r="1" spans="1:27" ht="16.5" customHeight="1" x14ac:dyDescent="0.55000000000000004">
      <c r="A1" s="207" t="s">
        <v>113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7" ht="18" customHeight="1" x14ac:dyDescent="0.55000000000000004">
      <c r="A2" s="197" t="s">
        <v>0</v>
      </c>
      <c r="B2" s="198"/>
      <c r="C2" s="201" t="s">
        <v>35</v>
      </c>
      <c r="D2" s="203" t="s">
        <v>20</v>
      </c>
      <c r="E2" s="203" t="s">
        <v>165</v>
      </c>
      <c r="F2" s="203" t="s">
        <v>27</v>
      </c>
      <c r="G2" s="203" t="s">
        <v>165</v>
      </c>
      <c r="H2" s="203" t="s">
        <v>26</v>
      </c>
      <c r="I2" s="203" t="s">
        <v>165</v>
      </c>
      <c r="J2" s="203" t="s">
        <v>28</v>
      </c>
      <c r="K2" s="203" t="s">
        <v>165</v>
      </c>
      <c r="L2" s="203" t="s">
        <v>29</v>
      </c>
      <c r="M2" s="203" t="s">
        <v>165</v>
      </c>
      <c r="N2" s="203" t="s">
        <v>30</v>
      </c>
      <c r="O2" s="203" t="s">
        <v>165</v>
      </c>
      <c r="P2" s="203" t="s">
        <v>31</v>
      </c>
      <c r="Q2" s="203" t="s">
        <v>165</v>
      </c>
      <c r="R2" s="203" t="s">
        <v>32</v>
      </c>
      <c r="S2" s="203" t="s">
        <v>165</v>
      </c>
      <c r="T2" s="203" t="s">
        <v>33</v>
      </c>
      <c r="U2" s="203" t="s">
        <v>165</v>
      </c>
      <c r="V2" s="194" t="s">
        <v>34</v>
      </c>
      <c r="W2" s="203" t="s">
        <v>165</v>
      </c>
      <c r="X2" s="194" t="s">
        <v>166</v>
      </c>
      <c r="Y2" s="194" t="s">
        <v>159</v>
      </c>
      <c r="Z2" s="194" t="s">
        <v>167</v>
      </c>
      <c r="AA2" s="194" t="s">
        <v>168</v>
      </c>
    </row>
    <row r="3" spans="1:27" ht="24" customHeight="1" x14ac:dyDescent="0.55000000000000004">
      <c r="A3" s="199"/>
      <c r="B3" s="200"/>
      <c r="C3" s="202"/>
      <c r="D3" s="204"/>
      <c r="E3" s="206"/>
      <c r="F3" s="204"/>
      <c r="G3" s="206"/>
      <c r="H3" s="204"/>
      <c r="I3" s="206"/>
      <c r="J3" s="204"/>
      <c r="K3" s="206"/>
      <c r="L3" s="204"/>
      <c r="M3" s="206"/>
      <c r="N3" s="204"/>
      <c r="O3" s="206"/>
      <c r="P3" s="204"/>
      <c r="Q3" s="206"/>
      <c r="R3" s="204"/>
      <c r="S3" s="206"/>
      <c r="T3" s="204"/>
      <c r="U3" s="206"/>
      <c r="V3" s="195"/>
      <c r="W3" s="206"/>
      <c r="X3" s="195"/>
      <c r="Y3" s="195"/>
      <c r="Z3" s="195"/>
      <c r="AA3" s="195"/>
    </row>
    <row r="4" spans="1:27" s="175" customFormat="1" ht="18" customHeight="1" x14ac:dyDescent="0.55000000000000004">
      <c r="A4" s="52">
        <v>1</v>
      </c>
      <c r="B4" s="53"/>
      <c r="C4" s="170" t="s">
        <v>22</v>
      </c>
      <c r="D4" s="171"/>
      <c r="E4" s="171"/>
      <c r="F4" s="171">
        <v>442101.17</v>
      </c>
      <c r="G4" s="171"/>
      <c r="H4" s="171">
        <v>668845.82999999996</v>
      </c>
      <c r="I4" s="171"/>
      <c r="J4" s="171">
        <v>352467.66</v>
      </c>
      <c r="K4" s="171"/>
      <c r="L4" s="171">
        <v>406013.12</v>
      </c>
      <c r="M4" s="171"/>
      <c r="N4" s="171">
        <v>951508.22</v>
      </c>
      <c r="O4" s="171"/>
      <c r="P4" s="171">
        <v>339081.42</v>
      </c>
      <c r="Q4" s="171"/>
      <c r="R4" s="171">
        <v>65096.57</v>
      </c>
      <c r="S4" s="171"/>
      <c r="T4" s="171">
        <v>585236.72</v>
      </c>
      <c r="U4" s="171"/>
      <c r="V4" s="83">
        <v>323383.55</v>
      </c>
      <c r="W4" s="83"/>
      <c r="X4" s="83">
        <f>+D4+F4+H4+J4+L4+N4+P4+R4+T4+V4</f>
        <v>4133734.26</v>
      </c>
      <c r="Y4" s="188">
        <f>+X4*100/X18</f>
        <v>27.582944097058171</v>
      </c>
      <c r="Z4" s="172">
        <f>+E4+G4+I4+K4+M4+O4+Q4+S4+U4+W4</f>
        <v>0</v>
      </c>
      <c r="AA4" s="172"/>
    </row>
    <row r="5" spans="1:27" ht="18" customHeight="1" x14ac:dyDescent="0.55000000000000004">
      <c r="A5" s="80">
        <v>2</v>
      </c>
      <c r="B5" s="81"/>
      <c r="C5" s="82" t="s">
        <v>38</v>
      </c>
      <c r="D5" s="83">
        <f t="shared" ref="D5:T5" si="0">+D6+D7+D15+D16+D17+D14</f>
        <v>842944</v>
      </c>
      <c r="E5" s="83"/>
      <c r="F5" s="83">
        <f t="shared" si="0"/>
        <v>1197828.47</v>
      </c>
      <c r="G5" s="83"/>
      <c r="H5" s="83">
        <f t="shared" si="0"/>
        <v>834681.12</v>
      </c>
      <c r="I5" s="83"/>
      <c r="J5" s="83">
        <f t="shared" si="0"/>
        <v>955597.02</v>
      </c>
      <c r="K5" s="83"/>
      <c r="L5" s="83">
        <f t="shared" si="0"/>
        <v>1100919.74</v>
      </c>
      <c r="M5" s="83"/>
      <c r="N5" s="83">
        <f t="shared" si="0"/>
        <v>1343730.54</v>
      </c>
      <c r="O5" s="83"/>
      <c r="P5" s="83">
        <f t="shared" si="0"/>
        <v>1272012.44</v>
      </c>
      <c r="Q5" s="83"/>
      <c r="R5" s="83">
        <f t="shared" si="0"/>
        <v>597617.68999999994</v>
      </c>
      <c r="S5" s="83"/>
      <c r="T5" s="83">
        <f t="shared" si="0"/>
        <v>833579.9</v>
      </c>
      <c r="U5" s="83"/>
      <c r="V5" s="83">
        <f>+V6+V7+V15+V16+V17+V14</f>
        <v>1873914.07</v>
      </c>
      <c r="W5" s="83"/>
      <c r="X5" s="83">
        <f t="shared" ref="X5:X32" si="1">+D5+F5+H5+J5+L5+N5+P5+R5+T5+V5</f>
        <v>10852824.99</v>
      </c>
      <c r="Y5" s="188">
        <f>+X5*100/X18</f>
        <v>72.417055902941826</v>
      </c>
      <c r="Z5" s="172">
        <f t="shared" ref="Z5:Z32" si="2">+E5+G5+I5+K5+M5+O5+Q5+S5+U5+W5</f>
        <v>0</v>
      </c>
      <c r="AA5" s="172"/>
    </row>
    <row r="6" spans="1:27" ht="18" customHeight="1" x14ac:dyDescent="0.55000000000000004">
      <c r="A6" s="47"/>
      <c r="B6" s="48">
        <v>2.1</v>
      </c>
      <c r="C6" s="84" t="s">
        <v>23</v>
      </c>
      <c r="D6" s="79"/>
      <c r="E6" s="79"/>
      <c r="F6" s="79">
        <v>16300</v>
      </c>
      <c r="G6" s="79"/>
      <c r="H6" s="79">
        <v>893.33</v>
      </c>
      <c r="I6" s="79"/>
      <c r="J6" s="79">
        <v>1000</v>
      </c>
      <c r="K6" s="79"/>
      <c r="L6" s="79">
        <v>16000</v>
      </c>
      <c r="M6" s="79"/>
      <c r="N6" s="79">
        <v>12300</v>
      </c>
      <c r="O6" s="79"/>
      <c r="P6" s="79">
        <v>11275</v>
      </c>
      <c r="Q6" s="79"/>
      <c r="R6" s="79">
        <v>3700</v>
      </c>
      <c r="S6" s="79"/>
      <c r="T6" s="79">
        <v>3500</v>
      </c>
      <c r="U6" s="79"/>
      <c r="V6" s="79">
        <v>16500</v>
      </c>
      <c r="W6" s="79"/>
      <c r="X6" s="79">
        <f t="shared" si="1"/>
        <v>81468.33</v>
      </c>
      <c r="Y6" s="136">
        <f>+X6*100/X18</f>
        <v>0.54360930111426342</v>
      </c>
      <c r="Z6" s="129">
        <f t="shared" si="2"/>
        <v>0</v>
      </c>
      <c r="AA6" s="129"/>
    </row>
    <row r="7" spans="1:27" ht="18" customHeight="1" x14ac:dyDescent="0.55000000000000004">
      <c r="A7" s="80"/>
      <c r="B7" s="81">
        <v>2.2000000000000002</v>
      </c>
      <c r="C7" s="82" t="s">
        <v>24</v>
      </c>
      <c r="D7" s="83">
        <f>SUM(D8:D12)</f>
        <v>842944</v>
      </c>
      <c r="E7" s="83"/>
      <c r="F7" s="83">
        <f t="shared" ref="F7:V7" si="3">SUM(F8:F12)</f>
        <v>1055128.47</v>
      </c>
      <c r="G7" s="83"/>
      <c r="H7" s="83">
        <f t="shared" si="3"/>
        <v>724827.79</v>
      </c>
      <c r="I7" s="83"/>
      <c r="J7" s="83">
        <f t="shared" si="3"/>
        <v>799074.02</v>
      </c>
      <c r="K7" s="83"/>
      <c r="L7" s="83">
        <f t="shared" si="3"/>
        <v>952569.74</v>
      </c>
      <c r="M7" s="83"/>
      <c r="N7" s="83">
        <f t="shared" si="3"/>
        <v>1109646.54</v>
      </c>
      <c r="O7" s="83"/>
      <c r="P7" s="83">
        <f t="shared" si="3"/>
        <v>997327.34</v>
      </c>
      <c r="Q7" s="83"/>
      <c r="R7" s="83">
        <f t="shared" si="3"/>
        <v>507087.69</v>
      </c>
      <c r="S7" s="83"/>
      <c r="T7" s="83">
        <f t="shared" si="3"/>
        <v>651279.9</v>
      </c>
      <c r="U7" s="83"/>
      <c r="V7" s="83">
        <f t="shared" si="3"/>
        <v>1538149.07</v>
      </c>
      <c r="W7" s="83"/>
      <c r="X7" s="83">
        <f t="shared" si="1"/>
        <v>9178034.5600000005</v>
      </c>
      <c r="Y7" s="83"/>
      <c r="Z7" s="172">
        <f t="shared" si="2"/>
        <v>0</v>
      </c>
      <c r="AA7" s="172"/>
    </row>
    <row r="8" spans="1:27" ht="18" customHeight="1" x14ac:dyDescent="0.55000000000000004">
      <c r="A8" s="47"/>
      <c r="B8" s="48"/>
      <c r="C8" s="49" t="s">
        <v>17</v>
      </c>
      <c r="D8" s="79"/>
      <c r="E8" s="79"/>
      <c r="F8" s="79">
        <v>187192.47</v>
      </c>
      <c r="G8" s="79"/>
      <c r="H8" s="79">
        <v>42714.79</v>
      </c>
      <c r="I8" s="79"/>
      <c r="J8" s="79">
        <v>57902.02</v>
      </c>
      <c r="K8" s="79"/>
      <c r="L8" s="79">
        <v>158535.74</v>
      </c>
      <c r="M8" s="79"/>
      <c r="N8" s="79">
        <v>145029.54</v>
      </c>
      <c r="O8" s="79"/>
      <c r="P8" s="79">
        <v>60151.34</v>
      </c>
      <c r="Q8" s="79"/>
      <c r="R8" s="79">
        <v>45830.69</v>
      </c>
      <c r="S8" s="79"/>
      <c r="T8" s="79">
        <v>66487.899999999994</v>
      </c>
      <c r="U8" s="79"/>
      <c r="V8" s="79">
        <v>157633.07</v>
      </c>
      <c r="W8" s="79"/>
      <c r="X8" s="79">
        <f t="shared" si="1"/>
        <v>921477.56</v>
      </c>
      <c r="Y8" s="136">
        <f>+X8*100/X18</f>
        <v>6.1486932699378611</v>
      </c>
      <c r="Z8" s="129">
        <f t="shared" si="2"/>
        <v>0</v>
      </c>
      <c r="AA8" s="129"/>
    </row>
    <row r="9" spans="1:27" ht="18" customHeight="1" x14ac:dyDescent="0.55000000000000004">
      <c r="A9" s="85"/>
      <c r="B9" s="86"/>
      <c r="C9" s="49" t="s">
        <v>65</v>
      </c>
      <c r="D9" s="79"/>
      <c r="E9" s="79"/>
      <c r="F9" s="79">
        <v>216000</v>
      </c>
      <c r="G9" s="79"/>
      <c r="H9" s="79">
        <v>216000</v>
      </c>
      <c r="I9" s="79"/>
      <c r="J9" s="79">
        <v>216000</v>
      </c>
      <c r="K9" s="79"/>
      <c r="L9" s="79">
        <v>240000</v>
      </c>
      <c r="M9" s="79"/>
      <c r="N9" s="79">
        <v>240000</v>
      </c>
      <c r="O9" s="79"/>
      <c r="P9" s="79">
        <v>240000</v>
      </c>
      <c r="Q9" s="79"/>
      <c r="R9" s="79">
        <v>216000</v>
      </c>
      <c r="S9" s="79"/>
      <c r="T9" s="79">
        <v>216000</v>
      </c>
      <c r="U9" s="79"/>
      <c r="V9" s="79">
        <v>240000</v>
      </c>
      <c r="W9" s="79"/>
      <c r="X9" s="79">
        <f t="shared" si="1"/>
        <v>2040000</v>
      </c>
      <c r="Y9" s="136">
        <f>+X9*100/X18</f>
        <v>13.612197209309402</v>
      </c>
      <c r="Z9" s="129">
        <f t="shared" si="2"/>
        <v>0</v>
      </c>
      <c r="AA9" s="129"/>
    </row>
    <row r="10" spans="1:27" ht="18" customHeight="1" x14ac:dyDescent="0.55000000000000004">
      <c r="A10" s="47"/>
      <c r="B10" s="48"/>
      <c r="C10" s="49" t="s">
        <v>14</v>
      </c>
      <c r="D10" s="79">
        <v>842944</v>
      </c>
      <c r="E10" s="79"/>
      <c r="F10" s="79">
        <v>60000</v>
      </c>
      <c r="G10" s="79"/>
      <c r="H10" s="79">
        <v>51000</v>
      </c>
      <c r="I10" s="79"/>
      <c r="J10" s="79">
        <v>52000</v>
      </c>
      <c r="K10" s="79"/>
      <c r="L10" s="79">
        <v>78000</v>
      </c>
      <c r="M10" s="79"/>
      <c r="N10" s="79">
        <v>93000</v>
      </c>
      <c r="O10" s="79"/>
      <c r="P10" s="79">
        <v>107000</v>
      </c>
      <c r="Q10" s="79"/>
      <c r="R10" s="79">
        <v>23575</v>
      </c>
      <c r="S10" s="79"/>
      <c r="T10" s="79">
        <v>65000</v>
      </c>
      <c r="U10" s="79"/>
      <c r="V10" s="79">
        <v>123000</v>
      </c>
      <c r="W10" s="79"/>
      <c r="X10" s="79">
        <f t="shared" si="1"/>
        <v>1495519</v>
      </c>
      <c r="Y10" s="136">
        <f>+X10*100/X18</f>
        <v>9.979068410916268</v>
      </c>
      <c r="Z10" s="129">
        <f t="shared" si="2"/>
        <v>0</v>
      </c>
      <c r="AA10" s="129"/>
    </row>
    <row r="11" spans="1:27" ht="18" customHeight="1" x14ac:dyDescent="0.55000000000000004">
      <c r="A11" s="85"/>
      <c r="B11" s="86"/>
      <c r="C11" s="58" t="s">
        <v>21</v>
      </c>
      <c r="D11" s="79"/>
      <c r="E11" s="79"/>
      <c r="F11" s="79">
        <f>50400+146400</f>
        <v>196800</v>
      </c>
      <c r="G11" s="79"/>
      <c r="H11" s="79">
        <f>45000+146400</f>
        <v>191400</v>
      </c>
      <c r="I11" s="79"/>
      <c r="J11" s="79">
        <f>46800+146400</f>
        <v>193200</v>
      </c>
      <c r="K11" s="79"/>
      <c r="L11" s="79">
        <f>52800+151200</f>
        <v>204000</v>
      </c>
      <c r="M11" s="79"/>
      <c r="N11" s="79">
        <f>50400+168000</f>
        <v>218400</v>
      </c>
      <c r="O11" s="79"/>
      <c r="P11" s="79">
        <f>114400+151200</f>
        <v>265600</v>
      </c>
      <c r="Q11" s="79"/>
      <c r="R11" s="79">
        <f>9000+73200</f>
        <v>82200</v>
      </c>
      <c r="S11" s="79"/>
      <c r="T11" s="79">
        <f>45000+146400</f>
        <v>191400</v>
      </c>
      <c r="U11" s="79"/>
      <c r="V11" s="79">
        <f>85200+168000</f>
        <v>253200</v>
      </c>
      <c r="W11" s="79"/>
      <c r="X11" s="79">
        <f t="shared" si="1"/>
        <v>1796200</v>
      </c>
      <c r="Y11" s="136">
        <f>+X11*100/X18</f>
        <v>11.985406189883111</v>
      </c>
      <c r="Z11" s="129">
        <f t="shared" si="2"/>
        <v>0</v>
      </c>
      <c r="AA11" s="129"/>
    </row>
    <row r="12" spans="1:27" ht="18" customHeight="1" x14ac:dyDescent="0.55000000000000004">
      <c r="A12" s="47"/>
      <c r="B12" s="48"/>
      <c r="C12" s="49" t="s">
        <v>10</v>
      </c>
      <c r="D12" s="79"/>
      <c r="E12" s="79"/>
      <c r="F12" s="79">
        <v>395136</v>
      </c>
      <c r="G12" s="79"/>
      <c r="H12" s="79">
        <v>223713</v>
      </c>
      <c r="I12" s="79"/>
      <c r="J12" s="79">
        <v>279972</v>
      </c>
      <c r="K12" s="79"/>
      <c r="L12" s="79">
        <v>272034</v>
      </c>
      <c r="M12" s="79"/>
      <c r="N12" s="79">
        <v>413217</v>
      </c>
      <c r="O12" s="79"/>
      <c r="P12" s="79">
        <v>324576</v>
      </c>
      <c r="Q12" s="79"/>
      <c r="R12" s="79">
        <v>139482</v>
      </c>
      <c r="S12" s="79"/>
      <c r="T12" s="79">
        <v>112392</v>
      </c>
      <c r="U12" s="79"/>
      <c r="V12" s="79">
        <v>764316</v>
      </c>
      <c r="W12" s="79"/>
      <c r="X12" s="79">
        <f t="shared" si="1"/>
        <v>2924838</v>
      </c>
      <c r="Y12" s="136">
        <f>+X12*100/X18</f>
        <v>19.516407677099064</v>
      </c>
      <c r="Z12" s="129">
        <f t="shared" si="2"/>
        <v>0</v>
      </c>
      <c r="AA12" s="129"/>
    </row>
    <row r="13" spans="1:27" ht="18" customHeight="1" x14ac:dyDescent="0.55000000000000004">
      <c r="A13" s="47"/>
      <c r="B13" s="48"/>
      <c r="C13" s="4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>
        <f t="shared" si="1"/>
        <v>0</v>
      </c>
      <c r="Y13" s="136"/>
      <c r="Z13" s="129">
        <f t="shared" si="2"/>
        <v>0</v>
      </c>
      <c r="AA13" s="129"/>
    </row>
    <row r="14" spans="1:27" ht="18" customHeight="1" x14ac:dyDescent="0.55000000000000004">
      <c r="A14" s="85"/>
      <c r="B14" s="87">
        <v>2.2999999999999998</v>
      </c>
      <c r="C14" s="49" t="s">
        <v>44</v>
      </c>
      <c r="D14" s="79"/>
      <c r="E14" s="79"/>
      <c r="F14" s="79">
        <v>1500</v>
      </c>
      <c r="G14" s="79"/>
      <c r="H14" s="79">
        <v>2500</v>
      </c>
      <c r="I14" s="79"/>
      <c r="J14" s="79">
        <v>1700</v>
      </c>
      <c r="K14" s="79"/>
      <c r="L14" s="79">
        <v>1500</v>
      </c>
      <c r="M14" s="79"/>
      <c r="N14" s="79">
        <v>4000</v>
      </c>
      <c r="O14" s="79"/>
      <c r="P14" s="79">
        <v>1800.1</v>
      </c>
      <c r="Q14" s="79"/>
      <c r="R14" s="79">
        <v>500</v>
      </c>
      <c r="S14" s="79"/>
      <c r="T14" s="79">
        <v>2000</v>
      </c>
      <c r="U14" s="79"/>
      <c r="V14" s="79">
        <v>1600</v>
      </c>
      <c r="W14" s="79"/>
      <c r="X14" s="79">
        <f t="shared" si="1"/>
        <v>17100.099999999999</v>
      </c>
      <c r="Y14" s="136">
        <f>+X14*100/X18</f>
        <v>0.11410290857789787</v>
      </c>
      <c r="Z14" s="129">
        <f t="shared" si="2"/>
        <v>0</v>
      </c>
      <c r="AA14" s="129"/>
    </row>
    <row r="15" spans="1:27" ht="18" customHeight="1" x14ac:dyDescent="0.55000000000000004">
      <c r="A15" s="88"/>
      <c r="B15" s="89">
        <v>2.4</v>
      </c>
      <c r="C15" s="63" t="s">
        <v>66</v>
      </c>
      <c r="D15" s="79"/>
      <c r="E15" s="79"/>
      <c r="F15" s="79">
        <v>40800</v>
      </c>
      <c r="G15" s="79"/>
      <c r="H15" s="79">
        <v>52000</v>
      </c>
      <c r="I15" s="79"/>
      <c r="J15" s="79">
        <f>40000+1283</f>
        <v>41283</v>
      </c>
      <c r="K15" s="79"/>
      <c r="L15" s="79">
        <v>60000</v>
      </c>
      <c r="M15" s="79"/>
      <c r="N15" s="79">
        <v>104184</v>
      </c>
      <c r="O15" s="79"/>
      <c r="P15" s="79">
        <v>196000</v>
      </c>
      <c r="Q15" s="79"/>
      <c r="R15" s="79">
        <v>21280</v>
      </c>
      <c r="S15" s="79"/>
      <c r="T15" s="79">
        <v>65800</v>
      </c>
      <c r="U15" s="79"/>
      <c r="V15" s="79">
        <f>100000+38995</f>
        <v>138995</v>
      </c>
      <c r="W15" s="79"/>
      <c r="X15" s="79">
        <f t="shared" si="1"/>
        <v>720342</v>
      </c>
      <c r="Y15" s="136">
        <f>+X15*100/X18</f>
        <v>4.8065869422295844</v>
      </c>
      <c r="Z15" s="130">
        <f t="shared" si="2"/>
        <v>0</v>
      </c>
      <c r="AA15" s="130"/>
    </row>
    <row r="16" spans="1:27" ht="18" customHeight="1" x14ac:dyDescent="0.55000000000000004">
      <c r="A16" s="88"/>
      <c r="B16" s="89">
        <v>2.5</v>
      </c>
      <c r="C16" s="63" t="s">
        <v>92</v>
      </c>
      <c r="D16" s="79"/>
      <c r="E16" s="79"/>
      <c r="F16" s="79">
        <v>84100</v>
      </c>
      <c r="G16" s="79"/>
      <c r="H16" s="79">
        <v>54460</v>
      </c>
      <c r="I16" s="79"/>
      <c r="J16" s="79">
        <v>112540</v>
      </c>
      <c r="K16" s="79"/>
      <c r="L16" s="79">
        <v>70850</v>
      </c>
      <c r="M16" s="79"/>
      <c r="N16" s="79">
        <v>108600</v>
      </c>
      <c r="O16" s="79"/>
      <c r="P16" s="79">
        <v>64360</v>
      </c>
      <c r="Q16" s="79"/>
      <c r="R16" s="79">
        <v>62550</v>
      </c>
      <c r="S16" s="79"/>
      <c r="T16" s="79">
        <v>111000</v>
      </c>
      <c r="U16" s="79"/>
      <c r="V16" s="79">
        <v>177670</v>
      </c>
      <c r="W16" s="79"/>
      <c r="X16" s="79">
        <f t="shared" si="1"/>
        <v>846130</v>
      </c>
      <c r="Y16" s="136">
        <f>+X16*100/X18</f>
        <v>5.6459256983887078</v>
      </c>
      <c r="Z16" s="129">
        <f t="shared" si="2"/>
        <v>0</v>
      </c>
      <c r="AA16" s="129"/>
    </row>
    <row r="17" spans="1:27" ht="18" customHeight="1" x14ac:dyDescent="0.55000000000000004">
      <c r="A17" s="88"/>
      <c r="B17" s="89">
        <v>2.6</v>
      </c>
      <c r="C17" s="63" t="s">
        <v>43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>
        <v>5000</v>
      </c>
      <c r="O17" s="79"/>
      <c r="P17" s="79">
        <v>1250</v>
      </c>
      <c r="Q17" s="79"/>
      <c r="R17" s="79">
        <v>2500</v>
      </c>
      <c r="S17" s="79"/>
      <c r="T17" s="79"/>
      <c r="U17" s="79"/>
      <c r="V17" s="79">
        <v>1000</v>
      </c>
      <c r="W17" s="79"/>
      <c r="X17" s="79">
        <f t="shared" si="1"/>
        <v>9750</v>
      </c>
      <c r="Y17" s="136">
        <f>+X17*100/X18</f>
        <v>6.5058295485669937E-2</v>
      </c>
      <c r="Z17" s="130">
        <f t="shared" si="2"/>
        <v>0</v>
      </c>
      <c r="AA17" s="130"/>
    </row>
    <row r="18" spans="1:27" ht="18" customHeight="1" x14ac:dyDescent="0.55000000000000004">
      <c r="A18" s="90"/>
      <c r="B18" s="91"/>
      <c r="C18" s="66" t="s">
        <v>40</v>
      </c>
      <c r="D18" s="92">
        <f>+D4+D5</f>
        <v>842944</v>
      </c>
      <c r="E18" s="92"/>
      <c r="F18" s="92">
        <f t="shared" ref="F18:V18" si="4">+F4+F5</f>
        <v>1639929.64</v>
      </c>
      <c r="G18" s="92"/>
      <c r="H18" s="92">
        <f t="shared" si="4"/>
        <v>1503526.95</v>
      </c>
      <c r="I18" s="92"/>
      <c r="J18" s="92">
        <f t="shared" si="4"/>
        <v>1308064.68</v>
      </c>
      <c r="K18" s="92"/>
      <c r="L18" s="92">
        <f t="shared" si="4"/>
        <v>1506932.8599999999</v>
      </c>
      <c r="M18" s="92"/>
      <c r="N18" s="92">
        <f t="shared" si="4"/>
        <v>2295238.7599999998</v>
      </c>
      <c r="O18" s="92"/>
      <c r="P18" s="92">
        <f t="shared" si="4"/>
        <v>1611093.8599999999</v>
      </c>
      <c r="Q18" s="92"/>
      <c r="R18" s="92">
        <f t="shared" si="4"/>
        <v>662714.25999999989</v>
      </c>
      <c r="S18" s="92"/>
      <c r="T18" s="92">
        <f t="shared" si="4"/>
        <v>1418816.62</v>
      </c>
      <c r="U18" s="92"/>
      <c r="V18" s="92">
        <f t="shared" si="4"/>
        <v>2197297.62</v>
      </c>
      <c r="W18" s="92"/>
      <c r="X18" s="92">
        <f t="shared" si="1"/>
        <v>14986559.25</v>
      </c>
      <c r="Y18" s="189">
        <v>100</v>
      </c>
      <c r="Z18" s="22">
        <f t="shared" si="2"/>
        <v>0</v>
      </c>
      <c r="AA18" s="22"/>
    </row>
    <row r="19" spans="1:27" ht="18" customHeight="1" x14ac:dyDescent="0.55000000000000004">
      <c r="A19" s="93">
        <v>3</v>
      </c>
      <c r="B19" s="94"/>
      <c r="C19" s="95" t="s">
        <v>1</v>
      </c>
      <c r="D19" s="83">
        <f>SUM(D20:D29)</f>
        <v>842944</v>
      </c>
      <c r="E19" s="83"/>
      <c r="F19" s="83">
        <f t="shared" ref="F19:V19" si="5">SUM(F20:F29)</f>
        <v>1157553.47</v>
      </c>
      <c r="G19" s="83"/>
      <c r="H19" s="83">
        <f t="shared" si="5"/>
        <v>950918.79</v>
      </c>
      <c r="I19" s="83"/>
      <c r="J19" s="83">
        <f t="shared" si="5"/>
        <v>1100020.02</v>
      </c>
      <c r="K19" s="83"/>
      <c r="L19" s="83">
        <f t="shared" si="5"/>
        <v>1298965.74</v>
      </c>
      <c r="M19" s="83"/>
      <c r="N19" s="83">
        <f t="shared" si="5"/>
        <v>1993288.54</v>
      </c>
      <c r="O19" s="83"/>
      <c r="P19" s="83">
        <f t="shared" si="5"/>
        <v>1378741.3399999999</v>
      </c>
      <c r="Q19" s="83"/>
      <c r="R19" s="83">
        <f t="shared" si="5"/>
        <v>551283.68999999994</v>
      </c>
      <c r="S19" s="83"/>
      <c r="T19" s="83">
        <f t="shared" si="5"/>
        <v>1030969.9</v>
      </c>
      <c r="U19" s="83"/>
      <c r="V19" s="83">
        <f t="shared" si="5"/>
        <v>1936773.5</v>
      </c>
      <c r="W19" s="83"/>
      <c r="X19" s="83">
        <f t="shared" si="1"/>
        <v>12241458.989999998</v>
      </c>
      <c r="Y19" s="83"/>
      <c r="Z19" s="174">
        <f t="shared" si="2"/>
        <v>0</v>
      </c>
      <c r="AA19" s="174"/>
    </row>
    <row r="20" spans="1:27" ht="18" customHeight="1" x14ac:dyDescent="0.55000000000000004">
      <c r="A20" s="88"/>
      <c r="B20" s="96">
        <v>3.1</v>
      </c>
      <c r="C20" s="63" t="s">
        <v>17</v>
      </c>
      <c r="D20" s="79"/>
      <c r="E20" s="79"/>
      <c r="F20" s="79">
        <v>187192.47</v>
      </c>
      <c r="G20" s="79"/>
      <c r="H20" s="79">
        <v>42714.79</v>
      </c>
      <c r="I20" s="79"/>
      <c r="J20" s="79">
        <v>57902.02</v>
      </c>
      <c r="K20" s="79"/>
      <c r="L20" s="79">
        <v>158535.74</v>
      </c>
      <c r="M20" s="79"/>
      <c r="N20" s="79">
        <v>145029.54</v>
      </c>
      <c r="O20" s="79"/>
      <c r="P20" s="79">
        <v>60151.34</v>
      </c>
      <c r="Q20" s="79"/>
      <c r="R20" s="79">
        <v>45830.69</v>
      </c>
      <c r="S20" s="79"/>
      <c r="T20" s="79">
        <v>66487.899999999994</v>
      </c>
      <c r="U20" s="79"/>
      <c r="V20" s="79">
        <v>157633.1</v>
      </c>
      <c r="W20" s="79"/>
      <c r="X20" s="103">
        <f t="shared" si="1"/>
        <v>921477.59000000008</v>
      </c>
      <c r="Y20" s="137">
        <f>+X20*100/X30</f>
        <v>7.5275144143582207</v>
      </c>
      <c r="Z20" s="129">
        <f t="shared" si="2"/>
        <v>0</v>
      </c>
      <c r="AA20" s="129"/>
    </row>
    <row r="21" spans="1:27" ht="18" customHeight="1" x14ac:dyDescent="0.55000000000000004">
      <c r="A21" s="88"/>
      <c r="B21" s="96">
        <v>3.2</v>
      </c>
      <c r="C21" s="58" t="s">
        <v>14</v>
      </c>
      <c r="D21" s="79">
        <v>842944</v>
      </c>
      <c r="E21" s="79"/>
      <c r="F21" s="79">
        <v>158810</v>
      </c>
      <c r="G21" s="79"/>
      <c r="H21" s="79">
        <v>121705</v>
      </c>
      <c r="I21" s="79"/>
      <c r="J21" s="79">
        <v>193320</v>
      </c>
      <c r="K21" s="79"/>
      <c r="L21" s="79">
        <v>297370</v>
      </c>
      <c r="M21" s="79"/>
      <c r="N21" s="79">
        <v>367800</v>
      </c>
      <c r="O21" s="79"/>
      <c r="P21" s="79">
        <v>210090</v>
      </c>
      <c r="Q21" s="79"/>
      <c r="R21" s="79">
        <v>88275</v>
      </c>
      <c r="S21" s="79"/>
      <c r="T21" s="79">
        <v>233380</v>
      </c>
      <c r="U21" s="79"/>
      <c r="V21" s="79">
        <v>487615</v>
      </c>
      <c r="W21" s="79"/>
      <c r="X21" s="103">
        <f t="shared" si="1"/>
        <v>3001309</v>
      </c>
      <c r="Y21" s="103">
        <f>+X21*100/X30</f>
        <v>24.517575907020216</v>
      </c>
      <c r="Z21" s="129">
        <f t="shared" si="2"/>
        <v>0</v>
      </c>
      <c r="AA21" s="129"/>
    </row>
    <row r="22" spans="1:27" ht="18" customHeight="1" x14ac:dyDescent="0.55000000000000004">
      <c r="A22" s="88"/>
      <c r="B22" s="96">
        <v>3.3</v>
      </c>
      <c r="C22" s="49" t="s">
        <v>10</v>
      </c>
      <c r="D22" s="79"/>
      <c r="E22" s="79"/>
      <c r="F22" s="79">
        <v>395136</v>
      </c>
      <c r="G22" s="79"/>
      <c r="H22" s="79">
        <v>223713</v>
      </c>
      <c r="I22" s="79"/>
      <c r="J22" s="79">
        <v>279972</v>
      </c>
      <c r="K22" s="79"/>
      <c r="L22" s="79">
        <v>272034</v>
      </c>
      <c r="M22" s="79"/>
      <c r="N22" s="79">
        <v>413217</v>
      </c>
      <c r="O22" s="79"/>
      <c r="P22" s="79">
        <v>324576</v>
      </c>
      <c r="Q22" s="79"/>
      <c r="R22" s="79">
        <v>139482</v>
      </c>
      <c r="S22" s="79"/>
      <c r="T22" s="79">
        <v>112392</v>
      </c>
      <c r="U22" s="79"/>
      <c r="V22" s="79">
        <v>764316</v>
      </c>
      <c r="W22" s="79"/>
      <c r="X22" s="103">
        <f t="shared" si="1"/>
        <v>2924838</v>
      </c>
      <c r="Y22" s="137">
        <f>+X22*100/X30</f>
        <v>23.892887297088436</v>
      </c>
      <c r="Z22" s="129">
        <f t="shared" si="2"/>
        <v>0</v>
      </c>
      <c r="AA22" s="129"/>
    </row>
    <row r="23" spans="1:27" ht="18" customHeight="1" x14ac:dyDescent="0.55000000000000004">
      <c r="A23" s="88"/>
      <c r="B23" s="96">
        <v>3.4</v>
      </c>
      <c r="C23" s="58" t="s">
        <v>21</v>
      </c>
      <c r="D23" s="79"/>
      <c r="E23" s="79"/>
      <c r="F23" s="79">
        <v>196800</v>
      </c>
      <c r="G23" s="79"/>
      <c r="H23" s="79">
        <v>198326</v>
      </c>
      <c r="I23" s="79"/>
      <c r="J23" s="79">
        <v>193200</v>
      </c>
      <c r="K23" s="79"/>
      <c r="L23" s="79">
        <v>204000</v>
      </c>
      <c r="M23" s="79"/>
      <c r="N23" s="79">
        <v>230400</v>
      </c>
      <c r="O23" s="79"/>
      <c r="P23" s="79">
        <v>298380</v>
      </c>
      <c r="Q23" s="79"/>
      <c r="R23" s="79">
        <v>82200</v>
      </c>
      <c r="S23" s="79"/>
      <c r="T23" s="79">
        <v>191400</v>
      </c>
      <c r="U23" s="79"/>
      <c r="V23" s="79">
        <v>253200</v>
      </c>
      <c r="W23" s="79"/>
      <c r="X23" s="103">
        <f t="shared" si="1"/>
        <v>1847906</v>
      </c>
      <c r="Y23" s="137">
        <f>+X23*100/X30</f>
        <v>15.095471883780744</v>
      </c>
      <c r="Z23" s="129">
        <f t="shared" si="2"/>
        <v>0</v>
      </c>
      <c r="AA23" s="129"/>
    </row>
    <row r="24" spans="1:27" ht="18" customHeight="1" x14ac:dyDescent="0.55000000000000004">
      <c r="A24" s="88"/>
      <c r="B24" s="96">
        <v>3.5</v>
      </c>
      <c r="C24" s="58" t="s">
        <v>11</v>
      </c>
      <c r="D24" s="79"/>
      <c r="E24" s="79"/>
      <c r="F24" s="79">
        <v>103200</v>
      </c>
      <c r="G24" s="79"/>
      <c r="H24" s="79">
        <v>133000</v>
      </c>
      <c r="I24" s="79"/>
      <c r="J24" s="79">
        <v>188000</v>
      </c>
      <c r="K24" s="79"/>
      <c r="L24" s="79">
        <v>165000</v>
      </c>
      <c r="M24" s="79"/>
      <c r="N24" s="79">
        <v>316500</v>
      </c>
      <c r="O24" s="79"/>
      <c r="P24" s="79">
        <v>218500</v>
      </c>
      <c r="Q24" s="79"/>
      <c r="R24" s="79">
        <v>110200</v>
      </c>
      <c r="S24" s="79"/>
      <c r="T24" s="79">
        <v>277400</v>
      </c>
      <c r="U24" s="79"/>
      <c r="V24" s="79">
        <v>88400</v>
      </c>
      <c r="W24" s="79"/>
      <c r="X24" s="103">
        <f t="shared" si="1"/>
        <v>1600200</v>
      </c>
      <c r="Y24" s="137">
        <f>+X24*100/X30</f>
        <v>13.071971252014954</v>
      </c>
      <c r="Z24" s="129">
        <f t="shared" si="2"/>
        <v>0</v>
      </c>
      <c r="AA24" s="129"/>
    </row>
    <row r="25" spans="1:27" ht="18" customHeight="1" x14ac:dyDescent="0.55000000000000004">
      <c r="A25" s="88"/>
      <c r="B25" s="96">
        <v>3.6</v>
      </c>
      <c r="C25" s="58" t="s">
        <v>12</v>
      </c>
      <c r="D25" s="79"/>
      <c r="E25" s="79"/>
      <c r="F25" s="79">
        <v>24465</v>
      </c>
      <c r="G25" s="79"/>
      <c r="H25" s="79">
        <v>26160</v>
      </c>
      <c r="I25" s="79"/>
      <c r="J25" s="79">
        <v>54486</v>
      </c>
      <c r="K25" s="79"/>
      <c r="L25" s="79">
        <v>14826</v>
      </c>
      <c r="M25" s="79"/>
      <c r="N25" s="79">
        <v>120558</v>
      </c>
      <c r="O25" s="79"/>
      <c r="P25" s="79">
        <v>63960</v>
      </c>
      <c r="Q25" s="79"/>
      <c r="R25" s="79">
        <v>52246</v>
      </c>
      <c r="S25" s="79"/>
      <c r="T25" s="79">
        <v>37410</v>
      </c>
      <c r="U25" s="79"/>
      <c r="V25" s="79">
        <v>62409.4</v>
      </c>
      <c r="W25" s="79"/>
      <c r="X25" s="103">
        <f t="shared" si="1"/>
        <v>456520.4</v>
      </c>
      <c r="Y25" s="137">
        <f>+X25*100/X30</f>
        <v>3.7292973033110659</v>
      </c>
      <c r="Z25" s="129">
        <f t="shared" si="2"/>
        <v>0</v>
      </c>
      <c r="AA25" s="129"/>
    </row>
    <row r="26" spans="1:27" ht="18" customHeight="1" x14ac:dyDescent="0.55000000000000004">
      <c r="A26" s="88"/>
      <c r="B26" s="96">
        <v>3.7</v>
      </c>
      <c r="C26" s="58" t="s">
        <v>13</v>
      </c>
      <c r="D26" s="79"/>
      <c r="E26" s="79"/>
      <c r="F26" s="79">
        <v>56300</v>
      </c>
      <c r="G26" s="79"/>
      <c r="H26" s="79">
        <v>25500</v>
      </c>
      <c r="I26" s="79"/>
      <c r="J26" s="79">
        <v>21500</v>
      </c>
      <c r="K26" s="79"/>
      <c r="L26" s="79">
        <v>29700</v>
      </c>
      <c r="M26" s="79"/>
      <c r="N26" s="79">
        <v>32284</v>
      </c>
      <c r="O26" s="79"/>
      <c r="P26" s="79">
        <v>41284</v>
      </c>
      <c r="Q26" s="79"/>
      <c r="R26" s="79">
        <v>29550</v>
      </c>
      <c r="S26" s="79"/>
      <c r="T26" s="79">
        <v>34500</v>
      </c>
      <c r="U26" s="79"/>
      <c r="V26" s="79">
        <v>38900</v>
      </c>
      <c r="W26" s="79"/>
      <c r="X26" s="103">
        <f t="shared" si="1"/>
        <v>309518</v>
      </c>
      <c r="Y26" s="137">
        <f>+X26*100/X30</f>
        <v>2.5284404436827677</v>
      </c>
      <c r="Z26" s="129">
        <f t="shared" si="2"/>
        <v>0</v>
      </c>
      <c r="AA26" s="129"/>
    </row>
    <row r="27" spans="1:27" ht="18" customHeight="1" x14ac:dyDescent="0.55000000000000004">
      <c r="A27" s="88"/>
      <c r="B27" s="96">
        <v>3.8</v>
      </c>
      <c r="C27" s="58" t="s">
        <v>15</v>
      </c>
      <c r="D27" s="79"/>
      <c r="E27" s="79"/>
      <c r="F27" s="79">
        <v>35650</v>
      </c>
      <c r="G27" s="79"/>
      <c r="H27" s="79">
        <v>179800</v>
      </c>
      <c r="I27" s="79"/>
      <c r="J27" s="79">
        <v>89800</v>
      </c>
      <c r="K27" s="79"/>
      <c r="L27" s="79">
        <v>157500</v>
      </c>
      <c r="M27" s="79"/>
      <c r="N27" s="79">
        <v>302500</v>
      </c>
      <c r="O27" s="79"/>
      <c r="P27" s="79">
        <v>131500</v>
      </c>
      <c r="Q27" s="79"/>
      <c r="R27" s="79"/>
      <c r="S27" s="79"/>
      <c r="T27" s="79">
        <v>78000</v>
      </c>
      <c r="U27" s="79"/>
      <c r="V27" s="79">
        <v>84000</v>
      </c>
      <c r="W27" s="79"/>
      <c r="X27" s="103">
        <f t="shared" si="1"/>
        <v>1058750</v>
      </c>
      <c r="Y27" s="137">
        <f>+X27*100/X30</f>
        <v>8.6488873659985206</v>
      </c>
      <c r="Z27" s="129">
        <f t="shared" si="2"/>
        <v>0</v>
      </c>
      <c r="AA27" s="129"/>
    </row>
    <row r="28" spans="1:27" ht="18" customHeight="1" x14ac:dyDescent="0.55000000000000004">
      <c r="A28" s="88"/>
      <c r="B28" s="96">
        <v>3.9</v>
      </c>
      <c r="C28" s="58" t="s">
        <v>16</v>
      </c>
      <c r="D28" s="79"/>
      <c r="E28" s="79"/>
      <c r="F28" s="79"/>
      <c r="G28" s="79"/>
      <c r="H28" s="79"/>
      <c r="I28" s="79"/>
      <c r="J28" s="79">
        <v>21840</v>
      </c>
      <c r="K28" s="79"/>
      <c r="L28" s="79"/>
      <c r="M28" s="79"/>
      <c r="N28" s="79">
        <v>30000</v>
      </c>
      <c r="O28" s="79"/>
      <c r="P28" s="79"/>
      <c r="Q28" s="79"/>
      <c r="R28" s="79"/>
      <c r="S28" s="79"/>
      <c r="T28" s="79"/>
      <c r="U28" s="79"/>
      <c r="V28" s="79"/>
      <c r="W28" s="79"/>
      <c r="X28" s="103">
        <f t="shared" si="1"/>
        <v>51840</v>
      </c>
      <c r="Y28" s="137">
        <f>+X28*100/X30</f>
        <v>0.4234789336985722</v>
      </c>
      <c r="Z28" s="129">
        <f t="shared" si="2"/>
        <v>0</v>
      </c>
      <c r="AA28" s="129"/>
    </row>
    <row r="29" spans="1:27" ht="18" customHeight="1" x14ac:dyDescent="0.55000000000000004">
      <c r="A29" s="88"/>
      <c r="B29" s="97">
        <v>3.1</v>
      </c>
      <c r="C29" s="58" t="s">
        <v>18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>
        <f>5000+30000</f>
        <v>35000</v>
      </c>
      <c r="O29" s="79"/>
      <c r="P29" s="79">
        <v>30300</v>
      </c>
      <c r="Q29" s="79"/>
      <c r="R29" s="79">
        <v>3500</v>
      </c>
      <c r="S29" s="79"/>
      <c r="T29" s="79"/>
      <c r="U29" s="79"/>
      <c r="V29" s="79">
        <v>300</v>
      </c>
      <c r="W29" s="79"/>
      <c r="X29" s="103">
        <f t="shared" si="1"/>
        <v>69100</v>
      </c>
      <c r="Y29" s="137">
        <f>+X29*100/X30</f>
        <v>0.564475199046515</v>
      </c>
      <c r="Z29" s="6">
        <f t="shared" si="2"/>
        <v>0</v>
      </c>
      <c r="AA29" s="6"/>
    </row>
    <row r="30" spans="1:27" ht="18" customHeight="1" x14ac:dyDescent="0.55000000000000004">
      <c r="A30" s="90"/>
      <c r="B30" s="91"/>
      <c r="C30" s="98" t="s">
        <v>19</v>
      </c>
      <c r="D30" s="92">
        <f>+D19</f>
        <v>842944</v>
      </c>
      <c r="E30" s="92"/>
      <c r="F30" s="92">
        <f t="shared" ref="F30:V30" si="6">+F19</f>
        <v>1157553.47</v>
      </c>
      <c r="G30" s="92"/>
      <c r="H30" s="92">
        <f t="shared" si="6"/>
        <v>950918.79</v>
      </c>
      <c r="I30" s="92"/>
      <c r="J30" s="92">
        <f t="shared" si="6"/>
        <v>1100020.02</v>
      </c>
      <c r="K30" s="92"/>
      <c r="L30" s="92">
        <f t="shared" si="6"/>
        <v>1298965.74</v>
      </c>
      <c r="M30" s="92"/>
      <c r="N30" s="92">
        <f t="shared" si="6"/>
        <v>1993288.54</v>
      </c>
      <c r="O30" s="92"/>
      <c r="P30" s="92">
        <f t="shared" si="6"/>
        <v>1378741.3399999999</v>
      </c>
      <c r="Q30" s="92"/>
      <c r="R30" s="92">
        <f t="shared" si="6"/>
        <v>551283.68999999994</v>
      </c>
      <c r="S30" s="92"/>
      <c r="T30" s="92">
        <f t="shared" si="6"/>
        <v>1030969.9</v>
      </c>
      <c r="U30" s="92"/>
      <c r="V30" s="92">
        <f t="shared" si="6"/>
        <v>1936773.5</v>
      </c>
      <c r="W30" s="92"/>
      <c r="X30" s="92">
        <f t="shared" si="1"/>
        <v>12241458.989999998</v>
      </c>
      <c r="Y30" s="189">
        <v>100</v>
      </c>
      <c r="Z30" s="22">
        <f t="shared" si="2"/>
        <v>0</v>
      </c>
      <c r="AA30" s="22"/>
    </row>
    <row r="31" spans="1:27" ht="18" customHeight="1" x14ac:dyDescent="0.55000000000000004">
      <c r="A31" s="90">
        <v>4</v>
      </c>
      <c r="B31" s="91"/>
      <c r="C31" s="98" t="s">
        <v>37</v>
      </c>
      <c r="D31" s="92">
        <f>+D4+D5-D30</f>
        <v>0</v>
      </c>
      <c r="E31" s="92"/>
      <c r="F31" s="92">
        <f t="shared" ref="F31:V31" si="7">+F4+F5-F30</f>
        <v>482376.16999999993</v>
      </c>
      <c r="G31" s="92"/>
      <c r="H31" s="92">
        <f t="shared" si="7"/>
        <v>552608.15999999992</v>
      </c>
      <c r="I31" s="92"/>
      <c r="J31" s="92">
        <f>+J4+J5-J30</f>
        <v>208044.65999999992</v>
      </c>
      <c r="K31" s="92"/>
      <c r="L31" s="92">
        <f t="shared" si="7"/>
        <v>207967.11999999988</v>
      </c>
      <c r="M31" s="92"/>
      <c r="N31" s="92">
        <f t="shared" si="7"/>
        <v>301950.21999999974</v>
      </c>
      <c r="O31" s="92"/>
      <c r="P31" s="92">
        <f t="shared" si="7"/>
        <v>232352.52000000002</v>
      </c>
      <c r="Q31" s="92"/>
      <c r="R31" s="92">
        <f t="shared" si="7"/>
        <v>111430.56999999995</v>
      </c>
      <c r="S31" s="92"/>
      <c r="T31" s="92">
        <f t="shared" si="7"/>
        <v>387846.72000000009</v>
      </c>
      <c r="U31" s="92"/>
      <c r="V31" s="92">
        <f t="shared" si="7"/>
        <v>260524.12000000011</v>
      </c>
      <c r="W31" s="92"/>
      <c r="X31" s="92">
        <f t="shared" si="1"/>
        <v>2745100.26</v>
      </c>
      <c r="Y31" s="92"/>
      <c r="Z31" s="22">
        <f t="shared" si="2"/>
        <v>0</v>
      </c>
      <c r="AA31" s="22"/>
    </row>
    <row r="32" spans="1:27" ht="18" customHeight="1" x14ac:dyDescent="0.55000000000000004">
      <c r="A32" s="88">
        <v>5</v>
      </c>
      <c r="B32" s="99"/>
      <c r="C32" s="84" t="s">
        <v>36</v>
      </c>
      <c r="D32" s="79">
        <f>+D33+D34</f>
        <v>0</v>
      </c>
      <c r="E32" s="79"/>
      <c r="F32" s="79">
        <f t="shared" ref="F32:V32" si="8">+F33+F34</f>
        <v>75239.333333333328</v>
      </c>
      <c r="G32" s="79"/>
      <c r="H32" s="79">
        <f t="shared" si="8"/>
        <v>41535.5</v>
      </c>
      <c r="I32" s="79"/>
      <c r="J32" s="79">
        <f t="shared" si="8"/>
        <v>50245.333333333336</v>
      </c>
      <c r="K32" s="79"/>
      <c r="L32" s="79">
        <f t="shared" si="8"/>
        <v>50289</v>
      </c>
      <c r="M32" s="79"/>
      <c r="N32" s="79">
        <f t="shared" si="8"/>
        <v>74250.166666666672</v>
      </c>
      <c r="O32" s="79"/>
      <c r="P32" s="79">
        <f t="shared" si="8"/>
        <v>60976.666666666664</v>
      </c>
      <c r="Q32" s="79"/>
      <c r="R32" s="79">
        <f t="shared" si="8"/>
        <v>28172</v>
      </c>
      <c r="S32" s="79"/>
      <c r="T32" s="79">
        <f t="shared" si="8"/>
        <v>24482</v>
      </c>
      <c r="U32" s="79"/>
      <c r="V32" s="79">
        <f t="shared" si="8"/>
        <v>133869.33333333334</v>
      </c>
      <c r="W32" s="79"/>
      <c r="X32" s="103">
        <f t="shared" si="1"/>
        <v>539059.33333333337</v>
      </c>
      <c r="Y32" s="103"/>
      <c r="Z32" s="6">
        <f t="shared" si="2"/>
        <v>0</v>
      </c>
      <c r="AA32" s="6"/>
    </row>
    <row r="33" spans="1:27" ht="18" hidden="1" customHeight="1" x14ac:dyDescent="0.55000000000000004">
      <c r="A33" s="88"/>
      <c r="B33" s="99"/>
      <c r="C33" s="84" t="s">
        <v>41</v>
      </c>
      <c r="D33" s="79">
        <f>+D22/12*2</f>
        <v>0</v>
      </c>
      <c r="E33" s="79"/>
      <c r="F33" s="79">
        <f t="shared" ref="F33:V33" si="9">+F22/12*2</f>
        <v>65856</v>
      </c>
      <c r="G33" s="79"/>
      <c r="H33" s="79">
        <f t="shared" si="9"/>
        <v>37285.5</v>
      </c>
      <c r="I33" s="79"/>
      <c r="J33" s="79">
        <f t="shared" si="9"/>
        <v>46662</v>
      </c>
      <c r="K33" s="79"/>
      <c r="L33" s="79">
        <f t="shared" si="9"/>
        <v>45339</v>
      </c>
      <c r="M33" s="79"/>
      <c r="N33" s="79">
        <f t="shared" si="9"/>
        <v>68869.5</v>
      </c>
      <c r="O33" s="79"/>
      <c r="P33" s="79">
        <f t="shared" si="9"/>
        <v>54096</v>
      </c>
      <c r="Q33" s="79"/>
      <c r="R33" s="79">
        <f t="shared" si="9"/>
        <v>23247</v>
      </c>
      <c r="S33" s="79"/>
      <c r="T33" s="79">
        <f t="shared" si="9"/>
        <v>18732</v>
      </c>
      <c r="U33" s="79"/>
      <c r="V33" s="79">
        <f t="shared" si="9"/>
        <v>127386</v>
      </c>
      <c r="W33" s="79"/>
      <c r="X33" s="92">
        <f t="shared" ref="X22:X35" si="10">SUM(D33:V33)</f>
        <v>487473</v>
      </c>
      <c r="Y33" s="92"/>
      <c r="Z33" s="6"/>
      <c r="AA33" s="6"/>
    </row>
    <row r="34" spans="1:27" ht="18" hidden="1" customHeight="1" x14ac:dyDescent="0.55000000000000004">
      <c r="A34" s="88"/>
      <c r="B34" s="99"/>
      <c r="C34" s="84" t="s">
        <v>42</v>
      </c>
      <c r="D34" s="79">
        <f>+D26/12*2</f>
        <v>0</v>
      </c>
      <c r="E34" s="79"/>
      <c r="F34" s="79">
        <f t="shared" ref="F34:V34" si="11">+F26/12*2</f>
        <v>9383.3333333333339</v>
      </c>
      <c r="G34" s="79"/>
      <c r="H34" s="79">
        <f t="shared" si="11"/>
        <v>4250</v>
      </c>
      <c r="I34" s="79"/>
      <c r="J34" s="79">
        <f t="shared" si="11"/>
        <v>3583.3333333333335</v>
      </c>
      <c r="K34" s="79"/>
      <c r="L34" s="79">
        <f t="shared" si="11"/>
        <v>4950</v>
      </c>
      <c r="M34" s="79"/>
      <c r="N34" s="79">
        <f t="shared" si="11"/>
        <v>5380.666666666667</v>
      </c>
      <c r="O34" s="79"/>
      <c r="P34" s="79">
        <f t="shared" si="11"/>
        <v>6880.666666666667</v>
      </c>
      <c r="Q34" s="79"/>
      <c r="R34" s="79">
        <f t="shared" si="11"/>
        <v>4925</v>
      </c>
      <c r="S34" s="79"/>
      <c r="T34" s="79">
        <f t="shared" si="11"/>
        <v>5750</v>
      </c>
      <c r="U34" s="79"/>
      <c r="V34" s="79">
        <f t="shared" si="11"/>
        <v>6483.333333333333</v>
      </c>
      <c r="W34" s="79"/>
      <c r="X34" s="92">
        <f t="shared" si="10"/>
        <v>51586.333333333336</v>
      </c>
      <c r="Y34" s="92"/>
      <c r="Z34" s="6"/>
      <c r="AA34" s="6"/>
    </row>
    <row r="35" spans="1:27" hidden="1" x14ac:dyDescent="0.55000000000000004">
      <c r="A35" s="100">
        <v>6</v>
      </c>
      <c r="B35" s="101"/>
      <c r="C35" s="102" t="s">
        <v>25</v>
      </c>
      <c r="D35" s="103">
        <f>+D31-D32</f>
        <v>0</v>
      </c>
      <c r="E35" s="103"/>
      <c r="F35" s="103">
        <f t="shared" ref="F35:V35" si="12">+F31-F32</f>
        <v>407136.83666666661</v>
      </c>
      <c r="G35" s="103"/>
      <c r="H35" s="103">
        <f t="shared" si="12"/>
        <v>511072.65999999992</v>
      </c>
      <c r="I35" s="103"/>
      <c r="J35" s="103">
        <f t="shared" si="12"/>
        <v>157799.32666666657</v>
      </c>
      <c r="K35" s="103"/>
      <c r="L35" s="103">
        <f t="shared" si="12"/>
        <v>157678.11999999988</v>
      </c>
      <c r="M35" s="103"/>
      <c r="N35" s="103">
        <f t="shared" si="12"/>
        <v>227700.05333333305</v>
      </c>
      <c r="O35" s="103"/>
      <c r="P35" s="103">
        <f t="shared" si="12"/>
        <v>171375.85333333336</v>
      </c>
      <c r="Q35" s="103"/>
      <c r="R35" s="103">
        <f t="shared" si="12"/>
        <v>83258.569999999949</v>
      </c>
      <c r="S35" s="103"/>
      <c r="T35" s="103">
        <f t="shared" si="12"/>
        <v>363364.72000000009</v>
      </c>
      <c r="U35" s="103"/>
      <c r="V35" s="103">
        <f t="shared" si="12"/>
        <v>126654.78666666677</v>
      </c>
      <c r="W35" s="103"/>
      <c r="X35" s="92">
        <f t="shared" si="10"/>
        <v>2206040.9266666663</v>
      </c>
      <c r="Y35" s="92"/>
      <c r="Z35" s="28"/>
      <c r="AA35" s="28"/>
    </row>
    <row r="38" spans="1:27" x14ac:dyDescent="0.55000000000000004">
      <c r="Z38" s="38"/>
      <c r="AA38" s="38"/>
    </row>
  </sheetData>
  <mergeCells count="27">
    <mergeCell ref="A1:X1"/>
    <mergeCell ref="R2:R3"/>
    <mergeCell ref="T2:T3"/>
    <mergeCell ref="V2:V3"/>
    <mergeCell ref="A2:B3"/>
    <mergeCell ref="F2:F3"/>
    <mergeCell ref="H2:H3"/>
    <mergeCell ref="J2:J3"/>
    <mergeCell ref="L2:L3"/>
    <mergeCell ref="N2:N3"/>
    <mergeCell ref="P2:P3"/>
    <mergeCell ref="C2:C3"/>
    <mergeCell ref="D2:D3"/>
    <mergeCell ref="E2:E3"/>
    <mergeCell ref="G2:G3"/>
    <mergeCell ref="I2:I3"/>
    <mergeCell ref="K2:K3"/>
    <mergeCell ref="M2:M3"/>
    <mergeCell ref="O2:O3"/>
    <mergeCell ref="AA2:AA3"/>
    <mergeCell ref="Q2:Q3"/>
    <mergeCell ref="S2:S3"/>
    <mergeCell ref="U2:U3"/>
    <mergeCell ref="W2:W3"/>
    <mergeCell ref="Z2:Z3"/>
    <mergeCell ref="Y2:Y3"/>
    <mergeCell ref="X2:X3"/>
  </mergeCells>
  <printOptions horizontalCentered="1"/>
  <pageMargins left="0.15748031496062992" right="0.15748031496062992" top="0.19685039370078741" bottom="0.19685039370078741" header="0.11811023622047245" footer="0.11811023622047245"/>
  <pageSetup paperSize="5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8"/>
  <sheetViews>
    <sheetView view="pageBreakPreview" zoomScale="120" zoomScaleNormal="110" zoomScaleSheetLayoutView="120" workbookViewId="0">
      <pane xSplit="3" ySplit="3" topLeftCell="E19" activePane="bottomRight" state="frozen"/>
      <selection activeCell="G16" sqref="G16"/>
      <selection pane="topRight" activeCell="G16" sqref="G16"/>
      <selection pane="bottomLeft" activeCell="G16" sqref="G16"/>
      <selection pane="bottomRight" activeCell="S28" sqref="S28"/>
    </sheetView>
  </sheetViews>
  <sheetFormatPr defaultRowHeight="24" x14ac:dyDescent="0.55000000000000004"/>
  <cols>
    <col min="1" max="2" width="3.875" style="1" customWidth="1"/>
    <col min="3" max="3" width="20.875" style="1" customWidth="1"/>
    <col min="4" max="4" width="7.375" style="1" bestFit="1" customWidth="1"/>
    <col min="5" max="5" width="6.125" style="1" customWidth="1"/>
    <col min="6" max="6" width="9.125" style="1" bestFit="1" customWidth="1"/>
    <col min="7" max="7" width="6.125" style="1" customWidth="1"/>
    <col min="8" max="8" width="7.375" style="1" bestFit="1" customWidth="1"/>
    <col min="9" max="9" width="6.125" style="1" customWidth="1"/>
    <col min="10" max="10" width="7.375" style="1" bestFit="1" customWidth="1"/>
    <col min="11" max="11" width="6.125" style="1" customWidth="1"/>
    <col min="12" max="12" width="7.375" style="1" bestFit="1" customWidth="1"/>
    <col min="13" max="13" width="6.125" style="1" customWidth="1"/>
    <col min="14" max="14" width="7.375" style="1" bestFit="1" customWidth="1"/>
    <col min="15" max="15" width="6.125" style="1" customWidth="1"/>
    <col min="16" max="16" width="8" style="1" bestFit="1" customWidth="1"/>
    <col min="17" max="17" width="8.875" style="1" bestFit="1" customWidth="1"/>
    <col min="18" max="19" width="7.125" style="1" customWidth="1"/>
    <col min="20" max="16384" width="9" style="1"/>
  </cols>
  <sheetData>
    <row r="1" spans="1:19" ht="16.5" customHeight="1" x14ac:dyDescent="0.55000000000000004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9" ht="18" customHeight="1" x14ac:dyDescent="0.55000000000000004">
      <c r="A2" s="197" t="s">
        <v>0</v>
      </c>
      <c r="B2" s="198"/>
      <c r="C2" s="201" t="s">
        <v>35</v>
      </c>
      <c r="D2" s="78" t="s">
        <v>75</v>
      </c>
      <c r="E2" s="203" t="s">
        <v>165</v>
      </c>
      <c r="F2" s="44" t="s">
        <v>76</v>
      </c>
      <c r="G2" s="203" t="s">
        <v>165</v>
      </c>
      <c r="H2" s="44" t="s">
        <v>76</v>
      </c>
      <c r="I2" s="203" t="s">
        <v>165</v>
      </c>
      <c r="J2" s="44" t="s">
        <v>76</v>
      </c>
      <c r="K2" s="203" t="s">
        <v>165</v>
      </c>
      <c r="L2" s="44" t="s">
        <v>76</v>
      </c>
      <c r="M2" s="203" t="s">
        <v>165</v>
      </c>
      <c r="N2" s="44" t="s">
        <v>76</v>
      </c>
      <c r="O2" s="203" t="s">
        <v>165</v>
      </c>
      <c r="P2" s="194" t="s">
        <v>166</v>
      </c>
      <c r="Q2" s="194" t="s">
        <v>159</v>
      </c>
      <c r="R2" s="194" t="s">
        <v>167</v>
      </c>
      <c r="S2" s="194" t="s">
        <v>168</v>
      </c>
    </row>
    <row r="3" spans="1:19" ht="28.5" customHeight="1" x14ac:dyDescent="0.55000000000000004">
      <c r="A3" s="199"/>
      <c r="B3" s="200"/>
      <c r="C3" s="202"/>
      <c r="D3" s="46" t="s">
        <v>80</v>
      </c>
      <c r="E3" s="206"/>
      <c r="F3" s="45" t="s">
        <v>83</v>
      </c>
      <c r="G3" s="206"/>
      <c r="H3" s="45" t="s">
        <v>84</v>
      </c>
      <c r="I3" s="206"/>
      <c r="J3" s="45" t="s">
        <v>85</v>
      </c>
      <c r="K3" s="206"/>
      <c r="L3" s="45" t="s">
        <v>87</v>
      </c>
      <c r="M3" s="206"/>
      <c r="N3" s="45" t="s">
        <v>86</v>
      </c>
      <c r="O3" s="206"/>
      <c r="P3" s="195"/>
      <c r="Q3" s="195"/>
      <c r="R3" s="195"/>
      <c r="S3" s="195"/>
    </row>
    <row r="4" spans="1:19" s="173" customFormat="1" ht="16.5" customHeight="1" x14ac:dyDescent="0.2">
      <c r="A4" s="52">
        <v>1</v>
      </c>
      <c r="B4" s="53"/>
      <c r="C4" s="170" t="s">
        <v>22</v>
      </c>
      <c r="D4" s="171">
        <v>141138.34</v>
      </c>
      <c r="E4" s="171"/>
      <c r="F4" s="171">
        <v>400651.26</v>
      </c>
      <c r="G4" s="171"/>
      <c r="H4" s="171">
        <v>290270.59000000003</v>
      </c>
      <c r="I4" s="171"/>
      <c r="J4" s="171">
        <v>193932.11</v>
      </c>
      <c r="K4" s="171"/>
      <c r="L4" s="171">
        <v>94694.45</v>
      </c>
      <c r="M4" s="171"/>
      <c r="N4" s="171">
        <v>334633.46000000002</v>
      </c>
      <c r="O4" s="171"/>
      <c r="P4" s="55">
        <f>+D4+F4+H4+J4+L4+N4</f>
        <v>1455320.21</v>
      </c>
      <c r="Q4" s="154">
        <f>+P4*100/P18</f>
        <v>9.6241555901137712</v>
      </c>
      <c r="R4" s="172">
        <f>+E4+G4+I4+K4+M4+O4</f>
        <v>0</v>
      </c>
      <c r="S4" s="172"/>
    </row>
    <row r="5" spans="1:19" s="51" customFormat="1" ht="16.5" customHeight="1" x14ac:dyDescent="0.2">
      <c r="A5" s="52">
        <v>2</v>
      </c>
      <c r="B5" s="53"/>
      <c r="C5" s="54" t="s">
        <v>38</v>
      </c>
      <c r="D5" s="55">
        <f>+D6+D7+D14+D15+D16+D17</f>
        <v>1625224</v>
      </c>
      <c r="E5" s="55"/>
      <c r="F5" s="55">
        <f t="shared" ref="F5:L5" si="0">+F6+F7+F14+F15+F16+F17</f>
        <v>1915030.6900000002</v>
      </c>
      <c r="G5" s="55"/>
      <c r="H5" s="55">
        <f>+H6+H7+H14+H15+H16+H17</f>
        <v>3404559.4299999997</v>
      </c>
      <c r="I5" s="55"/>
      <c r="J5" s="55">
        <f t="shared" si="0"/>
        <v>1513494.2799999998</v>
      </c>
      <c r="K5" s="55"/>
      <c r="L5" s="55">
        <f t="shared" si="0"/>
        <v>3497988.99</v>
      </c>
      <c r="M5" s="55"/>
      <c r="N5" s="55">
        <f>+N6+N7+N14+N15+N16+N17</f>
        <v>1709919</v>
      </c>
      <c r="O5" s="55"/>
      <c r="P5" s="55">
        <f t="shared" ref="P5:P32" si="1">+D5+F5+H5+J5+L5+N5</f>
        <v>13666216.390000001</v>
      </c>
      <c r="Q5" s="154">
        <f>+P5*100/P18</f>
        <v>90.375844409886213</v>
      </c>
      <c r="R5" s="172">
        <f t="shared" ref="R5:R32" si="2">+E5+G5+I5+K5+M5+O5</f>
        <v>0</v>
      </c>
      <c r="S5" s="172"/>
    </row>
    <row r="6" spans="1:19" s="51" customFormat="1" ht="16.5" customHeight="1" x14ac:dyDescent="0.2">
      <c r="A6" s="47"/>
      <c r="B6" s="48">
        <v>2.1</v>
      </c>
      <c r="C6" s="56" t="s">
        <v>23</v>
      </c>
      <c r="D6" s="50"/>
      <c r="E6" s="50"/>
      <c r="F6" s="50">
        <v>190</v>
      </c>
      <c r="G6" s="50"/>
      <c r="H6" s="50">
        <v>5240.1499999999996</v>
      </c>
      <c r="I6" s="50"/>
      <c r="J6" s="50">
        <v>620</v>
      </c>
      <c r="K6" s="50"/>
      <c r="L6" s="50">
        <v>19958.330000000002</v>
      </c>
      <c r="M6" s="50"/>
      <c r="N6" s="50">
        <v>15603</v>
      </c>
      <c r="O6" s="50"/>
      <c r="P6" s="50">
        <f t="shared" si="1"/>
        <v>41611.480000000003</v>
      </c>
      <c r="Q6" s="135">
        <f>+P6*100/P18</f>
        <v>0.27518023532079405</v>
      </c>
      <c r="R6" s="129">
        <f t="shared" si="2"/>
        <v>0</v>
      </c>
      <c r="S6" s="129"/>
    </row>
    <row r="7" spans="1:19" s="51" customFormat="1" ht="16.5" customHeight="1" x14ac:dyDescent="0.2">
      <c r="A7" s="52"/>
      <c r="B7" s="53">
        <v>2.2000000000000002</v>
      </c>
      <c r="C7" s="54" t="s">
        <v>24</v>
      </c>
      <c r="D7" s="55">
        <f>SUM(D8:D12)</f>
        <v>1252030</v>
      </c>
      <c r="E7" s="55"/>
      <c r="F7" s="55">
        <f t="shared" ref="F7:N7" si="3">SUM(F8:F12)</f>
        <v>1694551.1</v>
      </c>
      <c r="G7" s="55"/>
      <c r="H7" s="55">
        <f t="shared" si="3"/>
        <v>3139930.86</v>
      </c>
      <c r="I7" s="55"/>
      <c r="J7" s="55">
        <f t="shared" si="3"/>
        <v>1132676.75</v>
      </c>
      <c r="K7" s="55"/>
      <c r="L7" s="55">
        <f t="shared" si="3"/>
        <v>2644683.27</v>
      </c>
      <c r="M7" s="55"/>
      <c r="N7" s="55">
        <f t="shared" si="3"/>
        <v>1505750</v>
      </c>
      <c r="O7" s="55"/>
      <c r="P7" s="55">
        <f t="shared" si="1"/>
        <v>11369621.98</v>
      </c>
      <c r="Q7" s="55"/>
      <c r="R7" s="172">
        <f t="shared" si="2"/>
        <v>0</v>
      </c>
      <c r="S7" s="172"/>
    </row>
    <row r="8" spans="1:19" s="51" customFormat="1" ht="16.5" customHeight="1" x14ac:dyDescent="0.2">
      <c r="A8" s="47"/>
      <c r="B8" s="48"/>
      <c r="C8" s="49" t="s">
        <v>17</v>
      </c>
      <c r="D8" s="50"/>
      <c r="E8" s="50"/>
      <c r="F8" s="50">
        <v>504000.1</v>
      </c>
      <c r="G8" s="50"/>
      <c r="H8" s="50">
        <v>911370.86</v>
      </c>
      <c r="I8" s="50"/>
      <c r="J8" s="50">
        <v>281470.08000000002</v>
      </c>
      <c r="K8" s="50"/>
      <c r="L8" s="50">
        <v>545000</v>
      </c>
      <c r="M8" s="50"/>
      <c r="N8" s="50">
        <v>313246</v>
      </c>
      <c r="O8" s="50"/>
      <c r="P8" s="50">
        <f t="shared" si="1"/>
        <v>2555087.04</v>
      </c>
      <c r="Q8" s="135">
        <f>+P8*100/P18</f>
        <v>16.897006617700477</v>
      </c>
      <c r="R8" s="129">
        <f t="shared" si="2"/>
        <v>0</v>
      </c>
      <c r="S8" s="129"/>
    </row>
    <row r="9" spans="1:19" s="51" customFormat="1" ht="16.5" customHeight="1" x14ac:dyDescent="0.2">
      <c r="A9" s="47"/>
      <c r="B9" s="48"/>
      <c r="C9" s="49" t="s">
        <v>65</v>
      </c>
      <c r="D9" s="50"/>
      <c r="E9" s="50"/>
      <c r="F9" s="50">
        <v>240000</v>
      </c>
      <c r="G9" s="50"/>
      <c r="H9" s="50">
        <v>264000</v>
      </c>
      <c r="I9" s="50"/>
      <c r="J9" s="50">
        <v>240000</v>
      </c>
      <c r="K9" s="50"/>
      <c r="L9" s="50">
        <v>264000</v>
      </c>
      <c r="M9" s="50"/>
      <c r="N9" s="50">
        <v>240000</v>
      </c>
      <c r="O9" s="50"/>
      <c r="P9" s="50">
        <f t="shared" si="1"/>
        <v>1248000</v>
      </c>
      <c r="Q9" s="135">
        <f>+P9*100/P18</f>
        <v>8.2531295133062059</v>
      </c>
      <c r="R9" s="129">
        <f t="shared" si="2"/>
        <v>0</v>
      </c>
      <c r="S9" s="129"/>
    </row>
    <row r="10" spans="1:19" s="51" customFormat="1" ht="16.5" customHeight="1" x14ac:dyDescent="0.2">
      <c r="A10" s="47"/>
      <c r="B10" s="48"/>
      <c r="C10" s="49" t="s">
        <v>14</v>
      </c>
      <c r="D10" s="50">
        <v>1252030</v>
      </c>
      <c r="E10" s="50"/>
      <c r="F10" s="50">
        <v>88000</v>
      </c>
      <c r="G10" s="50"/>
      <c r="H10" s="50">
        <v>362188</v>
      </c>
      <c r="I10" s="169"/>
      <c r="J10" s="104">
        <v>108766.67</v>
      </c>
      <c r="K10" s="104"/>
      <c r="L10" s="50">
        <v>248563.27</v>
      </c>
      <c r="M10" s="50"/>
      <c r="N10" s="50">
        <v>103212</v>
      </c>
      <c r="O10" s="50"/>
      <c r="P10" s="50">
        <f t="shared" si="1"/>
        <v>2162759.94</v>
      </c>
      <c r="Q10" s="135">
        <f>+P10*100/P18</f>
        <v>14.302514335745482</v>
      </c>
      <c r="R10" s="129">
        <f t="shared" si="2"/>
        <v>0</v>
      </c>
      <c r="S10" s="129"/>
    </row>
    <row r="11" spans="1:19" s="51" customFormat="1" ht="16.5" customHeight="1" x14ac:dyDescent="0.2">
      <c r="A11" s="47"/>
      <c r="B11" s="48"/>
      <c r="C11" s="58" t="s">
        <v>64</v>
      </c>
      <c r="D11" s="50"/>
      <c r="E11" s="50"/>
      <c r="F11" s="50">
        <f>151200+19800</f>
        <v>171000</v>
      </c>
      <c r="G11" s="50"/>
      <c r="H11" s="50">
        <v>151200</v>
      </c>
      <c r="I11" s="50"/>
      <c r="J11" s="50">
        <v>151200</v>
      </c>
      <c r="K11" s="50"/>
      <c r="L11" s="50">
        <f>151200+84000</f>
        <v>235200</v>
      </c>
      <c r="M11" s="50"/>
      <c r="N11" s="50">
        <v>151200</v>
      </c>
      <c r="O11" s="50"/>
      <c r="P11" s="50">
        <f t="shared" si="1"/>
        <v>859800</v>
      </c>
      <c r="Q11" s="135">
        <f>+P11*100/P18</f>
        <v>5.6859300925806702</v>
      </c>
      <c r="R11" s="129">
        <f t="shared" si="2"/>
        <v>0</v>
      </c>
      <c r="S11" s="129"/>
    </row>
    <row r="12" spans="1:19" s="51" customFormat="1" ht="16.5" customHeight="1" x14ac:dyDescent="0.2">
      <c r="A12" s="47"/>
      <c r="B12" s="48"/>
      <c r="C12" s="49" t="s">
        <v>10</v>
      </c>
      <c r="D12" s="50"/>
      <c r="E12" s="50"/>
      <c r="F12" s="50">
        <f>658620+32931</f>
        <v>691551</v>
      </c>
      <c r="G12" s="50"/>
      <c r="H12" s="50">
        <v>1451172</v>
      </c>
      <c r="I12" s="50"/>
      <c r="J12" s="50">
        <v>351240</v>
      </c>
      <c r="K12" s="50"/>
      <c r="L12" s="56">
        <v>1351920</v>
      </c>
      <c r="M12" s="56"/>
      <c r="N12" s="50">
        <v>698092</v>
      </c>
      <c r="O12" s="50"/>
      <c r="P12" s="50">
        <f t="shared" si="1"/>
        <v>4543975</v>
      </c>
      <c r="Q12" s="135">
        <f>+P12*100/P18</f>
        <v>30.049690849539719</v>
      </c>
      <c r="R12" s="129">
        <f t="shared" si="2"/>
        <v>0</v>
      </c>
      <c r="S12" s="129"/>
    </row>
    <row r="13" spans="1:19" s="51" customFormat="1" ht="16.5" customHeight="1" x14ac:dyDescent="0.2">
      <c r="A13" s="47"/>
      <c r="B13" s="48"/>
      <c r="C13" s="49" t="s">
        <v>70</v>
      </c>
      <c r="D13" s="50"/>
      <c r="E13" s="50"/>
      <c r="F13" s="50"/>
      <c r="G13" s="50"/>
      <c r="H13" s="50"/>
      <c r="I13" s="50"/>
      <c r="J13" s="50"/>
      <c r="K13" s="50"/>
      <c r="L13" s="59"/>
      <c r="M13" s="59"/>
      <c r="N13" s="50"/>
      <c r="O13" s="50"/>
      <c r="P13" s="50">
        <f t="shared" si="1"/>
        <v>0</v>
      </c>
      <c r="Q13" s="50"/>
      <c r="R13" s="129">
        <f t="shared" si="2"/>
        <v>0</v>
      </c>
      <c r="S13" s="129"/>
    </row>
    <row r="14" spans="1:19" s="51" customFormat="1" ht="16.5" customHeight="1" x14ac:dyDescent="0.2">
      <c r="A14" s="47"/>
      <c r="B14" s="60">
        <v>2.2999999999999998</v>
      </c>
      <c r="C14" s="49" t="s">
        <v>44</v>
      </c>
      <c r="D14" s="50"/>
      <c r="E14" s="50"/>
      <c r="F14" s="50">
        <v>1989.59</v>
      </c>
      <c r="G14" s="50"/>
      <c r="H14" s="50">
        <v>1141.76</v>
      </c>
      <c r="I14" s="50"/>
      <c r="J14" s="50">
        <v>1273.8800000000001</v>
      </c>
      <c r="K14" s="50"/>
      <c r="L14" s="50">
        <v>1311.64</v>
      </c>
      <c r="M14" s="50"/>
      <c r="N14" s="50">
        <v>1450</v>
      </c>
      <c r="O14" s="50"/>
      <c r="P14" s="50">
        <f t="shared" si="1"/>
        <v>7166.87</v>
      </c>
      <c r="Q14" s="135">
        <f>+P14*100/P18</f>
        <v>4.7395117239606453E-2</v>
      </c>
      <c r="R14" s="129">
        <f t="shared" si="2"/>
        <v>0</v>
      </c>
      <c r="S14" s="129"/>
    </row>
    <row r="15" spans="1:19" s="51" customFormat="1" ht="16.5" customHeight="1" x14ac:dyDescent="0.2">
      <c r="A15" s="61"/>
      <c r="B15" s="62">
        <v>2.4</v>
      </c>
      <c r="C15" s="63" t="s">
        <v>66</v>
      </c>
      <c r="D15" s="50">
        <v>361194</v>
      </c>
      <c r="E15" s="50"/>
      <c r="F15" s="50">
        <f>203803+14497</f>
        <v>218300</v>
      </c>
      <c r="G15" s="50"/>
      <c r="H15" s="50">
        <f>158751.67+89407.75</f>
        <v>248159.42</v>
      </c>
      <c r="I15" s="50"/>
      <c r="J15" s="50"/>
      <c r="K15" s="50"/>
      <c r="L15" s="50">
        <v>441895.48</v>
      </c>
      <c r="M15" s="50"/>
      <c r="N15" s="50">
        <v>187116</v>
      </c>
      <c r="O15" s="50"/>
      <c r="P15" s="50">
        <f t="shared" si="1"/>
        <v>1456664.9</v>
      </c>
      <c r="Q15" s="135">
        <f>+P15*100/P18</f>
        <v>9.6330481387718212</v>
      </c>
      <c r="R15" s="130">
        <f t="shared" si="2"/>
        <v>0</v>
      </c>
      <c r="S15" s="130"/>
    </row>
    <row r="16" spans="1:19" s="51" customFormat="1" ht="16.5" customHeight="1" x14ac:dyDescent="0.2">
      <c r="A16" s="61"/>
      <c r="B16" s="62">
        <v>2.5</v>
      </c>
      <c r="C16" s="63" t="s">
        <v>92</v>
      </c>
      <c r="D16" s="50"/>
      <c r="E16" s="50"/>
      <c r="F16" s="50"/>
      <c r="G16" s="50"/>
      <c r="H16" s="50"/>
      <c r="I16" s="50"/>
      <c r="J16" s="50">
        <v>143580</v>
      </c>
      <c r="K16" s="50"/>
      <c r="L16" s="50">
        <v>380220</v>
      </c>
      <c r="M16" s="50"/>
      <c r="N16" s="50"/>
      <c r="O16" s="50"/>
      <c r="P16" s="50">
        <f t="shared" si="1"/>
        <v>523800</v>
      </c>
      <c r="Q16" s="135">
        <f>+P16*100/P18</f>
        <v>3.4639336851520759</v>
      </c>
      <c r="R16" s="129">
        <f t="shared" si="2"/>
        <v>0</v>
      </c>
      <c r="S16" s="129"/>
    </row>
    <row r="17" spans="1:19" s="51" customFormat="1" ht="16.5" customHeight="1" x14ac:dyDescent="0.2">
      <c r="A17" s="61"/>
      <c r="B17" s="62">
        <v>2.6</v>
      </c>
      <c r="C17" s="63" t="s">
        <v>43</v>
      </c>
      <c r="D17" s="50">
        <v>12000</v>
      </c>
      <c r="E17" s="50"/>
      <c r="F17" s="50"/>
      <c r="G17" s="50"/>
      <c r="H17" s="50">
        <v>10087.24</v>
      </c>
      <c r="I17" s="50"/>
      <c r="J17" s="50">
        <f>19568+215775.65</f>
        <v>235343.65</v>
      </c>
      <c r="K17" s="50"/>
      <c r="L17" s="50">
        <v>9920.27</v>
      </c>
      <c r="M17" s="50"/>
      <c r="N17" s="50"/>
      <c r="O17" s="50"/>
      <c r="P17" s="50">
        <f t="shared" si="1"/>
        <v>267351.15999999997</v>
      </c>
      <c r="Q17" s="135">
        <f>+P17*100/P18</f>
        <v>1.7680158245293665</v>
      </c>
      <c r="R17" s="130">
        <f t="shared" si="2"/>
        <v>0</v>
      </c>
      <c r="S17" s="130"/>
    </row>
    <row r="18" spans="1:19" s="51" customFormat="1" ht="16.5" customHeight="1" x14ac:dyDescent="0.2">
      <c r="A18" s="64"/>
      <c r="B18" s="65"/>
      <c r="C18" s="66" t="s">
        <v>40</v>
      </c>
      <c r="D18" s="67">
        <f>+D4+D5</f>
        <v>1766362.34</v>
      </c>
      <c r="E18" s="67"/>
      <c r="F18" s="67">
        <f t="shared" ref="F18:N18" si="4">+F4+F5</f>
        <v>2315681.9500000002</v>
      </c>
      <c r="G18" s="67"/>
      <c r="H18" s="67">
        <f t="shared" si="4"/>
        <v>3694830.0199999996</v>
      </c>
      <c r="I18" s="67"/>
      <c r="J18" s="67">
        <f t="shared" si="4"/>
        <v>1707426.3899999997</v>
      </c>
      <c r="K18" s="67"/>
      <c r="L18" s="67">
        <f t="shared" si="4"/>
        <v>3592683.4400000004</v>
      </c>
      <c r="M18" s="67"/>
      <c r="N18" s="67">
        <f t="shared" si="4"/>
        <v>2044552.46</v>
      </c>
      <c r="O18" s="67"/>
      <c r="P18" s="67">
        <f t="shared" si="1"/>
        <v>15121536.600000001</v>
      </c>
      <c r="Q18" s="190">
        <v>100</v>
      </c>
      <c r="R18" s="22">
        <f t="shared" si="2"/>
        <v>0</v>
      </c>
      <c r="S18" s="22"/>
    </row>
    <row r="19" spans="1:19" s="51" customFormat="1" ht="16.5" customHeight="1" x14ac:dyDescent="0.2">
      <c r="A19" s="68">
        <v>3</v>
      </c>
      <c r="B19" s="69"/>
      <c r="C19" s="70" t="s">
        <v>1</v>
      </c>
      <c r="D19" s="55">
        <f>SUM(D20:D29)</f>
        <v>1610030</v>
      </c>
      <c r="E19" s="55"/>
      <c r="F19" s="55">
        <f t="shared" ref="F19:N19" si="5">SUM(F20:F29)</f>
        <v>1820382.28</v>
      </c>
      <c r="G19" s="55"/>
      <c r="H19" s="55">
        <f t="shared" si="5"/>
        <v>2475847.35</v>
      </c>
      <c r="I19" s="55"/>
      <c r="J19" s="55">
        <f t="shared" si="5"/>
        <v>1429270.44</v>
      </c>
      <c r="K19" s="55"/>
      <c r="L19" s="55">
        <f t="shared" si="5"/>
        <v>3367650</v>
      </c>
      <c r="M19" s="55"/>
      <c r="N19" s="55">
        <f t="shared" si="5"/>
        <v>1927290</v>
      </c>
      <c r="O19" s="55"/>
      <c r="P19" s="55">
        <f t="shared" si="1"/>
        <v>12630470.07</v>
      </c>
      <c r="Q19" s="55"/>
      <c r="R19" s="174">
        <f t="shared" si="2"/>
        <v>0</v>
      </c>
      <c r="S19" s="174"/>
    </row>
    <row r="20" spans="1:19" s="51" customFormat="1" ht="16.5" customHeight="1" x14ac:dyDescent="0.2">
      <c r="A20" s="61"/>
      <c r="B20" s="62">
        <v>3.1</v>
      </c>
      <c r="C20" s="63" t="s">
        <v>17</v>
      </c>
      <c r="D20" s="50"/>
      <c r="E20" s="50"/>
      <c r="F20" s="50">
        <v>251716.28</v>
      </c>
      <c r="G20" s="50"/>
      <c r="H20" s="50">
        <v>185797.19</v>
      </c>
      <c r="I20" s="50"/>
      <c r="J20" s="50">
        <v>197350.44</v>
      </c>
      <c r="K20" s="50"/>
      <c r="L20" s="50">
        <v>594000</v>
      </c>
      <c r="M20" s="50"/>
      <c r="N20" s="50">
        <v>359806</v>
      </c>
      <c r="O20" s="50"/>
      <c r="P20" s="50">
        <f t="shared" si="1"/>
        <v>1588669.91</v>
      </c>
      <c r="Q20" s="135">
        <f>+P20*100/P30</f>
        <v>12.578074301236201</v>
      </c>
      <c r="R20" s="129">
        <f t="shared" si="2"/>
        <v>0</v>
      </c>
      <c r="S20" s="129"/>
    </row>
    <row r="21" spans="1:19" s="51" customFormat="1" ht="16.5" customHeight="1" x14ac:dyDescent="0.2">
      <c r="A21" s="61"/>
      <c r="B21" s="62">
        <v>3.2</v>
      </c>
      <c r="C21" s="58" t="s">
        <v>14</v>
      </c>
      <c r="D21" s="50">
        <v>1252030</v>
      </c>
      <c r="E21" s="50"/>
      <c r="F21" s="50">
        <v>90000</v>
      </c>
      <c r="G21" s="50"/>
      <c r="H21" s="50">
        <v>171500</v>
      </c>
      <c r="I21" s="50"/>
      <c r="J21" s="50">
        <v>250610</v>
      </c>
      <c r="K21" s="50"/>
      <c r="L21" s="50">
        <v>568270</v>
      </c>
      <c r="M21" s="50"/>
      <c r="N21" s="50">
        <v>202195</v>
      </c>
      <c r="O21" s="50"/>
      <c r="P21" s="50">
        <f t="shared" si="1"/>
        <v>2534605</v>
      </c>
      <c r="Q21" s="135">
        <f>+P21*100/P30</f>
        <v>20.067384554595598</v>
      </c>
      <c r="R21" s="129">
        <f t="shared" si="2"/>
        <v>0</v>
      </c>
      <c r="S21" s="129"/>
    </row>
    <row r="22" spans="1:19" s="51" customFormat="1" ht="16.5" customHeight="1" x14ac:dyDescent="0.2">
      <c r="A22" s="61"/>
      <c r="B22" s="62">
        <v>3.3</v>
      </c>
      <c r="C22" s="49" t="s">
        <v>10</v>
      </c>
      <c r="D22" s="50"/>
      <c r="E22" s="50"/>
      <c r="F22" s="50">
        <f>403200+112920+127140+97320+32931</f>
        <v>773511</v>
      </c>
      <c r="G22" s="50"/>
      <c r="H22" s="50">
        <f>197280+126360+402000+109320+110040+94080+94080+93120+126360</f>
        <v>1352640</v>
      </c>
      <c r="I22" s="50"/>
      <c r="J22" s="50">
        <f>123600+129960+97680</f>
        <v>351240</v>
      </c>
      <c r="K22" s="50"/>
      <c r="L22" s="50">
        <f>206400+191520+204000+204000+134400+120000+130800+130800</f>
        <v>1321920</v>
      </c>
      <c r="M22" s="50"/>
      <c r="N22" s="50">
        <f>27737+201600+251520+93120</f>
        <v>573977</v>
      </c>
      <c r="O22" s="50"/>
      <c r="P22" s="50">
        <f t="shared" si="1"/>
        <v>4373288</v>
      </c>
      <c r="Q22" s="135">
        <f>+P22*100/P30</f>
        <v>34.624902919389129</v>
      </c>
      <c r="R22" s="129">
        <f t="shared" si="2"/>
        <v>0</v>
      </c>
      <c r="S22" s="129"/>
    </row>
    <row r="23" spans="1:19" s="51" customFormat="1" ht="16.5" customHeight="1" x14ac:dyDescent="0.2">
      <c r="A23" s="61"/>
      <c r="B23" s="62">
        <v>3.4</v>
      </c>
      <c r="C23" s="58" t="s">
        <v>64</v>
      </c>
      <c r="D23" s="50"/>
      <c r="E23" s="50"/>
      <c r="F23" s="50">
        <f>200000+93000</f>
        <v>293000</v>
      </c>
      <c r="G23" s="50"/>
      <c r="H23" s="50">
        <f>208106.67+76300</f>
        <v>284406.67000000004</v>
      </c>
      <c r="I23" s="50"/>
      <c r="J23" s="50">
        <f>151200+152400</f>
        <v>303600</v>
      </c>
      <c r="K23" s="50"/>
      <c r="L23" s="50">
        <f>165000+80000</f>
        <v>245000</v>
      </c>
      <c r="M23" s="50"/>
      <c r="N23" s="50">
        <f>160014+112800</f>
        <v>272814</v>
      </c>
      <c r="O23" s="50"/>
      <c r="P23" s="50">
        <f t="shared" si="1"/>
        <v>1398820.67</v>
      </c>
      <c r="Q23" s="135">
        <f>+P23*100/P30</f>
        <v>11.074969199463848</v>
      </c>
      <c r="R23" s="129">
        <f t="shared" si="2"/>
        <v>0</v>
      </c>
      <c r="S23" s="129"/>
    </row>
    <row r="24" spans="1:19" s="51" customFormat="1" ht="16.5" customHeight="1" x14ac:dyDescent="0.2">
      <c r="A24" s="61"/>
      <c r="B24" s="62">
        <v>3.5</v>
      </c>
      <c r="C24" s="58" t="s">
        <v>11</v>
      </c>
      <c r="D24" s="50">
        <f>50000+10000+30000+16000+30000+40000+95000+50000</f>
        <v>321000</v>
      </c>
      <c r="E24" s="50"/>
      <c r="F24" s="50">
        <f>31000+50000+50000+1000</f>
        <v>132000</v>
      </c>
      <c r="G24" s="50"/>
      <c r="H24" s="50">
        <v>207820.2</v>
      </c>
      <c r="I24" s="50"/>
      <c r="J24" s="50">
        <f>20000+10000+80000+20000+30000</f>
        <v>160000</v>
      </c>
      <c r="K24" s="50"/>
      <c r="L24" s="50">
        <f>15000+15000+30000+72000+35000+25000+25000+15000+18000+15000</f>
        <v>265000</v>
      </c>
      <c r="M24" s="50"/>
      <c r="N24" s="50">
        <f>40468+200000+72000</f>
        <v>312468</v>
      </c>
      <c r="O24" s="50"/>
      <c r="P24" s="50">
        <f t="shared" si="1"/>
        <v>1398288.2</v>
      </c>
      <c r="Q24" s="135">
        <f>+P24*100/P30</f>
        <v>11.070753441878827</v>
      </c>
      <c r="R24" s="129">
        <f t="shared" si="2"/>
        <v>0</v>
      </c>
      <c r="S24" s="129"/>
    </row>
    <row r="25" spans="1:19" s="51" customFormat="1" ht="16.5" customHeight="1" x14ac:dyDescent="0.2">
      <c r="A25" s="61"/>
      <c r="B25" s="62">
        <v>3.6</v>
      </c>
      <c r="C25" s="58" t="s">
        <v>12</v>
      </c>
      <c r="D25" s="50">
        <f>17000+20000</f>
        <v>37000</v>
      </c>
      <c r="E25" s="50"/>
      <c r="F25" s="50">
        <v>60755</v>
      </c>
      <c r="G25" s="50"/>
      <c r="H25" s="50">
        <v>154726.17000000001</v>
      </c>
      <c r="I25" s="50"/>
      <c r="J25" s="50">
        <f>20870+17580+24720+21300</f>
        <v>84470</v>
      </c>
      <c r="K25" s="50"/>
      <c r="L25" s="50">
        <f>39760+37500+32000+42700+24000</f>
        <v>175960</v>
      </c>
      <c r="M25" s="50"/>
      <c r="N25" s="50">
        <f>36000+10000+35030+30000</f>
        <v>111030</v>
      </c>
      <c r="O25" s="50"/>
      <c r="P25" s="50">
        <f t="shared" si="1"/>
        <v>623941.17000000004</v>
      </c>
      <c r="Q25" s="135">
        <f>+P25*100/P30</f>
        <v>4.9399679231415972</v>
      </c>
      <c r="R25" s="129">
        <f t="shared" si="2"/>
        <v>0</v>
      </c>
      <c r="S25" s="129"/>
    </row>
    <row r="26" spans="1:19" s="51" customFormat="1" ht="16.5" customHeight="1" x14ac:dyDescent="0.2">
      <c r="A26" s="61"/>
      <c r="B26" s="62">
        <v>3.7</v>
      </c>
      <c r="C26" s="58" t="s">
        <v>13</v>
      </c>
      <c r="D26" s="50"/>
      <c r="E26" s="50"/>
      <c r="F26" s="50">
        <v>51000</v>
      </c>
      <c r="G26" s="50"/>
      <c r="H26" s="50">
        <v>50957.120000000003</v>
      </c>
      <c r="I26" s="50"/>
      <c r="J26" s="50">
        <v>52000</v>
      </c>
      <c r="K26" s="50"/>
      <c r="L26" s="50">
        <f>90000+10000</f>
        <v>100000</v>
      </c>
      <c r="M26" s="50"/>
      <c r="N26" s="50">
        <v>35000</v>
      </c>
      <c r="O26" s="50"/>
      <c r="P26" s="50">
        <f t="shared" si="1"/>
        <v>288957.12</v>
      </c>
      <c r="Q26" s="135">
        <f>+P26*100/P30</f>
        <v>2.2877780351685675</v>
      </c>
      <c r="R26" s="129">
        <f t="shared" si="2"/>
        <v>0</v>
      </c>
      <c r="S26" s="129"/>
    </row>
    <row r="27" spans="1:19" s="51" customFormat="1" ht="16.5" customHeight="1" x14ac:dyDescent="0.2">
      <c r="A27" s="61"/>
      <c r="B27" s="62">
        <v>3.8</v>
      </c>
      <c r="C27" s="58" t="s">
        <v>15</v>
      </c>
      <c r="D27" s="50"/>
      <c r="E27" s="50"/>
      <c r="F27" s="50">
        <f>24000+17000+29000+6400</f>
        <v>76400</v>
      </c>
      <c r="G27" s="50"/>
      <c r="H27" s="50">
        <f>20000+12000+7000+29000</f>
        <v>68000</v>
      </c>
      <c r="I27" s="50"/>
      <c r="J27" s="50">
        <v>30000</v>
      </c>
      <c r="K27" s="50"/>
      <c r="L27" s="50">
        <f>60000+12500+25000</f>
        <v>97500</v>
      </c>
      <c r="M27" s="50"/>
      <c r="N27" s="50">
        <f>20000+40000</f>
        <v>60000</v>
      </c>
      <c r="O27" s="50"/>
      <c r="P27" s="50">
        <f t="shared" si="1"/>
        <v>331900</v>
      </c>
      <c r="Q27" s="135">
        <f>+P27*100/P30</f>
        <v>2.6277723486185338</v>
      </c>
      <c r="R27" s="129">
        <f t="shared" si="2"/>
        <v>0</v>
      </c>
      <c r="S27" s="129"/>
    </row>
    <row r="28" spans="1:19" s="51" customFormat="1" ht="16.5" customHeight="1" x14ac:dyDescent="0.2">
      <c r="A28" s="61"/>
      <c r="B28" s="62">
        <v>3.9</v>
      </c>
      <c r="C28" s="58" t="s">
        <v>16</v>
      </c>
      <c r="D28" s="50"/>
      <c r="E28" s="50"/>
      <c r="F28" s="50">
        <f>32000+30000+30000</f>
        <v>92000</v>
      </c>
      <c r="G28" s="50"/>
      <c r="H28" s="50"/>
      <c r="I28" s="50"/>
      <c r="J28" s="50"/>
      <c r="K28" s="50"/>
      <c r="L28" s="50"/>
      <c r="M28" s="50"/>
      <c r="N28" s="50"/>
      <c r="O28" s="50"/>
      <c r="P28" s="50">
        <f t="shared" si="1"/>
        <v>92000</v>
      </c>
      <c r="Q28" s="135">
        <f>+P28*100/P30</f>
        <v>0.72839727650769848</v>
      </c>
      <c r="R28" s="129">
        <f t="shared" si="2"/>
        <v>0</v>
      </c>
      <c r="S28" s="129"/>
    </row>
    <row r="29" spans="1:19" s="51" customFormat="1" ht="16.5" customHeight="1" x14ac:dyDescent="0.2">
      <c r="A29" s="61"/>
      <c r="B29" s="71">
        <v>3.1</v>
      </c>
      <c r="C29" s="58" t="s">
        <v>18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f t="shared" si="1"/>
        <v>0</v>
      </c>
      <c r="Q29" s="50"/>
      <c r="R29" s="6">
        <f t="shared" si="2"/>
        <v>0</v>
      </c>
      <c r="S29" s="6"/>
    </row>
    <row r="30" spans="1:19" s="51" customFormat="1" ht="16.5" customHeight="1" x14ac:dyDescent="0.2">
      <c r="A30" s="64"/>
      <c r="B30" s="65"/>
      <c r="C30" s="72" t="s">
        <v>19</v>
      </c>
      <c r="D30" s="67">
        <f>+D19</f>
        <v>1610030</v>
      </c>
      <c r="E30" s="67"/>
      <c r="F30" s="67">
        <f t="shared" ref="F30:N30" si="6">+F19</f>
        <v>1820382.28</v>
      </c>
      <c r="G30" s="67"/>
      <c r="H30" s="67">
        <f t="shared" si="6"/>
        <v>2475847.35</v>
      </c>
      <c r="I30" s="67"/>
      <c r="J30" s="67">
        <f t="shared" si="6"/>
        <v>1429270.44</v>
      </c>
      <c r="K30" s="67"/>
      <c r="L30" s="67">
        <f t="shared" si="6"/>
        <v>3367650</v>
      </c>
      <c r="M30" s="67"/>
      <c r="N30" s="67">
        <f t="shared" si="6"/>
        <v>1927290</v>
      </c>
      <c r="O30" s="67"/>
      <c r="P30" s="67">
        <f t="shared" si="1"/>
        <v>12630470.07</v>
      </c>
      <c r="Q30" s="190">
        <v>100</v>
      </c>
      <c r="R30" s="22">
        <f t="shared" si="2"/>
        <v>0</v>
      </c>
      <c r="S30" s="22"/>
    </row>
    <row r="31" spans="1:19" s="51" customFormat="1" ht="16.5" customHeight="1" x14ac:dyDescent="0.2">
      <c r="A31" s="64">
        <v>4</v>
      </c>
      <c r="B31" s="65"/>
      <c r="C31" s="72" t="s">
        <v>37</v>
      </c>
      <c r="D31" s="67">
        <f>+D4+D5-D30</f>
        <v>156332.34000000008</v>
      </c>
      <c r="E31" s="67"/>
      <c r="F31" s="67">
        <f t="shared" ref="F31:N31" si="7">+F4+F5-F30</f>
        <v>495299.67000000016</v>
      </c>
      <c r="G31" s="67"/>
      <c r="H31" s="67">
        <f t="shared" si="7"/>
        <v>1218982.6699999995</v>
      </c>
      <c r="I31" s="67"/>
      <c r="J31" s="67">
        <f t="shared" si="7"/>
        <v>278155.94999999972</v>
      </c>
      <c r="K31" s="67"/>
      <c r="L31" s="67">
        <f t="shared" si="7"/>
        <v>225033.44000000041</v>
      </c>
      <c r="M31" s="67"/>
      <c r="N31" s="67">
        <f t="shared" si="7"/>
        <v>117262.45999999996</v>
      </c>
      <c r="O31" s="67"/>
      <c r="P31" s="67">
        <f t="shared" si="1"/>
        <v>2491066.5299999998</v>
      </c>
      <c r="Q31" s="67"/>
      <c r="R31" s="22">
        <f t="shared" si="2"/>
        <v>0</v>
      </c>
      <c r="S31" s="22"/>
    </row>
    <row r="32" spans="1:19" s="51" customFormat="1" ht="16.5" customHeight="1" x14ac:dyDescent="0.2">
      <c r="A32" s="61">
        <v>5</v>
      </c>
      <c r="B32" s="73"/>
      <c r="C32" s="56" t="s">
        <v>36</v>
      </c>
      <c r="D32" s="50">
        <f>+D33+D34</f>
        <v>0</v>
      </c>
      <c r="E32" s="50"/>
      <c r="F32" s="50">
        <f t="shared" ref="F32:N32" si="8">+F33+F34</f>
        <v>137418.5</v>
      </c>
      <c r="G32" s="50"/>
      <c r="H32" s="50">
        <f t="shared" si="8"/>
        <v>233932.85333333333</v>
      </c>
      <c r="I32" s="50"/>
      <c r="J32" s="50">
        <f t="shared" si="8"/>
        <v>67206.666666666672</v>
      </c>
      <c r="K32" s="50"/>
      <c r="L32" s="50">
        <f t="shared" si="8"/>
        <v>236986.66666666666</v>
      </c>
      <c r="M32" s="50"/>
      <c r="N32" s="50">
        <f t="shared" si="8"/>
        <v>101496.16666666666</v>
      </c>
      <c r="O32" s="50"/>
      <c r="P32" s="50">
        <f t="shared" si="1"/>
        <v>777040.85333333327</v>
      </c>
      <c r="Q32" s="50"/>
      <c r="R32" s="6">
        <f t="shared" si="2"/>
        <v>0</v>
      </c>
      <c r="S32" s="6"/>
    </row>
    <row r="33" spans="1:19" s="51" customFormat="1" ht="16.5" hidden="1" customHeight="1" x14ac:dyDescent="0.2">
      <c r="A33" s="61"/>
      <c r="B33" s="73"/>
      <c r="C33" s="56" t="s">
        <v>41</v>
      </c>
      <c r="D33" s="50">
        <f>+D22/12*2</f>
        <v>0</v>
      </c>
      <c r="E33" s="50"/>
      <c r="F33" s="50">
        <f t="shared" ref="F33:N33" si="9">+F22/12*2</f>
        <v>128918.5</v>
      </c>
      <c r="G33" s="50"/>
      <c r="H33" s="50">
        <f t="shared" si="9"/>
        <v>225440</v>
      </c>
      <c r="I33" s="50"/>
      <c r="J33" s="50">
        <f t="shared" si="9"/>
        <v>58540</v>
      </c>
      <c r="K33" s="50"/>
      <c r="L33" s="50">
        <f t="shared" si="9"/>
        <v>220320</v>
      </c>
      <c r="M33" s="50"/>
      <c r="N33" s="50">
        <f t="shared" si="9"/>
        <v>95662.833333333328</v>
      </c>
      <c r="O33" s="50"/>
      <c r="P33" s="50">
        <f t="shared" ref="P14:P35" si="10">SUM(D33:N33)</f>
        <v>728881.33333333337</v>
      </c>
      <c r="Q33" s="50"/>
      <c r="R33" s="6"/>
      <c r="S33" s="6"/>
    </row>
    <row r="34" spans="1:19" s="51" customFormat="1" ht="16.5" hidden="1" customHeight="1" x14ac:dyDescent="0.2">
      <c r="A34" s="61"/>
      <c r="B34" s="73"/>
      <c r="C34" s="56" t="s">
        <v>42</v>
      </c>
      <c r="D34" s="50">
        <f>+D26/12*2</f>
        <v>0</v>
      </c>
      <c r="E34" s="50"/>
      <c r="F34" s="50">
        <f t="shared" ref="F34:N34" si="11">+F26/12*2</f>
        <v>8500</v>
      </c>
      <c r="G34" s="50"/>
      <c r="H34" s="50">
        <f t="shared" si="11"/>
        <v>8492.8533333333344</v>
      </c>
      <c r="I34" s="50"/>
      <c r="J34" s="50">
        <f t="shared" si="11"/>
        <v>8666.6666666666661</v>
      </c>
      <c r="K34" s="50"/>
      <c r="L34" s="50">
        <f t="shared" si="11"/>
        <v>16666.666666666668</v>
      </c>
      <c r="M34" s="50"/>
      <c r="N34" s="50">
        <f t="shared" si="11"/>
        <v>5833.333333333333</v>
      </c>
      <c r="O34" s="50"/>
      <c r="P34" s="50">
        <f t="shared" si="10"/>
        <v>48159.519999999997</v>
      </c>
      <c r="Q34" s="50"/>
      <c r="R34" s="6"/>
      <c r="S34" s="6"/>
    </row>
    <row r="35" spans="1:19" s="51" customFormat="1" ht="16.5" hidden="1" customHeight="1" x14ac:dyDescent="0.2">
      <c r="A35" s="74">
        <v>6</v>
      </c>
      <c r="B35" s="75"/>
      <c r="C35" s="76" t="s">
        <v>25</v>
      </c>
      <c r="D35" s="77">
        <f>+D31-D32</f>
        <v>156332.34000000008</v>
      </c>
      <c r="E35" s="77"/>
      <c r="F35" s="77">
        <f t="shared" ref="F35:N35" si="12">+F31-F32</f>
        <v>357881.17000000016</v>
      </c>
      <c r="G35" s="77"/>
      <c r="H35" s="77">
        <f t="shared" si="12"/>
        <v>985049.81666666619</v>
      </c>
      <c r="I35" s="77"/>
      <c r="J35" s="77">
        <f t="shared" si="12"/>
        <v>210949.28333333303</v>
      </c>
      <c r="K35" s="77"/>
      <c r="L35" s="77">
        <f t="shared" si="12"/>
        <v>-11953.226666666247</v>
      </c>
      <c r="M35" s="77"/>
      <c r="N35" s="77">
        <f t="shared" si="12"/>
        <v>15766.293333333306</v>
      </c>
      <c r="O35" s="77"/>
      <c r="P35" s="77">
        <f t="shared" si="10"/>
        <v>1714025.6766666663</v>
      </c>
      <c r="Q35" s="77"/>
      <c r="R35" s="28"/>
      <c r="S35" s="28"/>
    </row>
    <row r="38" spans="1:19" x14ac:dyDescent="0.55000000000000004">
      <c r="R38" s="38"/>
      <c r="S38" s="38"/>
    </row>
  </sheetData>
  <mergeCells count="13">
    <mergeCell ref="R2:R3"/>
    <mergeCell ref="S2:S3"/>
    <mergeCell ref="A1:P1"/>
    <mergeCell ref="A2:B3"/>
    <mergeCell ref="C2:C3"/>
    <mergeCell ref="P2:P3"/>
    <mergeCell ref="Q2:Q3"/>
    <mergeCell ref="E2:E3"/>
    <mergeCell ref="G2:G3"/>
    <mergeCell ref="I2:I3"/>
    <mergeCell ref="K2:K3"/>
    <mergeCell ref="M2:M3"/>
    <mergeCell ref="O2:O3"/>
  </mergeCells>
  <printOptions horizontalCentered="1"/>
  <pageMargins left="0.19" right="0.15748031496062992" top="0.19685039370078741" bottom="0.19685039370078741" header="0.11811023622047245" footer="0.11811023622047245"/>
  <pageSetup paperSize="5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zoomScale="120" zoomScaleNormal="110" zoomScaleSheetLayoutView="120" workbookViewId="0">
      <pane xSplit="3" ySplit="3" topLeftCell="G19" activePane="bottomRight" state="frozen"/>
      <selection activeCell="K36" sqref="K36"/>
      <selection pane="topRight" activeCell="K36" sqref="K36"/>
      <selection pane="bottomLeft" activeCell="K36" sqref="K36"/>
      <selection pane="bottomRight" activeCell="O25" sqref="O25"/>
    </sheetView>
  </sheetViews>
  <sheetFormatPr defaultRowHeight="24" x14ac:dyDescent="0.55000000000000004"/>
  <cols>
    <col min="1" max="2" width="3.875" style="1" customWidth="1"/>
    <col min="3" max="3" width="20.875" style="1" customWidth="1"/>
    <col min="4" max="4" width="6.25" style="1" bestFit="1" customWidth="1"/>
    <col min="5" max="5" width="6.125" style="1" customWidth="1"/>
    <col min="6" max="6" width="7.875" style="1" bestFit="1" customWidth="1"/>
    <col min="7" max="7" width="6.125" style="1" customWidth="1"/>
    <col min="8" max="8" width="7.375" style="1" bestFit="1" customWidth="1"/>
    <col min="9" max="9" width="6.125" style="1" customWidth="1"/>
    <col min="10" max="10" width="9.625" style="1" bestFit="1" customWidth="1"/>
    <col min="11" max="11" width="6.125" style="1" customWidth="1"/>
    <col min="12" max="12" width="7.375" style="1" bestFit="1" customWidth="1"/>
    <col min="13" max="13" width="6.125" style="1" customWidth="1"/>
    <col min="14" max="14" width="7.375" style="1" bestFit="1" customWidth="1"/>
    <col min="15" max="15" width="6.125" style="1" customWidth="1"/>
    <col min="16" max="16" width="7.375" style="1" bestFit="1" customWidth="1"/>
    <col min="17" max="17" width="6.125" style="1" customWidth="1"/>
    <col min="18" max="18" width="8" style="1" bestFit="1" customWidth="1"/>
    <col min="19" max="19" width="8.875" style="1" bestFit="1" customWidth="1"/>
    <col min="20" max="21" width="7.125" style="1" customWidth="1"/>
    <col min="22" max="23" width="9" style="1"/>
    <col min="24" max="24" width="4.375" style="1" customWidth="1"/>
    <col min="25" max="16384" width="9" style="1"/>
  </cols>
  <sheetData>
    <row r="1" spans="1:21" ht="16.5" customHeight="1" x14ac:dyDescent="0.55000000000000004">
      <c r="A1" s="207" t="s">
        <v>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21" ht="18" customHeight="1" x14ac:dyDescent="0.55000000000000004">
      <c r="A2" s="197" t="s">
        <v>0</v>
      </c>
      <c r="B2" s="198"/>
      <c r="C2" s="201" t="s">
        <v>35</v>
      </c>
      <c r="D2" s="42" t="s">
        <v>75</v>
      </c>
      <c r="E2" s="203" t="s">
        <v>165</v>
      </c>
      <c r="F2" s="44" t="s">
        <v>76</v>
      </c>
      <c r="G2" s="203" t="s">
        <v>165</v>
      </c>
      <c r="H2" s="44" t="s">
        <v>76</v>
      </c>
      <c r="I2" s="203" t="s">
        <v>165</v>
      </c>
      <c r="J2" s="44" t="s">
        <v>77</v>
      </c>
      <c r="K2" s="203" t="s">
        <v>165</v>
      </c>
      <c r="L2" s="44" t="s">
        <v>76</v>
      </c>
      <c r="M2" s="203" t="s">
        <v>165</v>
      </c>
      <c r="N2" s="44" t="s">
        <v>76</v>
      </c>
      <c r="O2" s="203" t="s">
        <v>165</v>
      </c>
      <c r="P2" s="44" t="s">
        <v>76</v>
      </c>
      <c r="Q2" s="203" t="s">
        <v>165</v>
      </c>
      <c r="R2" s="194" t="s">
        <v>166</v>
      </c>
      <c r="S2" s="194" t="s">
        <v>159</v>
      </c>
      <c r="T2" s="194" t="s">
        <v>167</v>
      </c>
      <c r="U2" s="194" t="s">
        <v>168</v>
      </c>
    </row>
    <row r="3" spans="1:21" ht="27" customHeight="1" x14ac:dyDescent="0.55000000000000004">
      <c r="A3" s="199"/>
      <c r="B3" s="200"/>
      <c r="C3" s="202"/>
      <c r="D3" s="46" t="s">
        <v>8</v>
      </c>
      <c r="E3" s="206"/>
      <c r="F3" s="45" t="s">
        <v>68</v>
      </c>
      <c r="G3" s="206"/>
      <c r="H3" s="45" t="s">
        <v>71</v>
      </c>
      <c r="I3" s="206"/>
      <c r="J3" s="45" t="s">
        <v>78</v>
      </c>
      <c r="K3" s="206"/>
      <c r="L3" s="45" t="s">
        <v>72</v>
      </c>
      <c r="M3" s="206"/>
      <c r="N3" s="45" t="s">
        <v>73</v>
      </c>
      <c r="O3" s="206"/>
      <c r="P3" s="45" t="s">
        <v>74</v>
      </c>
      <c r="Q3" s="206"/>
      <c r="R3" s="195"/>
      <c r="S3" s="195"/>
      <c r="T3" s="195"/>
      <c r="U3" s="195"/>
    </row>
    <row r="4" spans="1:21" s="173" customFormat="1" ht="16.5" customHeight="1" x14ac:dyDescent="0.2">
      <c r="A4" s="52">
        <v>1</v>
      </c>
      <c r="B4" s="53"/>
      <c r="C4" s="170" t="s">
        <v>22</v>
      </c>
      <c r="D4" s="171">
        <v>166902.29</v>
      </c>
      <c r="E4" s="171"/>
      <c r="F4" s="171">
        <v>231905.78</v>
      </c>
      <c r="G4" s="171"/>
      <c r="H4" s="171">
        <v>214476.17</v>
      </c>
      <c r="I4" s="171"/>
      <c r="J4" s="171">
        <v>117800.83</v>
      </c>
      <c r="K4" s="171"/>
      <c r="L4" s="171">
        <v>866203.17</v>
      </c>
      <c r="M4" s="171"/>
      <c r="N4" s="171">
        <v>217668.63</v>
      </c>
      <c r="O4" s="171"/>
      <c r="P4" s="171">
        <v>319410.12</v>
      </c>
      <c r="Q4" s="171"/>
      <c r="R4" s="55">
        <f>+D4+F4+H4+J4+L4+N4+P4</f>
        <v>2134366.9900000002</v>
      </c>
      <c r="S4" s="154">
        <f>+R4*100/R18</f>
        <v>12.08017957654836</v>
      </c>
      <c r="T4" s="172">
        <f>+E4+G4+I4+K4+M4+O4+Q4</f>
        <v>0</v>
      </c>
      <c r="U4" s="172"/>
    </row>
    <row r="5" spans="1:21" s="51" customFormat="1" ht="16.5" customHeight="1" x14ac:dyDescent="0.2">
      <c r="A5" s="52">
        <v>2</v>
      </c>
      <c r="B5" s="53"/>
      <c r="C5" s="54" t="s">
        <v>38</v>
      </c>
      <c r="D5" s="55">
        <f>+D6+D7+D14+D15+D16+D17</f>
        <v>721350</v>
      </c>
      <c r="E5" s="55"/>
      <c r="F5" s="55">
        <f t="shared" ref="F5" si="0">+F6+F7+F14+F15+F16+F17+F13</f>
        <v>2029016</v>
      </c>
      <c r="G5" s="55"/>
      <c r="H5" s="55">
        <f>+H6+H7+H14+H15+H16+H17+H13</f>
        <v>3115884.33</v>
      </c>
      <c r="I5" s="55"/>
      <c r="J5" s="55">
        <f>+J6+J7+J14+J15+J16+J17+J13</f>
        <v>3447272.45</v>
      </c>
      <c r="K5" s="55"/>
      <c r="L5" s="55">
        <f t="shared" ref="L5:R5" si="1">+L6+L7+L14+L15+L16+L17+L13</f>
        <v>2018750.1800000002</v>
      </c>
      <c r="M5" s="55"/>
      <c r="N5" s="55">
        <f t="shared" si="1"/>
        <v>1673292</v>
      </c>
      <c r="O5" s="55"/>
      <c r="P5" s="55">
        <f>+P6+P7+P14+P15+P16+P17+P13</f>
        <v>2528406.3099999996</v>
      </c>
      <c r="Q5" s="55"/>
      <c r="R5" s="55">
        <f t="shared" ref="R5:R32" si="2">+D5+F5+H5+J5+L5+N5+P5</f>
        <v>15533971.27</v>
      </c>
      <c r="S5" s="154">
        <f>+R5*100/R18</f>
        <v>87.919820423451625</v>
      </c>
      <c r="T5" s="172">
        <f t="shared" ref="T5:T32" si="3">+E5+G5+I5+K5+M5+O5+Q5</f>
        <v>0</v>
      </c>
      <c r="U5" s="172"/>
    </row>
    <row r="6" spans="1:21" s="51" customFormat="1" ht="16.5" customHeight="1" x14ac:dyDescent="0.2">
      <c r="A6" s="47"/>
      <c r="B6" s="48">
        <v>2.1</v>
      </c>
      <c r="C6" s="56" t="s">
        <v>23</v>
      </c>
      <c r="D6" s="50"/>
      <c r="E6" s="50"/>
      <c r="F6" s="50">
        <v>12062</v>
      </c>
      <c r="G6" s="50"/>
      <c r="H6" s="50">
        <v>24492.33</v>
      </c>
      <c r="I6" s="50"/>
      <c r="J6" s="50">
        <v>65000</v>
      </c>
      <c r="K6" s="50"/>
      <c r="L6" s="50">
        <v>63917</v>
      </c>
      <c r="M6" s="50"/>
      <c r="N6" s="50">
        <v>5000</v>
      </c>
      <c r="O6" s="50"/>
      <c r="P6" s="50">
        <v>22614.67</v>
      </c>
      <c r="Q6" s="50"/>
      <c r="R6" s="50">
        <f t="shared" si="2"/>
        <v>193086</v>
      </c>
      <c r="S6" s="135">
        <f>+R6*100/R18</f>
        <v>1.0928362201279249</v>
      </c>
      <c r="T6" s="129">
        <f t="shared" si="3"/>
        <v>0</v>
      </c>
      <c r="U6" s="129"/>
    </row>
    <row r="7" spans="1:21" s="51" customFormat="1" ht="16.5" customHeight="1" x14ac:dyDescent="0.2">
      <c r="A7" s="52"/>
      <c r="B7" s="53">
        <v>2.2000000000000002</v>
      </c>
      <c r="C7" s="54" t="s">
        <v>24</v>
      </c>
      <c r="D7" s="55">
        <f>SUM(D8:D12)</f>
        <v>458350</v>
      </c>
      <c r="E7" s="55"/>
      <c r="F7" s="55">
        <f t="shared" ref="F7:P7" si="4">SUM(F8:F12)</f>
        <v>1569403</v>
      </c>
      <c r="G7" s="55"/>
      <c r="H7" s="55">
        <f t="shared" si="4"/>
        <v>2404892</v>
      </c>
      <c r="I7" s="55"/>
      <c r="J7" s="55">
        <f t="shared" si="4"/>
        <v>2316268</v>
      </c>
      <c r="K7" s="55"/>
      <c r="L7" s="55">
        <f t="shared" si="4"/>
        <v>1495246</v>
      </c>
      <c r="M7" s="55"/>
      <c r="N7" s="55">
        <f t="shared" si="4"/>
        <v>1063104</v>
      </c>
      <c r="O7" s="55"/>
      <c r="P7" s="55">
        <f t="shared" si="4"/>
        <v>1777585</v>
      </c>
      <c r="Q7" s="55"/>
      <c r="R7" s="55">
        <f t="shared" si="2"/>
        <v>11084848</v>
      </c>
      <c r="S7" s="55"/>
      <c r="T7" s="172">
        <f t="shared" si="3"/>
        <v>0</v>
      </c>
      <c r="U7" s="172"/>
    </row>
    <row r="8" spans="1:21" s="51" customFormat="1" ht="16.5" customHeight="1" x14ac:dyDescent="0.2">
      <c r="A8" s="47"/>
      <c r="B8" s="48"/>
      <c r="C8" s="49" t="s">
        <v>17</v>
      </c>
      <c r="D8" s="50"/>
      <c r="E8" s="50"/>
      <c r="F8" s="50">
        <v>420700</v>
      </c>
      <c r="G8" s="50"/>
      <c r="H8" s="50">
        <v>550000</v>
      </c>
      <c r="I8" s="50"/>
      <c r="J8" s="50">
        <v>300360</v>
      </c>
      <c r="K8" s="50"/>
      <c r="L8" s="50">
        <v>355000</v>
      </c>
      <c r="M8" s="50"/>
      <c r="N8" s="50">
        <v>250000</v>
      </c>
      <c r="O8" s="50"/>
      <c r="P8" s="50">
        <v>421000</v>
      </c>
      <c r="Q8" s="50"/>
      <c r="R8" s="50">
        <f t="shared" si="2"/>
        <v>2297060</v>
      </c>
      <c r="S8" s="135">
        <f>+R8*100/R18</f>
        <v>13.000996280450428</v>
      </c>
      <c r="T8" s="129">
        <f t="shared" si="3"/>
        <v>0</v>
      </c>
      <c r="U8" s="129"/>
    </row>
    <row r="9" spans="1:21" s="51" customFormat="1" ht="16.5" customHeight="1" x14ac:dyDescent="0.2">
      <c r="A9" s="47"/>
      <c r="B9" s="48"/>
      <c r="C9" s="49" t="s">
        <v>65</v>
      </c>
      <c r="D9" s="50"/>
      <c r="E9" s="50"/>
      <c r="F9" s="50">
        <v>330000</v>
      </c>
      <c r="G9" s="50"/>
      <c r="H9" s="50">
        <v>330000</v>
      </c>
      <c r="I9" s="50"/>
      <c r="J9" s="50">
        <v>330000</v>
      </c>
      <c r="K9" s="50"/>
      <c r="L9" s="50">
        <v>330000</v>
      </c>
      <c r="M9" s="50"/>
      <c r="N9" s="50">
        <v>330000</v>
      </c>
      <c r="O9" s="50"/>
      <c r="P9" s="50">
        <v>330000</v>
      </c>
      <c r="Q9" s="50"/>
      <c r="R9" s="50">
        <f t="shared" si="2"/>
        <v>1980000</v>
      </c>
      <c r="S9" s="135">
        <f>+R9*100/R18</f>
        <v>11.206486828943017</v>
      </c>
      <c r="T9" s="129">
        <f t="shared" si="3"/>
        <v>0</v>
      </c>
      <c r="U9" s="129"/>
    </row>
    <row r="10" spans="1:21" s="51" customFormat="1" ht="16.5" customHeight="1" x14ac:dyDescent="0.2">
      <c r="A10" s="47"/>
      <c r="B10" s="48"/>
      <c r="C10" s="49" t="s">
        <v>14</v>
      </c>
      <c r="D10" s="50">
        <v>458350</v>
      </c>
      <c r="E10" s="50"/>
      <c r="F10" s="50">
        <v>215355</v>
      </c>
      <c r="G10" s="50"/>
      <c r="H10" s="50">
        <v>231280</v>
      </c>
      <c r="I10" s="169"/>
      <c r="J10" s="57">
        <v>119980</v>
      </c>
      <c r="K10" s="57"/>
      <c r="L10" s="50">
        <v>109614</v>
      </c>
      <c r="M10" s="50"/>
      <c r="N10" s="50">
        <v>97580</v>
      </c>
      <c r="O10" s="50"/>
      <c r="P10" s="50">
        <v>206325</v>
      </c>
      <c r="Q10" s="50"/>
      <c r="R10" s="50">
        <f t="shared" si="2"/>
        <v>1438484</v>
      </c>
      <c r="S10" s="135">
        <f>+R10*100/R18</f>
        <v>8.141591919012761</v>
      </c>
      <c r="T10" s="129">
        <f t="shared" si="3"/>
        <v>0</v>
      </c>
      <c r="U10" s="129"/>
    </row>
    <row r="11" spans="1:21" s="51" customFormat="1" ht="16.5" customHeight="1" x14ac:dyDescent="0.2">
      <c r="A11" s="47"/>
      <c r="B11" s="48"/>
      <c r="C11" s="58" t="s">
        <v>64</v>
      </c>
      <c r="D11" s="50"/>
      <c r="E11" s="50"/>
      <c r="F11" s="50">
        <v>136800</v>
      </c>
      <c r="G11" s="50"/>
      <c r="H11" s="50">
        <v>136800</v>
      </c>
      <c r="I11" s="50"/>
      <c r="J11" s="50">
        <v>136800</v>
      </c>
      <c r="K11" s="50"/>
      <c r="L11" s="50">
        <v>136800</v>
      </c>
      <c r="M11" s="50"/>
      <c r="N11" s="50">
        <v>136800</v>
      </c>
      <c r="O11" s="50"/>
      <c r="P11" s="50">
        <v>136800</v>
      </c>
      <c r="Q11" s="50"/>
      <c r="R11" s="50">
        <f t="shared" si="2"/>
        <v>820800</v>
      </c>
      <c r="S11" s="135">
        <f>+R11*100/R18</f>
        <v>4.6455981763618324</v>
      </c>
      <c r="T11" s="129">
        <f t="shared" si="3"/>
        <v>0</v>
      </c>
      <c r="U11" s="129"/>
    </row>
    <row r="12" spans="1:21" s="51" customFormat="1" ht="16.5" customHeight="1" x14ac:dyDescent="0.2">
      <c r="A12" s="47"/>
      <c r="B12" s="48"/>
      <c r="C12" s="49" t="s">
        <v>10</v>
      </c>
      <c r="D12" s="50"/>
      <c r="E12" s="50"/>
      <c r="F12" s="50">
        <f>445920+20628</f>
        <v>466548</v>
      </c>
      <c r="G12" s="50"/>
      <c r="H12" s="50">
        <f>1108680+48132</f>
        <v>1156812</v>
      </c>
      <c r="I12" s="50"/>
      <c r="J12" s="50">
        <f>1364040+65088</f>
        <v>1429128</v>
      </c>
      <c r="K12" s="50"/>
      <c r="L12" s="56">
        <f>538560+25272</f>
        <v>563832</v>
      </c>
      <c r="M12" s="56"/>
      <c r="N12" s="50">
        <f>236880+11844</f>
        <v>248724</v>
      </c>
      <c r="O12" s="50"/>
      <c r="P12" s="50">
        <f>653040+30420</f>
        <v>683460</v>
      </c>
      <c r="Q12" s="50"/>
      <c r="R12" s="50">
        <f t="shared" si="2"/>
        <v>4548504</v>
      </c>
      <c r="S12" s="135">
        <f>+R12*100/R18</f>
        <v>25.743813215855873</v>
      </c>
      <c r="T12" s="129">
        <f t="shared" si="3"/>
        <v>0</v>
      </c>
      <c r="U12" s="129"/>
    </row>
    <row r="13" spans="1:21" s="51" customFormat="1" ht="16.5" customHeight="1" x14ac:dyDescent="0.2">
      <c r="A13" s="47"/>
      <c r="B13" s="48"/>
      <c r="C13" s="49" t="s">
        <v>70</v>
      </c>
      <c r="D13" s="50"/>
      <c r="E13" s="50"/>
      <c r="F13" s="50">
        <v>164000</v>
      </c>
      <c r="G13" s="50"/>
      <c r="H13" s="50">
        <v>259450</v>
      </c>
      <c r="I13" s="50"/>
      <c r="J13" s="50">
        <v>343251.93</v>
      </c>
      <c r="K13" s="50"/>
      <c r="L13" s="59"/>
      <c r="M13" s="59"/>
      <c r="N13" s="50">
        <v>338000</v>
      </c>
      <c r="O13" s="50"/>
      <c r="P13" s="50">
        <v>271200</v>
      </c>
      <c r="Q13" s="50"/>
      <c r="R13" s="50">
        <f t="shared" si="2"/>
        <v>1375901.93</v>
      </c>
      <c r="S13" s="135">
        <f>+R13*100/R18</f>
        <v>7.7873873012435739</v>
      </c>
      <c r="T13" s="129">
        <f t="shared" si="3"/>
        <v>0</v>
      </c>
      <c r="U13" s="129"/>
    </row>
    <row r="14" spans="1:21" s="51" customFormat="1" ht="16.5" customHeight="1" x14ac:dyDescent="0.2">
      <c r="A14" s="47"/>
      <c r="B14" s="60">
        <v>2.2999999999999998</v>
      </c>
      <c r="C14" s="49" t="s">
        <v>44</v>
      </c>
      <c r="D14" s="50">
        <v>1000</v>
      </c>
      <c r="E14" s="50"/>
      <c r="F14" s="50">
        <v>1500</v>
      </c>
      <c r="G14" s="50"/>
      <c r="H14" s="50">
        <v>16000</v>
      </c>
      <c r="I14" s="50"/>
      <c r="J14" s="50">
        <v>1352.52</v>
      </c>
      <c r="K14" s="50"/>
      <c r="L14" s="50">
        <v>2554.31</v>
      </c>
      <c r="M14" s="50"/>
      <c r="N14" s="50">
        <v>1500</v>
      </c>
      <c r="O14" s="50"/>
      <c r="P14" s="50">
        <v>2006.64</v>
      </c>
      <c r="Q14" s="50"/>
      <c r="R14" s="50">
        <f t="shared" si="2"/>
        <v>25913.47</v>
      </c>
      <c r="S14" s="135">
        <f>+R14*100/R18</f>
        <v>0.14666614153899496</v>
      </c>
      <c r="T14" s="129">
        <f t="shared" si="3"/>
        <v>0</v>
      </c>
      <c r="U14" s="129"/>
    </row>
    <row r="15" spans="1:21" s="51" customFormat="1" ht="16.5" customHeight="1" x14ac:dyDescent="0.2">
      <c r="A15" s="61"/>
      <c r="B15" s="62">
        <v>2.4</v>
      </c>
      <c r="C15" s="63" t="s">
        <v>66</v>
      </c>
      <c r="D15" s="50"/>
      <c r="E15" s="50"/>
      <c r="F15" s="50">
        <v>200000</v>
      </c>
      <c r="G15" s="50"/>
      <c r="H15" s="50">
        <v>260000</v>
      </c>
      <c r="I15" s="50"/>
      <c r="J15" s="50">
        <v>200000</v>
      </c>
      <c r="K15" s="50"/>
      <c r="L15" s="50">
        <v>187032.87</v>
      </c>
      <c r="M15" s="50"/>
      <c r="N15" s="50"/>
      <c r="O15" s="50"/>
      <c r="P15" s="50">
        <v>280000</v>
      </c>
      <c r="Q15" s="50"/>
      <c r="R15" s="50">
        <f t="shared" si="2"/>
        <v>1127032.8700000001</v>
      </c>
      <c r="S15" s="135">
        <f>+R15*100/R18</f>
        <v>6.3788277845660852</v>
      </c>
      <c r="T15" s="130">
        <f t="shared" si="3"/>
        <v>0</v>
      </c>
      <c r="U15" s="130"/>
    </row>
    <row r="16" spans="1:21" s="51" customFormat="1" ht="16.5" customHeight="1" x14ac:dyDescent="0.2">
      <c r="A16" s="61"/>
      <c r="B16" s="62">
        <v>2.5</v>
      </c>
      <c r="C16" s="63" t="s">
        <v>92</v>
      </c>
      <c r="D16" s="50"/>
      <c r="E16" s="50"/>
      <c r="F16" s="50">
        <v>62051</v>
      </c>
      <c r="G16" s="50"/>
      <c r="H16" s="50">
        <v>101050</v>
      </c>
      <c r="I16" s="50"/>
      <c r="J16" s="50">
        <v>121400</v>
      </c>
      <c r="K16" s="50"/>
      <c r="L16" s="50">
        <v>120000</v>
      </c>
      <c r="M16" s="50"/>
      <c r="N16" s="50">
        <v>59126</v>
      </c>
      <c r="O16" s="50"/>
      <c r="P16" s="50">
        <v>145000</v>
      </c>
      <c r="Q16" s="50"/>
      <c r="R16" s="50">
        <f t="shared" si="2"/>
        <v>608627</v>
      </c>
      <c r="S16" s="135">
        <f>+R16*100/R18</f>
        <v>3.4447325551712633</v>
      </c>
      <c r="T16" s="129">
        <f t="shared" si="3"/>
        <v>0</v>
      </c>
      <c r="U16" s="129"/>
    </row>
    <row r="17" spans="1:21" s="51" customFormat="1" ht="16.5" customHeight="1" x14ac:dyDescent="0.2">
      <c r="A17" s="61"/>
      <c r="B17" s="62">
        <v>2.6</v>
      </c>
      <c r="C17" s="63" t="s">
        <v>43</v>
      </c>
      <c r="D17" s="50">
        <f>250000+12000</f>
        <v>262000</v>
      </c>
      <c r="E17" s="50"/>
      <c r="F17" s="50">
        <v>20000</v>
      </c>
      <c r="G17" s="50"/>
      <c r="H17" s="50">
        <v>50000</v>
      </c>
      <c r="I17" s="50"/>
      <c r="J17" s="50">
        <f>200000+200000</f>
        <v>400000</v>
      </c>
      <c r="K17" s="50"/>
      <c r="L17" s="50">
        <v>150000</v>
      </c>
      <c r="M17" s="50"/>
      <c r="N17" s="50">
        <f>182562+24000</f>
        <v>206562</v>
      </c>
      <c r="O17" s="50"/>
      <c r="P17" s="50">
        <f>30000</f>
        <v>30000</v>
      </c>
      <c r="Q17" s="50"/>
      <c r="R17" s="50">
        <f t="shared" si="2"/>
        <v>1118562</v>
      </c>
      <c r="S17" s="135">
        <f>+R17*100/R18</f>
        <v>6.3308840001798785</v>
      </c>
      <c r="T17" s="130">
        <f t="shared" si="3"/>
        <v>0</v>
      </c>
      <c r="U17" s="130"/>
    </row>
    <row r="18" spans="1:21" s="51" customFormat="1" ht="16.5" customHeight="1" x14ac:dyDescent="0.2">
      <c r="A18" s="64"/>
      <c r="B18" s="65"/>
      <c r="C18" s="66" t="s">
        <v>40</v>
      </c>
      <c r="D18" s="67">
        <f>+D4+D5</f>
        <v>888252.29</v>
      </c>
      <c r="E18" s="67"/>
      <c r="F18" s="67">
        <f t="shared" ref="F18:N18" si="5">+F4+F5</f>
        <v>2260921.7799999998</v>
      </c>
      <c r="G18" s="67"/>
      <c r="H18" s="67">
        <f t="shared" si="5"/>
        <v>3330360.5</v>
      </c>
      <c r="I18" s="67"/>
      <c r="J18" s="67">
        <f t="shared" si="5"/>
        <v>3565073.2800000003</v>
      </c>
      <c r="K18" s="67"/>
      <c r="L18" s="67">
        <f t="shared" si="5"/>
        <v>2884953.35</v>
      </c>
      <c r="M18" s="67"/>
      <c r="N18" s="67">
        <f t="shared" si="5"/>
        <v>1890960.63</v>
      </c>
      <c r="O18" s="67"/>
      <c r="P18" s="67">
        <f>+P4+P5</f>
        <v>2847816.4299999997</v>
      </c>
      <c r="Q18" s="67"/>
      <c r="R18" s="67">
        <f t="shared" si="2"/>
        <v>17668338.260000002</v>
      </c>
      <c r="S18" s="190">
        <v>100</v>
      </c>
      <c r="T18" s="22">
        <f t="shared" si="3"/>
        <v>0</v>
      </c>
      <c r="U18" s="22"/>
    </row>
    <row r="19" spans="1:21" s="51" customFormat="1" ht="16.5" customHeight="1" x14ac:dyDescent="0.2">
      <c r="A19" s="68">
        <v>3</v>
      </c>
      <c r="B19" s="69"/>
      <c r="C19" s="70" t="s">
        <v>1</v>
      </c>
      <c r="D19" s="55">
        <f>SUM(D20:D29)</f>
        <v>838000</v>
      </c>
      <c r="E19" s="55"/>
      <c r="F19" s="55">
        <f t="shared" ref="F19:P19" si="6">SUM(F20:F29)</f>
        <v>1920471</v>
      </c>
      <c r="G19" s="55"/>
      <c r="H19" s="55">
        <f t="shared" si="6"/>
        <v>2531087</v>
      </c>
      <c r="I19" s="55"/>
      <c r="J19" s="55">
        <f t="shared" si="6"/>
        <v>3099695.93</v>
      </c>
      <c r="K19" s="55"/>
      <c r="L19" s="55">
        <f t="shared" si="6"/>
        <v>2706893</v>
      </c>
      <c r="M19" s="55"/>
      <c r="N19" s="55">
        <f t="shared" si="6"/>
        <v>1052364</v>
      </c>
      <c r="O19" s="55"/>
      <c r="P19" s="55">
        <f t="shared" si="6"/>
        <v>2766909</v>
      </c>
      <c r="Q19" s="55"/>
      <c r="R19" s="55">
        <f t="shared" si="2"/>
        <v>14915419.93</v>
      </c>
      <c r="S19" s="55"/>
      <c r="T19" s="174">
        <f t="shared" si="3"/>
        <v>0</v>
      </c>
      <c r="U19" s="174"/>
    </row>
    <row r="20" spans="1:21" s="51" customFormat="1" ht="16.5" customHeight="1" x14ac:dyDescent="0.2">
      <c r="A20" s="61"/>
      <c r="B20" s="62">
        <v>3.1</v>
      </c>
      <c r="C20" s="63" t="s">
        <v>17</v>
      </c>
      <c r="D20" s="50"/>
      <c r="E20" s="50"/>
      <c r="F20" s="50">
        <v>306000</v>
      </c>
      <c r="G20" s="50"/>
      <c r="H20" s="50">
        <v>330000</v>
      </c>
      <c r="I20" s="50"/>
      <c r="J20" s="50">
        <v>144452</v>
      </c>
      <c r="K20" s="50"/>
      <c r="L20" s="50">
        <v>355000</v>
      </c>
      <c r="M20" s="50"/>
      <c r="N20" s="50">
        <v>180000</v>
      </c>
      <c r="O20" s="50"/>
      <c r="P20" s="50">
        <v>526000</v>
      </c>
      <c r="Q20" s="50"/>
      <c r="R20" s="50">
        <f t="shared" si="2"/>
        <v>1841452</v>
      </c>
      <c r="S20" s="135">
        <f>+R20*100/R30</f>
        <v>12.345961485778966</v>
      </c>
      <c r="T20" s="129">
        <f t="shared" si="3"/>
        <v>0</v>
      </c>
      <c r="U20" s="129"/>
    </row>
    <row r="21" spans="1:21" s="51" customFormat="1" ht="16.5" customHeight="1" x14ac:dyDescent="0.2">
      <c r="A21" s="61"/>
      <c r="B21" s="62">
        <v>3.2</v>
      </c>
      <c r="C21" s="58" t="s">
        <v>14</v>
      </c>
      <c r="D21" s="50">
        <v>624000</v>
      </c>
      <c r="E21" s="50"/>
      <c r="F21" s="50">
        <v>245351</v>
      </c>
      <c r="G21" s="50"/>
      <c r="H21" s="50">
        <v>284015</v>
      </c>
      <c r="I21" s="50"/>
      <c r="J21" s="50">
        <v>405315</v>
      </c>
      <c r="K21" s="50"/>
      <c r="L21" s="50">
        <v>396545</v>
      </c>
      <c r="M21" s="50"/>
      <c r="N21" s="50"/>
      <c r="O21" s="50"/>
      <c r="P21" s="50">
        <v>252049</v>
      </c>
      <c r="Q21" s="50"/>
      <c r="R21" s="50">
        <f t="shared" si="2"/>
        <v>2207275</v>
      </c>
      <c r="S21" s="135">
        <f>+R21*100/R30</f>
        <v>14.798611171251148</v>
      </c>
      <c r="T21" s="129">
        <f t="shared" si="3"/>
        <v>0</v>
      </c>
      <c r="U21" s="129"/>
    </row>
    <row r="22" spans="1:21" s="51" customFormat="1" ht="16.5" customHeight="1" x14ac:dyDescent="0.2">
      <c r="A22" s="61"/>
      <c r="B22" s="62">
        <v>3.3</v>
      </c>
      <c r="C22" s="49" t="s">
        <v>10</v>
      </c>
      <c r="D22" s="50"/>
      <c r="E22" s="50"/>
      <c r="F22" s="50">
        <f>213360+134880+97440+99156+99156+20628</f>
        <v>664620</v>
      </c>
      <c r="G22" s="50"/>
      <c r="H22" s="50">
        <f>1203480+58992</f>
        <v>1262472</v>
      </c>
      <c r="I22" s="50"/>
      <c r="J22" s="50">
        <f>155040+213600+389280+164400+113280+107040+130320+99156+65088</f>
        <v>1437204</v>
      </c>
      <c r="K22" s="50"/>
      <c r="L22" s="50">
        <v>660792</v>
      </c>
      <c r="M22" s="50"/>
      <c r="N22" s="50">
        <f>129840+107040+96960+11844</f>
        <v>345684</v>
      </c>
      <c r="O22" s="50"/>
      <c r="P22" s="50">
        <v>887076</v>
      </c>
      <c r="Q22" s="50"/>
      <c r="R22" s="50">
        <f t="shared" si="2"/>
        <v>5257848</v>
      </c>
      <c r="S22" s="135">
        <f>+R22*100/R30</f>
        <v>35.251089306742706</v>
      </c>
      <c r="T22" s="129">
        <f t="shared" si="3"/>
        <v>0</v>
      </c>
      <c r="U22" s="129"/>
    </row>
    <row r="23" spans="1:21" s="51" customFormat="1" ht="16.5" customHeight="1" x14ac:dyDescent="0.2">
      <c r="A23" s="61"/>
      <c r="B23" s="62">
        <v>3.4</v>
      </c>
      <c r="C23" s="58" t="s">
        <v>64</v>
      </c>
      <c r="D23" s="50"/>
      <c r="E23" s="50"/>
      <c r="F23" s="50">
        <f>220000+78000+4500</f>
        <v>302500</v>
      </c>
      <c r="G23" s="50"/>
      <c r="H23" s="50">
        <f>181420+163000+4500</f>
        <v>348920</v>
      </c>
      <c r="I23" s="50"/>
      <c r="J23" s="50">
        <f>231060+188600+9000</f>
        <v>428660</v>
      </c>
      <c r="K23" s="50"/>
      <c r="L23" s="50">
        <f>238140+58300+6000</f>
        <v>302440</v>
      </c>
      <c r="M23" s="50"/>
      <c r="N23" s="50">
        <f>180400+41600+6000</f>
        <v>228000</v>
      </c>
      <c r="O23" s="50"/>
      <c r="P23" s="50">
        <v>317600</v>
      </c>
      <c r="Q23" s="50"/>
      <c r="R23" s="50">
        <f t="shared" si="2"/>
        <v>1928120</v>
      </c>
      <c r="S23" s="135">
        <f>+R23*100/R30</f>
        <v>12.927024576236654</v>
      </c>
      <c r="T23" s="129">
        <f t="shared" si="3"/>
        <v>0</v>
      </c>
      <c r="U23" s="129"/>
    </row>
    <row r="24" spans="1:21" s="51" customFormat="1" ht="16.5" customHeight="1" x14ac:dyDescent="0.2">
      <c r="A24" s="61"/>
      <c r="B24" s="62">
        <v>3.5</v>
      </c>
      <c r="C24" s="58" t="s">
        <v>11</v>
      </c>
      <c r="D24" s="50">
        <f>30000+10000+10000+20000+50000</f>
        <v>120000</v>
      </c>
      <c r="E24" s="50"/>
      <c r="F24" s="50">
        <f>40000+10000+36000+60000+48000</f>
        <v>194000</v>
      </c>
      <c r="G24" s="50"/>
      <c r="H24" s="50">
        <f>16000+5000+36000+45000</f>
        <v>102000</v>
      </c>
      <c r="I24" s="50"/>
      <c r="J24" s="50">
        <f>50000+10000+36000+50000</f>
        <v>146000</v>
      </c>
      <c r="K24" s="50"/>
      <c r="L24" s="50">
        <f>50000+20000+20000+72000+5000+200000</f>
        <v>367000</v>
      </c>
      <c r="M24" s="50"/>
      <c r="N24" s="50">
        <f>30000+10000+36000+100000</f>
        <v>176000</v>
      </c>
      <c r="O24" s="50"/>
      <c r="P24" s="50">
        <v>216700</v>
      </c>
      <c r="Q24" s="50"/>
      <c r="R24" s="50">
        <f t="shared" si="2"/>
        <v>1321700</v>
      </c>
      <c r="S24" s="135">
        <f>+R24*100/R30</f>
        <v>8.8612992876024244</v>
      </c>
      <c r="T24" s="129">
        <f t="shared" si="3"/>
        <v>0</v>
      </c>
      <c r="U24" s="129"/>
    </row>
    <row r="25" spans="1:21" s="51" customFormat="1" ht="16.5" customHeight="1" x14ac:dyDescent="0.2">
      <c r="A25" s="61"/>
      <c r="B25" s="62">
        <v>3.6</v>
      </c>
      <c r="C25" s="58" t="s">
        <v>12</v>
      </c>
      <c r="D25" s="50">
        <f>10000+10000+20000+10000</f>
        <v>50000</v>
      </c>
      <c r="E25" s="50"/>
      <c r="F25" s="50">
        <f>15000+10000+5000+15000</f>
        <v>45000</v>
      </c>
      <c r="G25" s="50"/>
      <c r="H25" s="50">
        <f>30310+37070+40000+15600+15400+4000</f>
        <v>142380</v>
      </c>
      <c r="I25" s="50"/>
      <c r="J25" s="50">
        <f>36016+16447+44700+2000+26200+1200+5600+60250</f>
        <v>192413</v>
      </c>
      <c r="K25" s="50"/>
      <c r="L25" s="50">
        <f>8116+1140+16140+20520+21000</f>
        <v>66916</v>
      </c>
      <c r="M25" s="50"/>
      <c r="N25" s="50">
        <f>20710+26870+11100+1000+30000</f>
        <v>89680</v>
      </c>
      <c r="O25" s="50"/>
      <c r="P25" s="50">
        <v>130000</v>
      </c>
      <c r="Q25" s="50"/>
      <c r="R25" s="50">
        <f t="shared" si="2"/>
        <v>716389</v>
      </c>
      <c r="S25" s="135">
        <f>+R25*100/R30</f>
        <v>4.803009257279423</v>
      </c>
      <c r="T25" s="129">
        <f t="shared" si="3"/>
        <v>0</v>
      </c>
      <c r="U25" s="129"/>
    </row>
    <row r="26" spans="1:21" s="51" customFormat="1" ht="16.5" customHeight="1" x14ac:dyDescent="0.2">
      <c r="A26" s="61"/>
      <c r="B26" s="62">
        <v>3.7</v>
      </c>
      <c r="C26" s="58" t="s">
        <v>13</v>
      </c>
      <c r="D26" s="50"/>
      <c r="E26" s="50"/>
      <c r="F26" s="50">
        <f>20000+1000+1000</f>
        <v>22000</v>
      </c>
      <c r="G26" s="50"/>
      <c r="H26" s="50">
        <f>60000+1300</f>
        <v>61300</v>
      </c>
      <c r="I26" s="50"/>
      <c r="J26" s="50">
        <f>40000+8000+1300</f>
        <v>49300</v>
      </c>
      <c r="K26" s="50"/>
      <c r="L26" s="50">
        <f>35000+1200</f>
        <v>36200</v>
      </c>
      <c r="M26" s="50"/>
      <c r="N26" s="50">
        <f>30000+3000</f>
        <v>33000</v>
      </c>
      <c r="O26" s="50"/>
      <c r="P26" s="50">
        <v>76284</v>
      </c>
      <c r="Q26" s="50"/>
      <c r="R26" s="50">
        <f t="shared" si="2"/>
        <v>278084</v>
      </c>
      <c r="S26" s="135">
        <f>+R26*100/R30</f>
        <v>1.8644061066003121</v>
      </c>
      <c r="T26" s="129">
        <f t="shared" si="3"/>
        <v>0</v>
      </c>
      <c r="U26" s="129"/>
    </row>
    <row r="27" spans="1:21" s="51" customFormat="1" ht="16.5" customHeight="1" x14ac:dyDescent="0.2">
      <c r="A27" s="61"/>
      <c r="B27" s="62">
        <v>3.8</v>
      </c>
      <c r="C27" s="58" t="s">
        <v>15</v>
      </c>
      <c r="D27" s="50">
        <v>44000</v>
      </c>
      <c r="E27" s="50"/>
      <c r="F27" s="50">
        <f>10000+15000+15000+13000+13000+32000+30000+13000</f>
        <v>141000</v>
      </c>
      <c r="G27" s="50"/>
      <c r="H27" s="50"/>
      <c r="I27" s="50"/>
      <c r="J27" s="50">
        <f>20000+12551.93+15000+13000+25000+48000+21000+60000+26000+15800</f>
        <v>256351.93</v>
      </c>
      <c r="K27" s="50"/>
      <c r="L27" s="50">
        <f>5000+37000+17000+5000+15000+13000+20000+5000+32000+30000+13000+10000</f>
        <v>202000</v>
      </c>
      <c r="M27" s="50"/>
      <c r="N27" s="50"/>
      <c r="O27" s="50"/>
      <c r="P27" s="50">
        <f>20000+10000+30000+48000+13000+10000</f>
        <v>131000</v>
      </c>
      <c r="Q27" s="50"/>
      <c r="R27" s="50">
        <f t="shared" si="2"/>
        <v>774351.92999999993</v>
      </c>
      <c r="S27" s="135">
        <f>+R27*100/R30</f>
        <v>5.1916200390879643</v>
      </c>
      <c r="T27" s="129">
        <f t="shared" si="3"/>
        <v>0</v>
      </c>
      <c r="U27" s="129"/>
    </row>
    <row r="28" spans="1:21" s="51" customFormat="1" ht="16.5" customHeight="1" x14ac:dyDescent="0.2">
      <c r="A28" s="61"/>
      <c r="B28" s="62">
        <v>3.9</v>
      </c>
      <c r="C28" s="58" t="s">
        <v>16</v>
      </c>
      <c r="D28" s="50"/>
      <c r="E28" s="50"/>
      <c r="F28" s="50"/>
      <c r="G28" s="50"/>
      <c r="H28" s="50"/>
      <c r="I28" s="50"/>
      <c r="J28" s="50">
        <v>40000</v>
      </c>
      <c r="K28" s="50"/>
      <c r="L28" s="50">
        <f>100000+120000+100000</f>
        <v>320000</v>
      </c>
      <c r="M28" s="50"/>
      <c r="N28" s="50"/>
      <c r="O28" s="50"/>
      <c r="P28" s="50">
        <f>50000+180200</f>
        <v>230200</v>
      </c>
      <c r="Q28" s="50"/>
      <c r="R28" s="50">
        <f t="shared" si="2"/>
        <v>590200</v>
      </c>
      <c r="S28" s="135">
        <f>+R28*100/R30</f>
        <v>3.9569787694204064</v>
      </c>
      <c r="T28" s="129">
        <f t="shared" si="3"/>
        <v>0</v>
      </c>
      <c r="U28" s="129"/>
    </row>
    <row r="29" spans="1:21" s="51" customFormat="1" ht="16.5" customHeight="1" x14ac:dyDescent="0.2">
      <c r="A29" s="61"/>
      <c r="B29" s="71">
        <v>3.1</v>
      </c>
      <c r="C29" s="58" t="s">
        <v>18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2"/>
        <v>0</v>
      </c>
      <c r="S29" s="50"/>
      <c r="T29" s="6">
        <f t="shared" si="3"/>
        <v>0</v>
      </c>
      <c r="U29" s="6"/>
    </row>
    <row r="30" spans="1:21" s="51" customFormat="1" ht="16.5" customHeight="1" x14ac:dyDescent="0.2">
      <c r="A30" s="64"/>
      <c r="B30" s="65"/>
      <c r="C30" s="72" t="s">
        <v>19</v>
      </c>
      <c r="D30" s="67">
        <f>+D19</f>
        <v>838000</v>
      </c>
      <c r="E30" s="67"/>
      <c r="F30" s="67">
        <f t="shared" ref="F30:R30" si="7">+F19</f>
        <v>1920471</v>
      </c>
      <c r="G30" s="67"/>
      <c r="H30" s="67">
        <f t="shared" si="7"/>
        <v>2531087</v>
      </c>
      <c r="I30" s="67"/>
      <c r="J30" s="67">
        <f t="shared" si="7"/>
        <v>3099695.93</v>
      </c>
      <c r="K30" s="67"/>
      <c r="L30" s="67">
        <f t="shared" si="7"/>
        <v>2706893</v>
      </c>
      <c r="M30" s="67"/>
      <c r="N30" s="67">
        <f t="shared" si="7"/>
        <v>1052364</v>
      </c>
      <c r="O30" s="67"/>
      <c r="P30" s="67">
        <f t="shared" si="7"/>
        <v>2766909</v>
      </c>
      <c r="Q30" s="67"/>
      <c r="R30" s="67">
        <f t="shared" si="2"/>
        <v>14915419.93</v>
      </c>
      <c r="S30" s="190">
        <v>100</v>
      </c>
      <c r="T30" s="22">
        <f t="shared" si="3"/>
        <v>0</v>
      </c>
      <c r="U30" s="22"/>
    </row>
    <row r="31" spans="1:21" s="51" customFormat="1" ht="16.5" customHeight="1" x14ac:dyDescent="0.2">
      <c r="A31" s="64">
        <v>4</v>
      </c>
      <c r="B31" s="65"/>
      <c r="C31" s="72" t="s">
        <v>37</v>
      </c>
      <c r="D31" s="67">
        <f>+D4+D5-D30</f>
        <v>50252.290000000037</v>
      </c>
      <c r="E31" s="67"/>
      <c r="F31" s="67">
        <f t="shared" ref="F31:R31" si="8">+F4+F5-F30</f>
        <v>340450.7799999998</v>
      </c>
      <c r="G31" s="67"/>
      <c r="H31" s="67">
        <f t="shared" si="8"/>
        <v>799273.5</v>
      </c>
      <c r="I31" s="67"/>
      <c r="J31" s="67">
        <f t="shared" si="8"/>
        <v>465377.35000000009</v>
      </c>
      <c r="K31" s="67"/>
      <c r="L31" s="67">
        <f t="shared" si="8"/>
        <v>178060.35000000009</v>
      </c>
      <c r="M31" s="67"/>
      <c r="N31" s="67">
        <f t="shared" si="8"/>
        <v>838596.62999999989</v>
      </c>
      <c r="O31" s="67"/>
      <c r="P31" s="67">
        <f t="shared" si="8"/>
        <v>80907.429999999702</v>
      </c>
      <c r="Q31" s="67"/>
      <c r="R31" s="67">
        <f t="shared" si="2"/>
        <v>2752918.3299999996</v>
      </c>
      <c r="S31" s="67"/>
      <c r="T31" s="22">
        <f t="shared" si="3"/>
        <v>0</v>
      </c>
      <c r="U31" s="22"/>
    </row>
    <row r="32" spans="1:21" s="51" customFormat="1" ht="16.5" customHeight="1" x14ac:dyDescent="0.2">
      <c r="A32" s="61">
        <v>5</v>
      </c>
      <c r="B32" s="73"/>
      <c r="C32" s="56" t="s">
        <v>36</v>
      </c>
      <c r="D32" s="50">
        <f>+D33+D34</f>
        <v>0</v>
      </c>
      <c r="E32" s="50"/>
      <c r="F32" s="50">
        <f t="shared" ref="F32:R32" si="9">+F33+F34</f>
        <v>114436.66666666667</v>
      </c>
      <c r="G32" s="50"/>
      <c r="H32" s="50">
        <f t="shared" si="9"/>
        <v>220628.66666666666</v>
      </c>
      <c r="I32" s="50"/>
      <c r="J32" s="50">
        <f t="shared" si="9"/>
        <v>247750.66666666666</v>
      </c>
      <c r="K32" s="50"/>
      <c r="L32" s="50">
        <f t="shared" si="9"/>
        <v>116165.33333333333</v>
      </c>
      <c r="M32" s="50"/>
      <c r="N32" s="50">
        <f t="shared" si="9"/>
        <v>63114</v>
      </c>
      <c r="O32" s="50"/>
      <c r="P32" s="50">
        <f t="shared" si="9"/>
        <v>160560</v>
      </c>
      <c r="Q32" s="50"/>
      <c r="R32" s="50">
        <f t="shared" si="2"/>
        <v>922655.33333333337</v>
      </c>
      <c r="S32" s="50"/>
      <c r="T32" s="6">
        <f t="shared" si="3"/>
        <v>0</v>
      </c>
      <c r="U32" s="6"/>
    </row>
    <row r="33" spans="1:21" s="51" customFormat="1" ht="16.5" hidden="1" customHeight="1" x14ac:dyDescent="0.2">
      <c r="A33" s="61"/>
      <c r="B33" s="73"/>
      <c r="C33" s="56" t="s">
        <v>41</v>
      </c>
      <c r="D33" s="50">
        <f>+D22/12*2</f>
        <v>0</v>
      </c>
      <c r="E33" s="50"/>
      <c r="F33" s="50">
        <f t="shared" ref="F33:R33" si="10">+F22/12*2</f>
        <v>110770</v>
      </c>
      <c r="G33" s="50"/>
      <c r="H33" s="50">
        <f t="shared" si="10"/>
        <v>210412</v>
      </c>
      <c r="I33" s="50"/>
      <c r="J33" s="50">
        <f t="shared" si="10"/>
        <v>239534</v>
      </c>
      <c r="K33" s="50"/>
      <c r="L33" s="50">
        <f t="shared" si="10"/>
        <v>110132</v>
      </c>
      <c r="M33" s="50"/>
      <c r="N33" s="50">
        <f t="shared" si="10"/>
        <v>57614</v>
      </c>
      <c r="O33" s="50"/>
      <c r="P33" s="50">
        <f t="shared" si="10"/>
        <v>147846</v>
      </c>
      <c r="Q33" s="50"/>
      <c r="R33" s="50">
        <f t="shared" si="10"/>
        <v>876308</v>
      </c>
      <c r="T33" s="6"/>
      <c r="U33" s="6"/>
    </row>
    <row r="34" spans="1:21" s="51" customFormat="1" ht="16.5" hidden="1" customHeight="1" x14ac:dyDescent="0.2">
      <c r="A34" s="61"/>
      <c r="B34" s="73"/>
      <c r="C34" s="56" t="s">
        <v>42</v>
      </c>
      <c r="D34" s="50">
        <f>+D26/12*2</f>
        <v>0</v>
      </c>
      <c r="E34" s="50"/>
      <c r="F34" s="50">
        <f t="shared" ref="F34:R34" si="11">+F26/12*2</f>
        <v>3666.6666666666665</v>
      </c>
      <c r="G34" s="50"/>
      <c r="H34" s="50">
        <f t="shared" si="11"/>
        <v>10216.666666666666</v>
      </c>
      <c r="I34" s="50"/>
      <c r="J34" s="50">
        <f t="shared" si="11"/>
        <v>8216.6666666666661</v>
      </c>
      <c r="K34" s="50"/>
      <c r="L34" s="50">
        <f t="shared" si="11"/>
        <v>6033.333333333333</v>
      </c>
      <c r="M34" s="50"/>
      <c r="N34" s="50">
        <f t="shared" si="11"/>
        <v>5500</v>
      </c>
      <c r="O34" s="50"/>
      <c r="P34" s="50">
        <f t="shared" si="11"/>
        <v>12714</v>
      </c>
      <c r="Q34" s="50"/>
      <c r="R34" s="50">
        <f t="shared" si="11"/>
        <v>46347.333333333336</v>
      </c>
      <c r="T34" s="6"/>
      <c r="U34" s="6"/>
    </row>
    <row r="35" spans="1:21" s="51" customFormat="1" ht="16.5" hidden="1" customHeight="1" x14ac:dyDescent="0.2">
      <c r="A35" s="74">
        <v>6</v>
      </c>
      <c r="B35" s="75"/>
      <c r="C35" s="76" t="s">
        <v>25</v>
      </c>
      <c r="D35" s="77">
        <f>+D31-D32</f>
        <v>50252.290000000037</v>
      </c>
      <c r="E35" s="77"/>
      <c r="F35" s="77">
        <f t="shared" ref="F35:P35" si="12">+F31-F32</f>
        <v>226014.11333333311</v>
      </c>
      <c r="G35" s="77"/>
      <c r="H35" s="77">
        <f t="shared" si="12"/>
        <v>578644.83333333337</v>
      </c>
      <c r="I35" s="77"/>
      <c r="J35" s="77">
        <f>+J31-J32</f>
        <v>217626.68333333344</v>
      </c>
      <c r="K35" s="77"/>
      <c r="L35" s="77">
        <f t="shared" si="12"/>
        <v>61895.016666666765</v>
      </c>
      <c r="M35" s="77"/>
      <c r="N35" s="77">
        <f t="shared" si="12"/>
        <v>775482.62999999989</v>
      </c>
      <c r="O35" s="77"/>
      <c r="P35" s="77">
        <f t="shared" si="12"/>
        <v>-79652.570000000298</v>
      </c>
      <c r="Q35" s="77"/>
      <c r="R35" s="77">
        <f t="shared" ref="R14:R35" si="13">SUM(D35:P35)</f>
        <v>1830262.9966666664</v>
      </c>
      <c r="T35" s="28"/>
      <c r="U35" s="28"/>
    </row>
    <row r="38" spans="1:21" x14ac:dyDescent="0.55000000000000004">
      <c r="T38" s="38"/>
      <c r="U38" s="38"/>
    </row>
  </sheetData>
  <mergeCells count="14">
    <mergeCell ref="T2:T3"/>
    <mergeCell ref="U2:U3"/>
    <mergeCell ref="R2:R3"/>
    <mergeCell ref="A1:R1"/>
    <mergeCell ref="A2:B3"/>
    <mergeCell ref="C2:C3"/>
    <mergeCell ref="S2:S3"/>
    <mergeCell ref="E2:E3"/>
    <mergeCell ref="G2:G3"/>
    <mergeCell ref="I2:I3"/>
    <mergeCell ref="K2:K3"/>
    <mergeCell ref="M2:M3"/>
    <mergeCell ref="O2:O3"/>
    <mergeCell ref="Q2:Q3"/>
  </mergeCells>
  <printOptions horizontalCentered="1"/>
  <pageMargins left="0.78740157480314965" right="0.15748031496062992" top="0.19685039370078741" bottom="0.19685039370078741" header="0.11811023622047245" footer="0.11811023622047245"/>
  <pageSetup paperSize="5" scale="98" orientation="landscape" r:id="rId1"/>
  <rowBreaks count="1" manualBreakCount="1">
    <brk id="3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"/>
  <sheetViews>
    <sheetView view="pageBreakPreview" zoomScale="120" zoomScaleNormal="110" zoomScaleSheetLayoutView="120" workbookViewId="0">
      <pane xSplit="3" ySplit="3" topLeftCell="M4" activePane="bottomRight" state="frozen"/>
      <selection activeCell="F13" sqref="F13"/>
      <selection pane="topRight" activeCell="F13" sqref="F13"/>
      <selection pane="bottomLeft" activeCell="F13" sqref="F13"/>
      <selection pane="bottomRight" activeCell="M4" sqref="M1:M1048576"/>
    </sheetView>
  </sheetViews>
  <sheetFormatPr defaultRowHeight="24" x14ac:dyDescent="0.55000000000000004"/>
  <cols>
    <col min="1" max="2" width="3.875" style="1" customWidth="1"/>
    <col min="3" max="3" width="20.875" style="1" customWidth="1"/>
    <col min="4" max="4" width="7.375" style="1" bestFit="1" customWidth="1"/>
    <col min="5" max="5" width="6.125" style="1" customWidth="1"/>
    <col min="6" max="6" width="7.375" style="1" bestFit="1" customWidth="1"/>
    <col min="7" max="7" width="6.125" style="1" customWidth="1"/>
    <col min="8" max="8" width="7.375" style="1" bestFit="1" customWidth="1"/>
    <col min="9" max="9" width="6.125" style="1" customWidth="1"/>
    <col min="10" max="10" width="7.375" style="1" bestFit="1" customWidth="1"/>
    <col min="11" max="11" width="6.125" style="1" customWidth="1"/>
    <col min="12" max="12" width="7.625" style="1" bestFit="1" customWidth="1"/>
    <col min="13" max="13" width="6.125" style="1" customWidth="1"/>
    <col min="14" max="14" width="7.375" style="1" bestFit="1" customWidth="1"/>
    <col min="15" max="15" width="6.125" style="1" customWidth="1"/>
    <col min="16" max="16" width="7.375" style="1" bestFit="1" customWidth="1"/>
    <col min="17" max="17" width="6.125" style="1" customWidth="1"/>
    <col min="18" max="18" width="7.375" style="1" bestFit="1" customWidth="1"/>
    <col min="19" max="19" width="6.125" style="1" customWidth="1"/>
    <col min="20" max="20" width="7.375" style="1" bestFit="1" customWidth="1"/>
    <col min="21" max="21" width="6.125" style="1" customWidth="1"/>
    <col min="22" max="22" width="8" style="1" bestFit="1" customWidth="1"/>
    <col min="23" max="23" width="8.875" style="1" bestFit="1" customWidth="1"/>
    <col min="24" max="25" width="7.125" style="1" customWidth="1"/>
    <col min="26" max="27" width="9" style="1"/>
    <col min="28" max="28" width="4.375" style="1" customWidth="1"/>
    <col min="29" max="16384" width="9" style="1"/>
  </cols>
  <sheetData>
    <row r="1" spans="1:25" ht="16.5" customHeight="1" x14ac:dyDescent="0.55000000000000004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5" ht="18" customHeight="1" x14ac:dyDescent="0.55000000000000004">
      <c r="A2" s="197" t="s">
        <v>0</v>
      </c>
      <c r="B2" s="198"/>
      <c r="C2" s="201" t="s">
        <v>35</v>
      </c>
      <c r="D2" s="43" t="s">
        <v>76</v>
      </c>
      <c r="E2" s="203" t="s">
        <v>165</v>
      </c>
      <c r="F2" s="43" t="s">
        <v>76</v>
      </c>
      <c r="G2" s="203" t="s">
        <v>165</v>
      </c>
      <c r="H2" s="43" t="s">
        <v>76</v>
      </c>
      <c r="I2" s="203" t="s">
        <v>165</v>
      </c>
      <c r="J2" s="43" t="s">
        <v>76</v>
      </c>
      <c r="K2" s="203" t="s">
        <v>165</v>
      </c>
      <c r="L2" s="43" t="s">
        <v>76</v>
      </c>
      <c r="M2" s="203" t="s">
        <v>165</v>
      </c>
      <c r="N2" s="43" t="s">
        <v>76</v>
      </c>
      <c r="O2" s="203" t="s">
        <v>165</v>
      </c>
      <c r="P2" s="43" t="s">
        <v>76</v>
      </c>
      <c r="Q2" s="203" t="s">
        <v>165</v>
      </c>
      <c r="R2" s="43" t="s">
        <v>76</v>
      </c>
      <c r="S2" s="203" t="s">
        <v>165</v>
      </c>
      <c r="T2" s="43" t="s">
        <v>76</v>
      </c>
      <c r="U2" s="203" t="s">
        <v>165</v>
      </c>
      <c r="V2" s="194" t="s">
        <v>166</v>
      </c>
      <c r="W2" s="194" t="s">
        <v>159</v>
      </c>
      <c r="X2" s="194" t="s">
        <v>167</v>
      </c>
      <c r="Y2" s="194" t="s">
        <v>168</v>
      </c>
    </row>
    <row r="3" spans="1:25" ht="27" customHeight="1" x14ac:dyDescent="0.55000000000000004">
      <c r="A3" s="199"/>
      <c r="B3" s="200"/>
      <c r="C3" s="202"/>
      <c r="D3" s="46" t="s">
        <v>106</v>
      </c>
      <c r="E3" s="206"/>
      <c r="F3" s="45" t="s">
        <v>103</v>
      </c>
      <c r="G3" s="206"/>
      <c r="H3" s="45" t="s">
        <v>107</v>
      </c>
      <c r="I3" s="206"/>
      <c r="J3" s="45" t="s">
        <v>108</v>
      </c>
      <c r="K3" s="206"/>
      <c r="L3" s="45" t="s">
        <v>109</v>
      </c>
      <c r="M3" s="206"/>
      <c r="N3" s="45" t="s">
        <v>110</v>
      </c>
      <c r="O3" s="206"/>
      <c r="P3" s="45" t="s">
        <v>111</v>
      </c>
      <c r="Q3" s="206"/>
      <c r="R3" s="45" t="s">
        <v>112</v>
      </c>
      <c r="S3" s="206"/>
      <c r="T3" s="45" t="s">
        <v>9</v>
      </c>
      <c r="U3" s="206"/>
      <c r="V3" s="195"/>
      <c r="W3" s="195"/>
      <c r="X3" s="195"/>
      <c r="Y3" s="195"/>
    </row>
    <row r="4" spans="1:25" s="173" customFormat="1" ht="16.5" customHeight="1" x14ac:dyDescent="0.2">
      <c r="A4" s="52">
        <v>1</v>
      </c>
      <c r="B4" s="53"/>
      <c r="C4" s="170" t="s">
        <v>22</v>
      </c>
      <c r="D4" s="171">
        <v>67382.27</v>
      </c>
      <c r="E4" s="171"/>
      <c r="F4" s="171">
        <v>180149.47</v>
      </c>
      <c r="G4" s="171"/>
      <c r="H4" s="171">
        <v>102637.98</v>
      </c>
      <c r="I4" s="171"/>
      <c r="J4" s="171">
        <v>69660</v>
      </c>
      <c r="K4" s="171"/>
      <c r="L4" s="171">
        <v>189361.27</v>
      </c>
      <c r="M4" s="171"/>
      <c r="N4" s="171">
        <v>10589.12</v>
      </c>
      <c r="O4" s="171"/>
      <c r="P4" s="171">
        <v>123315.81</v>
      </c>
      <c r="Q4" s="171"/>
      <c r="R4" s="171">
        <v>588012.67000000004</v>
      </c>
      <c r="S4" s="171"/>
      <c r="T4" s="171">
        <v>128050.56</v>
      </c>
      <c r="U4" s="171"/>
      <c r="V4" s="55">
        <f>+D4+F4+H4+J4+L4+N4+P4+R4+T4</f>
        <v>1459159.15</v>
      </c>
      <c r="W4" s="154">
        <f>+V4*100/V18</f>
        <v>10.643528995201573</v>
      </c>
      <c r="X4" s="172">
        <f>+E4+G4+I4+K4+M4+O4+Q4+S4+U4</f>
        <v>0</v>
      </c>
      <c r="Y4" s="172"/>
    </row>
    <row r="5" spans="1:25" s="51" customFormat="1" ht="16.5" customHeight="1" x14ac:dyDescent="0.2">
      <c r="A5" s="52">
        <v>2</v>
      </c>
      <c r="B5" s="53"/>
      <c r="C5" s="54" t="s">
        <v>38</v>
      </c>
      <c r="D5" s="55">
        <f>+D6+D7+D14+D15+D16+D17</f>
        <v>1190660</v>
      </c>
      <c r="E5" s="55"/>
      <c r="F5" s="55">
        <f t="shared" ref="F5" si="0">+F6+F7+F14+F15+F16+F17+F13</f>
        <v>1691050</v>
      </c>
      <c r="G5" s="55"/>
      <c r="H5" s="55">
        <f>+H6+H7+H14+H15+H16+H17+H13</f>
        <v>2316513</v>
      </c>
      <c r="I5" s="55"/>
      <c r="J5" s="55">
        <f>+J6+J7+J14+J15+J16+J17+J13</f>
        <v>785578.78</v>
      </c>
      <c r="K5" s="55"/>
      <c r="L5" s="55">
        <f t="shared" ref="L5:T5" si="1">+L6+L7+L14+L15+L16+L17+L13</f>
        <v>823960</v>
      </c>
      <c r="M5" s="55"/>
      <c r="N5" s="55">
        <f t="shared" si="1"/>
        <v>1009090</v>
      </c>
      <c r="O5" s="55"/>
      <c r="P5" s="55">
        <f t="shared" si="1"/>
        <v>1015280</v>
      </c>
      <c r="Q5" s="55"/>
      <c r="R5" s="55">
        <f t="shared" si="1"/>
        <v>1604718.8399999999</v>
      </c>
      <c r="S5" s="55"/>
      <c r="T5" s="55">
        <f t="shared" si="1"/>
        <v>1813345</v>
      </c>
      <c r="U5" s="55"/>
      <c r="V5" s="55">
        <f t="shared" ref="V5:V32" si="2">+D5+F5+H5+J5+L5+N5+P5+R5+T5</f>
        <v>12250195.620000001</v>
      </c>
      <c r="W5" s="154">
        <f>+V5*100/V18</f>
        <v>89.356471004798422</v>
      </c>
      <c r="X5" s="172">
        <f t="shared" ref="X5:X32" si="3">+E5+G5+I5+K5+M5+O5+Q5+S5+U5</f>
        <v>0</v>
      </c>
      <c r="Y5" s="172"/>
    </row>
    <row r="6" spans="1:25" s="51" customFormat="1" ht="16.5" customHeight="1" x14ac:dyDescent="0.2">
      <c r="A6" s="47"/>
      <c r="B6" s="48">
        <v>2.1</v>
      </c>
      <c r="C6" s="56" t="s">
        <v>23</v>
      </c>
      <c r="D6" s="50">
        <v>500</v>
      </c>
      <c r="E6" s="50"/>
      <c r="F6" s="50">
        <v>1500</v>
      </c>
      <c r="G6" s="50"/>
      <c r="H6" s="50">
        <v>1000</v>
      </c>
      <c r="I6" s="50"/>
      <c r="J6" s="50">
        <v>450</v>
      </c>
      <c r="K6" s="50"/>
      <c r="L6" s="50"/>
      <c r="M6" s="50"/>
      <c r="N6" s="50">
        <v>3000</v>
      </c>
      <c r="O6" s="50"/>
      <c r="P6" s="50">
        <v>2500</v>
      </c>
      <c r="Q6" s="50"/>
      <c r="R6" s="50">
        <v>356.67</v>
      </c>
      <c r="S6" s="50"/>
      <c r="T6" s="50">
        <v>9000</v>
      </c>
      <c r="U6" s="50"/>
      <c r="V6" s="50">
        <f t="shared" si="2"/>
        <v>18306.669999999998</v>
      </c>
      <c r="W6" s="135">
        <f>+V6*100/V18</f>
        <v>0.13353414735506181</v>
      </c>
      <c r="X6" s="129">
        <f t="shared" si="3"/>
        <v>0</v>
      </c>
      <c r="Y6" s="129"/>
    </row>
    <row r="7" spans="1:25" s="51" customFormat="1" ht="16.5" customHeight="1" x14ac:dyDescent="0.2">
      <c r="A7" s="52"/>
      <c r="B7" s="53">
        <v>2.2000000000000002</v>
      </c>
      <c r="C7" s="54" t="s">
        <v>24</v>
      </c>
      <c r="D7" s="55">
        <f>SUM(D8:D12)</f>
        <v>1188260</v>
      </c>
      <c r="E7" s="55"/>
      <c r="F7" s="55">
        <f t="shared" ref="F7:T7" si="4">SUM(F8:F12)</f>
        <v>1330910</v>
      </c>
      <c r="G7" s="55"/>
      <c r="H7" s="55">
        <f t="shared" si="4"/>
        <v>1449515</v>
      </c>
      <c r="I7" s="55"/>
      <c r="J7" s="55">
        <f t="shared" si="4"/>
        <v>700499</v>
      </c>
      <c r="K7" s="55"/>
      <c r="L7" s="55">
        <f t="shared" si="4"/>
        <v>624740</v>
      </c>
      <c r="M7" s="55"/>
      <c r="N7" s="55">
        <f t="shared" si="4"/>
        <v>989190</v>
      </c>
      <c r="O7" s="55"/>
      <c r="P7" s="55">
        <f t="shared" si="4"/>
        <v>741980</v>
      </c>
      <c r="Q7" s="55"/>
      <c r="R7" s="55">
        <f t="shared" si="4"/>
        <v>1408658</v>
      </c>
      <c r="S7" s="55"/>
      <c r="T7" s="55">
        <f t="shared" si="4"/>
        <v>1360945</v>
      </c>
      <c r="U7" s="55"/>
      <c r="V7" s="55">
        <f t="shared" si="2"/>
        <v>9794697</v>
      </c>
      <c r="W7" s="55"/>
      <c r="X7" s="172">
        <f t="shared" si="3"/>
        <v>0</v>
      </c>
      <c r="Y7" s="172"/>
    </row>
    <row r="8" spans="1:25" s="51" customFormat="1" ht="16.5" customHeight="1" x14ac:dyDescent="0.2">
      <c r="A8" s="47"/>
      <c r="B8" s="48"/>
      <c r="C8" s="49" t="s">
        <v>17</v>
      </c>
      <c r="D8" s="50">
        <v>110000</v>
      </c>
      <c r="E8" s="50"/>
      <c r="F8" s="50">
        <v>318000</v>
      </c>
      <c r="G8" s="50"/>
      <c r="H8" s="50">
        <v>70000</v>
      </c>
      <c r="I8" s="50"/>
      <c r="J8" s="50">
        <v>140309</v>
      </c>
      <c r="K8" s="50"/>
      <c r="L8" s="50">
        <v>62600</v>
      </c>
      <c r="M8" s="50"/>
      <c r="N8" s="50">
        <v>55000</v>
      </c>
      <c r="O8" s="50"/>
      <c r="P8" s="50">
        <v>75500</v>
      </c>
      <c r="Q8" s="50"/>
      <c r="R8" s="50">
        <v>295500</v>
      </c>
      <c r="S8" s="50"/>
      <c r="T8" s="50">
        <v>155000</v>
      </c>
      <c r="U8" s="50"/>
      <c r="V8" s="50">
        <f t="shared" si="2"/>
        <v>1281909</v>
      </c>
      <c r="W8" s="135">
        <f>+V8*100/V18</f>
        <v>9.3506151201600272</v>
      </c>
      <c r="X8" s="129">
        <f t="shared" si="3"/>
        <v>0</v>
      </c>
      <c r="Y8" s="129"/>
    </row>
    <row r="9" spans="1:25" s="51" customFormat="1" ht="16.5" customHeight="1" x14ac:dyDescent="0.2">
      <c r="A9" s="47"/>
      <c r="B9" s="48"/>
      <c r="C9" s="49" t="s">
        <v>65</v>
      </c>
      <c r="D9" s="50">
        <v>216000</v>
      </c>
      <c r="E9" s="50"/>
      <c r="F9" s="50">
        <v>240000</v>
      </c>
      <c r="G9" s="50"/>
      <c r="H9" s="50">
        <v>240000</v>
      </c>
      <c r="I9" s="50"/>
      <c r="J9" s="50">
        <v>216000</v>
      </c>
      <c r="K9" s="50"/>
      <c r="L9" s="50">
        <v>216000</v>
      </c>
      <c r="M9" s="50"/>
      <c r="N9" s="50">
        <v>291000</v>
      </c>
      <c r="O9" s="50"/>
      <c r="P9" s="50">
        <v>216000</v>
      </c>
      <c r="Q9" s="50"/>
      <c r="R9" s="50">
        <v>240000</v>
      </c>
      <c r="S9" s="50"/>
      <c r="T9" s="50">
        <v>216000</v>
      </c>
      <c r="U9" s="50"/>
      <c r="V9" s="50">
        <f t="shared" si="2"/>
        <v>2091000</v>
      </c>
      <c r="W9" s="135">
        <f>+V9*100/V18</f>
        <v>15.252358955475479</v>
      </c>
      <c r="X9" s="129">
        <f t="shared" si="3"/>
        <v>0</v>
      </c>
      <c r="Y9" s="129"/>
    </row>
    <row r="10" spans="1:25" s="51" customFormat="1" ht="16.5" customHeight="1" x14ac:dyDescent="0.2">
      <c r="A10" s="47"/>
      <c r="B10" s="48"/>
      <c r="C10" s="49" t="s">
        <v>14</v>
      </c>
      <c r="D10" s="50">
        <v>161100</v>
      </c>
      <c r="E10" s="50"/>
      <c r="F10" s="50">
        <v>78510</v>
      </c>
      <c r="G10" s="50"/>
      <c r="H10" s="50">
        <v>131275</v>
      </c>
      <c r="I10" s="169"/>
      <c r="J10" s="57">
        <v>36990</v>
      </c>
      <c r="K10" s="57"/>
      <c r="L10" s="50">
        <v>46980</v>
      </c>
      <c r="M10" s="50"/>
      <c r="N10" s="50">
        <v>110750</v>
      </c>
      <c r="O10" s="50"/>
      <c r="P10" s="50">
        <v>47280</v>
      </c>
      <c r="Q10" s="50"/>
      <c r="R10" s="50">
        <v>115550</v>
      </c>
      <c r="S10" s="50"/>
      <c r="T10" s="50">
        <v>125105</v>
      </c>
      <c r="U10" s="50"/>
      <c r="V10" s="50">
        <f t="shared" si="2"/>
        <v>853540</v>
      </c>
      <c r="W10" s="135">
        <f>+V10*100/V18</f>
        <v>6.2259677010313439</v>
      </c>
      <c r="X10" s="129">
        <f t="shared" si="3"/>
        <v>0</v>
      </c>
      <c r="Y10" s="129"/>
    </row>
    <row r="11" spans="1:25" s="51" customFormat="1" ht="16.5" customHeight="1" x14ac:dyDescent="0.2">
      <c r="A11" s="47"/>
      <c r="B11" s="48"/>
      <c r="C11" s="58" t="s">
        <v>64</v>
      </c>
      <c r="D11" s="50">
        <f>120000+82800</f>
        <v>202800</v>
      </c>
      <c r="E11" s="50"/>
      <c r="F11" s="50">
        <f>120000+140000</f>
        <v>260000</v>
      </c>
      <c r="G11" s="50"/>
      <c r="H11" s="50">
        <f>120000+132000</f>
        <v>252000</v>
      </c>
      <c r="I11" s="50"/>
      <c r="J11" s="50">
        <f>120000+90000</f>
        <v>210000</v>
      </c>
      <c r="K11" s="50"/>
      <c r="L11" s="50">
        <f>120000+84000</f>
        <v>204000</v>
      </c>
      <c r="M11" s="50"/>
      <c r="N11" s="50">
        <f>144000+81600</f>
        <v>225600</v>
      </c>
      <c r="O11" s="50"/>
      <c r="P11" s="50">
        <f>144000+64800</f>
        <v>208800</v>
      </c>
      <c r="Q11" s="50"/>
      <c r="R11" s="50">
        <f>144000+124800</f>
        <v>268800</v>
      </c>
      <c r="S11" s="50"/>
      <c r="T11" s="50">
        <f>144000+121200</f>
        <v>265200</v>
      </c>
      <c r="U11" s="50"/>
      <c r="V11" s="50">
        <f t="shared" si="2"/>
        <v>2097200</v>
      </c>
      <c r="W11" s="135">
        <f>+V11*100/V18</f>
        <v>15.297583549221986</v>
      </c>
      <c r="X11" s="129">
        <f t="shared" si="3"/>
        <v>0</v>
      </c>
      <c r="Y11" s="129"/>
    </row>
    <row r="12" spans="1:25" s="51" customFormat="1" ht="16.5" customHeight="1" x14ac:dyDescent="0.2">
      <c r="A12" s="47"/>
      <c r="B12" s="48"/>
      <c r="C12" s="49" t="s">
        <v>10</v>
      </c>
      <c r="D12" s="50">
        <v>498360</v>
      </c>
      <c r="E12" s="50"/>
      <c r="F12" s="50">
        <v>434400</v>
      </c>
      <c r="G12" s="50"/>
      <c r="H12" s="50">
        <v>756240</v>
      </c>
      <c r="I12" s="50"/>
      <c r="J12" s="50">
        <v>97200</v>
      </c>
      <c r="K12" s="50"/>
      <c r="L12" s="56">
        <v>95160</v>
      </c>
      <c r="M12" s="56"/>
      <c r="N12" s="56">
        <v>306840</v>
      </c>
      <c r="O12" s="56"/>
      <c r="P12" s="56">
        <v>194400</v>
      </c>
      <c r="Q12" s="56"/>
      <c r="R12" s="50">
        <v>488808</v>
      </c>
      <c r="S12" s="50"/>
      <c r="T12" s="50">
        <v>599640</v>
      </c>
      <c r="U12" s="50"/>
      <c r="V12" s="50">
        <f t="shared" si="2"/>
        <v>3471048</v>
      </c>
      <c r="W12" s="135">
        <f>+V12*100/V18</f>
        <v>25.318828334617528</v>
      </c>
      <c r="X12" s="129">
        <f t="shared" si="3"/>
        <v>0</v>
      </c>
      <c r="Y12" s="129"/>
    </row>
    <row r="13" spans="1:25" s="51" customFormat="1" ht="16.5" customHeight="1" x14ac:dyDescent="0.2">
      <c r="A13" s="47"/>
      <c r="B13" s="48"/>
      <c r="C13" s="49" t="s">
        <v>70</v>
      </c>
      <c r="D13" s="50"/>
      <c r="E13" s="50"/>
      <c r="F13" s="50"/>
      <c r="G13" s="50"/>
      <c r="H13" s="50"/>
      <c r="I13" s="50"/>
      <c r="J13" s="50"/>
      <c r="K13" s="50"/>
      <c r="L13" s="59"/>
      <c r="M13" s="59"/>
      <c r="N13" s="59"/>
      <c r="O13" s="59"/>
      <c r="P13" s="59"/>
      <c r="Q13" s="59"/>
      <c r="R13" s="50"/>
      <c r="S13" s="50"/>
      <c r="T13" s="50"/>
      <c r="U13" s="50"/>
      <c r="V13" s="50">
        <f t="shared" si="2"/>
        <v>0</v>
      </c>
      <c r="W13" s="50"/>
      <c r="X13" s="129">
        <f t="shared" si="3"/>
        <v>0</v>
      </c>
      <c r="Y13" s="129"/>
    </row>
    <row r="14" spans="1:25" s="51" customFormat="1" ht="16.5" customHeight="1" x14ac:dyDescent="0.2">
      <c r="A14" s="47"/>
      <c r="B14" s="60">
        <v>2.2999999999999998</v>
      </c>
      <c r="C14" s="49" t="s">
        <v>44</v>
      </c>
      <c r="D14" s="50">
        <v>900</v>
      </c>
      <c r="E14" s="50"/>
      <c r="F14" s="50">
        <v>2000</v>
      </c>
      <c r="G14" s="50"/>
      <c r="H14" s="50">
        <v>1500</v>
      </c>
      <c r="I14" s="50"/>
      <c r="J14" s="50">
        <v>819.78</v>
      </c>
      <c r="K14" s="50"/>
      <c r="L14" s="50">
        <v>900</v>
      </c>
      <c r="M14" s="50"/>
      <c r="N14" s="50">
        <v>1200</v>
      </c>
      <c r="O14" s="50"/>
      <c r="P14" s="50">
        <v>1500</v>
      </c>
      <c r="Q14" s="50"/>
      <c r="R14" s="50">
        <v>1014.17</v>
      </c>
      <c r="S14" s="50"/>
      <c r="T14" s="50">
        <v>900</v>
      </c>
      <c r="U14" s="50"/>
      <c r="V14" s="50">
        <f t="shared" si="2"/>
        <v>10733.949999999999</v>
      </c>
      <c r="W14" s="135">
        <f>+V14*100/V18</f>
        <v>7.8296536781504555E-2</v>
      </c>
      <c r="X14" s="129">
        <f t="shared" si="3"/>
        <v>0</v>
      </c>
      <c r="Y14" s="129"/>
    </row>
    <row r="15" spans="1:25" s="51" customFormat="1" ht="16.5" customHeight="1" x14ac:dyDescent="0.2">
      <c r="A15" s="61"/>
      <c r="B15" s="62">
        <v>2.4</v>
      </c>
      <c r="C15" s="63" t="s">
        <v>66</v>
      </c>
      <c r="D15" s="50"/>
      <c r="E15" s="50"/>
      <c r="F15" s="50">
        <v>196500</v>
      </c>
      <c r="G15" s="50"/>
      <c r="H15" s="50">
        <v>266000</v>
      </c>
      <c r="I15" s="50"/>
      <c r="J15" s="50">
        <v>23000</v>
      </c>
      <c r="K15" s="50"/>
      <c r="L15" s="50"/>
      <c r="M15" s="50"/>
      <c r="N15" s="50">
        <v>11500</v>
      </c>
      <c r="O15" s="50"/>
      <c r="P15" s="50">
        <v>107500</v>
      </c>
      <c r="Q15" s="50"/>
      <c r="R15" s="50">
        <v>29000</v>
      </c>
      <c r="S15" s="50"/>
      <c r="T15" s="50">
        <v>185000</v>
      </c>
      <c r="U15" s="50"/>
      <c r="V15" s="50">
        <f t="shared" si="2"/>
        <v>818500</v>
      </c>
      <c r="W15" s="135">
        <f>+V15*100/V18</f>
        <v>5.9703758034704348</v>
      </c>
      <c r="X15" s="130">
        <f t="shared" si="3"/>
        <v>0</v>
      </c>
      <c r="Y15" s="130"/>
    </row>
    <row r="16" spans="1:25" s="51" customFormat="1" ht="16.5" customHeight="1" x14ac:dyDescent="0.2">
      <c r="A16" s="61"/>
      <c r="B16" s="62">
        <v>2.5</v>
      </c>
      <c r="C16" s="63" t="s">
        <v>92</v>
      </c>
      <c r="D16" s="50"/>
      <c r="E16" s="50"/>
      <c r="F16" s="50">
        <v>160140</v>
      </c>
      <c r="G16" s="50"/>
      <c r="H16" s="50">
        <v>302000</v>
      </c>
      <c r="I16" s="50"/>
      <c r="J16" s="50">
        <v>60700</v>
      </c>
      <c r="K16" s="50"/>
      <c r="L16" s="50">
        <v>198320</v>
      </c>
      <c r="M16" s="50"/>
      <c r="N16" s="50"/>
      <c r="O16" s="50"/>
      <c r="P16" s="50">
        <v>161800</v>
      </c>
      <c r="Q16" s="50"/>
      <c r="R16" s="50">
        <v>165220</v>
      </c>
      <c r="S16" s="50"/>
      <c r="T16" s="50">
        <v>257500</v>
      </c>
      <c r="U16" s="50"/>
      <c r="V16" s="50">
        <f t="shared" si="2"/>
        <v>1305680</v>
      </c>
      <c r="W16" s="135">
        <f>+V16*100/V18</f>
        <v>9.5240076714420017</v>
      </c>
      <c r="X16" s="129">
        <f t="shared" si="3"/>
        <v>0</v>
      </c>
      <c r="Y16" s="129"/>
    </row>
    <row r="17" spans="1:25" s="51" customFormat="1" ht="16.5" customHeight="1" x14ac:dyDescent="0.2">
      <c r="A17" s="61"/>
      <c r="B17" s="62">
        <v>2.6</v>
      </c>
      <c r="C17" s="63" t="s">
        <v>43</v>
      </c>
      <c r="D17" s="50">
        <v>1000</v>
      </c>
      <c r="E17" s="50"/>
      <c r="F17" s="50"/>
      <c r="G17" s="50"/>
      <c r="H17" s="50">
        <f>2000+294498</f>
        <v>296498</v>
      </c>
      <c r="I17" s="50"/>
      <c r="J17" s="50">
        <v>110</v>
      </c>
      <c r="K17" s="50"/>
      <c r="L17" s="50"/>
      <c r="M17" s="50"/>
      <c r="N17" s="50">
        <v>4200</v>
      </c>
      <c r="O17" s="50"/>
      <c r="P17" s="50"/>
      <c r="Q17" s="50"/>
      <c r="R17" s="50">
        <v>470</v>
      </c>
      <c r="S17" s="50"/>
      <c r="T17" s="50"/>
      <c r="U17" s="50"/>
      <c r="V17" s="50">
        <f t="shared" si="2"/>
        <v>302278</v>
      </c>
      <c r="W17" s="135">
        <f>+V17*100/V18</f>
        <v>2.2049031852430496</v>
      </c>
      <c r="X17" s="130">
        <f t="shared" si="3"/>
        <v>0</v>
      </c>
      <c r="Y17" s="130"/>
    </row>
    <row r="18" spans="1:25" s="51" customFormat="1" ht="16.5" customHeight="1" x14ac:dyDescent="0.2">
      <c r="A18" s="64"/>
      <c r="B18" s="65"/>
      <c r="C18" s="66" t="s">
        <v>40</v>
      </c>
      <c r="D18" s="67">
        <f>+D4+D5</f>
        <v>1258042.27</v>
      </c>
      <c r="E18" s="67"/>
      <c r="F18" s="67">
        <f t="shared" ref="F18:T18" si="5">+F4+F5</f>
        <v>1871199.47</v>
      </c>
      <c r="G18" s="67"/>
      <c r="H18" s="67">
        <f t="shared" si="5"/>
        <v>2419150.98</v>
      </c>
      <c r="I18" s="67"/>
      <c r="J18" s="67">
        <f t="shared" si="5"/>
        <v>855238.78</v>
      </c>
      <c r="K18" s="67"/>
      <c r="L18" s="67">
        <f t="shared" si="5"/>
        <v>1013321.27</v>
      </c>
      <c r="M18" s="67"/>
      <c r="N18" s="67">
        <f t="shared" si="5"/>
        <v>1019679.12</v>
      </c>
      <c r="O18" s="67"/>
      <c r="P18" s="67">
        <f t="shared" si="5"/>
        <v>1138595.81</v>
      </c>
      <c r="Q18" s="67"/>
      <c r="R18" s="67">
        <f t="shared" si="5"/>
        <v>2192731.5099999998</v>
      </c>
      <c r="S18" s="67"/>
      <c r="T18" s="67">
        <f t="shared" si="5"/>
        <v>1941395.56</v>
      </c>
      <c r="U18" s="67"/>
      <c r="V18" s="67">
        <f t="shared" si="2"/>
        <v>13709354.770000001</v>
      </c>
      <c r="W18" s="190">
        <v>100</v>
      </c>
      <c r="X18" s="22">
        <f t="shared" si="3"/>
        <v>0</v>
      </c>
      <c r="Y18" s="22"/>
    </row>
    <row r="19" spans="1:25" s="51" customFormat="1" ht="16.5" customHeight="1" x14ac:dyDescent="0.2">
      <c r="A19" s="68">
        <v>3</v>
      </c>
      <c r="B19" s="69"/>
      <c r="C19" s="70" t="s">
        <v>1</v>
      </c>
      <c r="D19" s="55">
        <f>SUM(D20:D29)</f>
        <v>1188208</v>
      </c>
      <c r="E19" s="55"/>
      <c r="F19" s="55">
        <f t="shared" ref="F19:V19" si="6">SUM(F20:F29)</f>
        <v>1759800</v>
      </c>
      <c r="G19" s="55"/>
      <c r="H19" s="55">
        <f t="shared" si="6"/>
        <v>2219065</v>
      </c>
      <c r="I19" s="55"/>
      <c r="J19" s="55">
        <f t="shared" si="6"/>
        <v>784846.14</v>
      </c>
      <c r="K19" s="55"/>
      <c r="L19" s="55">
        <f t="shared" si="6"/>
        <v>917863</v>
      </c>
      <c r="M19" s="55"/>
      <c r="N19" s="55">
        <f t="shared" si="6"/>
        <v>1010170</v>
      </c>
      <c r="O19" s="55"/>
      <c r="P19" s="55">
        <f t="shared" si="6"/>
        <v>1089580</v>
      </c>
      <c r="Q19" s="55"/>
      <c r="R19" s="55">
        <f t="shared" si="6"/>
        <v>2060494</v>
      </c>
      <c r="S19" s="55"/>
      <c r="T19" s="55">
        <f t="shared" si="6"/>
        <v>1881375</v>
      </c>
      <c r="U19" s="55"/>
      <c r="V19" s="55">
        <f t="shared" si="2"/>
        <v>12911401.140000001</v>
      </c>
      <c r="W19" s="55"/>
      <c r="X19" s="174">
        <f t="shared" si="3"/>
        <v>0</v>
      </c>
      <c r="Y19" s="174"/>
    </row>
    <row r="20" spans="1:25" s="51" customFormat="1" ht="16.5" customHeight="1" x14ac:dyDescent="0.2">
      <c r="A20" s="61"/>
      <c r="B20" s="62">
        <v>3.1</v>
      </c>
      <c r="C20" s="63" t="s">
        <v>17</v>
      </c>
      <c r="D20" s="50">
        <f>55000+36000+4000+2400+3200</f>
        <v>100600</v>
      </c>
      <c r="E20" s="50"/>
      <c r="F20" s="50">
        <v>318000</v>
      </c>
      <c r="G20" s="50"/>
      <c r="H20" s="50">
        <f>50000+15000+5000</f>
        <v>70000</v>
      </c>
      <c r="I20" s="50"/>
      <c r="J20" s="50">
        <v>148846.14000000001</v>
      </c>
      <c r="K20" s="50"/>
      <c r="L20" s="50">
        <f>55500+22000+6500</f>
        <v>84000</v>
      </c>
      <c r="M20" s="50"/>
      <c r="N20" s="50">
        <f>30000+5000+15000+18000+6000+500+10000</f>
        <v>84500</v>
      </c>
      <c r="O20" s="50"/>
      <c r="P20" s="50">
        <f>65500+10000+2000</f>
        <v>77500</v>
      </c>
      <c r="Q20" s="50"/>
      <c r="R20" s="50">
        <f>150000+7800+65000+20000+4000+20000</f>
        <v>266800</v>
      </c>
      <c r="S20" s="50"/>
      <c r="T20" s="50">
        <f>95000+50000+25000+1500</f>
        <v>171500</v>
      </c>
      <c r="U20" s="50"/>
      <c r="V20" s="50">
        <f t="shared" si="2"/>
        <v>1321746.1400000001</v>
      </c>
      <c r="W20" s="135">
        <f>+V20*100/V30</f>
        <v>10.237046511591847</v>
      </c>
      <c r="X20" s="129">
        <f t="shared" si="3"/>
        <v>0</v>
      </c>
      <c r="Y20" s="129"/>
    </row>
    <row r="21" spans="1:25" s="51" customFormat="1" ht="16.5" customHeight="1" x14ac:dyDescent="0.2">
      <c r="A21" s="61"/>
      <c r="B21" s="62">
        <v>3.2</v>
      </c>
      <c r="C21" s="58" t="s">
        <v>14</v>
      </c>
      <c r="D21" s="50">
        <v>42330</v>
      </c>
      <c r="E21" s="50"/>
      <c r="F21" s="50">
        <v>250100</v>
      </c>
      <c r="G21" s="50"/>
      <c r="H21" s="50">
        <v>483275</v>
      </c>
      <c r="I21" s="50"/>
      <c r="J21" s="50">
        <v>130640</v>
      </c>
      <c r="K21" s="50"/>
      <c r="L21" s="50">
        <v>260300</v>
      </c>
      <c r="M21" s="50"/>
      <c r="N21" s="50">
        <v>129230</v>
      </c>
      <c r="O21" s="50"/>
      <c r="P21" s="50">
        <v>224080</v>
      </c>
      <c r="Q21" s="50"/>
      <c r="R21" s="50">
        <v>357486</v>
      </c>
      <c r="S21" s="50"/>
      <c r="T21" s="50">
        <v>458035</v>
      </c>
      <c r="U21" s="50"/>
      <c r="V21" s="50">
        <f t="shared" si="2"/>
        <v>2335476</v>
      </c>
      <c r="W21" s="135">
        <f>+V21*100/V30</f>
        <v>18.088478350847677</v>
      </c>
      <c r="X21" s="129">
        <f t="shared" si="3"/>
        <v>0</v>
      </c>
      <c r="Y21" s="129"/>
    </row>
    <row r="22" spans="1:25" s="51" customFormat="1" ht="16.5" customHeight="1" x14ac:dyDescent="0.2">
      <c r="A22" s="61"/>
      <c r="B22" s="62">
        <v>3.3</v>
      </c>
      <c r="C22" s="49" t="s">
        <v>10</v>
      </c>
      <c r="D22" s="50">
        <f>191520+209640+97200+24918</f>
        <v>523278</v>
      </c>
      <c r="E22" s="50"/>
      <c r="F22" s="50">
        <f>203040+97200+134160</f>
        <v>434400</v>
      </c>
      <c r="G22" s="50"/>
      <c r="H22" s="50">
        <f>191520+328920+138600+97200+28500</f>
        <v>784740</v>
      </c>
      <c r="I22" s="50"/>
      <c r="J22" s="50">
        <f>97200+4860</f>
        <v>102060</v>
      </c>
      <c r="K22" s="50"/>
      <c r="L22" s="50">
        <f>95160+4758</f>
        <v>99918</v>
      </c>
      <c r="M22" s="50"/>
      <c r="N22" s="50">
        <f>209640+97200</f>
        <v>306840</v>
      </c>
      <c r="O22" s="50"/>
      <c r="P22" s="50">
        <f>97200+97200</f>
        <v>194400</v>
      </c>
      <c r="Q22" s="50"/>
      <c r="R22" s="50">
        <f>166200+109368+213240</f>
        <v>488808</v>
      </c>
      <c r="S22" s="50"/>
      <c r="T22" s="50">
        <f>160200+165360+136440+137640+29900</f>
        <v>629540</v>
      </c>
      <c r="U22" s="50"/>
      <c r="V22" s="50">
        <f t="shared" si="2"/>
        <v>3563984</v>
      </c>
      <c r="W22" s="135">
        <f>+V22*100/V30</f>
        <v>27.603386815693032</v>
      </c>
      <c r="X22" s="129">
        <f t="shared" si="3"/>
        <v>0</v>
      </c>
      <c r="Y22" s="129"/>
    </row>
    <row r="23" spans="1:25" s="51" customFormat="1" ht="16.5" customHeight="1" x14ac:dyDescent="0.2">
      <c r="A23" s="61"/>
      <c r="B23" s="62">
        <v>3.4</v>
      </c>
      <c r="C23" s="58" t="s">
        <v>64</v>
      </c>
      <c r="D23" s="50">
        <f>120000+82800</f>
        <v>202800</v>
      </c>
      <c r="E23" s="50"/>
      <c r="F23" s="50">
        <f>120000+140000</f>
        <v>260000</v>
      </c>
      <c r="G23" s="50"/>
      <c r="H23" s="50">
        <f>120000+132000</f>
        <v>252000</v>
      </c>
      <c r="I23" s="50"/>
      <c r="J23" s="50">
        <f>120000+90000</f>
        <v>210000</v>
      </c>
      <c r="K23" s="50"/>
      <c r="L23" s="50">
        <f>120000+84000</f>
        <v>204000</v>
      </c>
      <c r="M23" s="50"/>
      <c r="N23" s="50">
        <f>144000+81600</f>
        <v>225600</v>
      </c>
      <c r="O23" s="50"/>
      <c r="P23" s="50">
        <f>144000+64800</f>
        <v>208800</v>
      </c>
      <c r="Q23" s="50"/>
      <c r="R23" s="50">
        <f>144000+124800</f>
        <v>268800</v>
      </c>
      <c r="S23" s="50"/>
      <c r="T23" s="50">
        <f>144000+121200</f>
        <v>265200</v>
      </c>
      <c r="U23" s="50"/>
      <c r="V23" s="50">
        <f t="shared" si="2"/>
        <v>2097200</v>
      </c>
      <c r="W23" s="135">
        <f>+V23*100/V30</f>
        <v>16.24300861897007</v>
      </c>
      <c r="X23" s="129">
        <f t="shared" si="3"/>
        <v>0</v>
      </c>
      <c r="Y23" s="129"/>
    </row>
    <row r="24" spans="1:25" s="51" customFormat="1" ht="16.5" customHeight="1" x14ac:dyDescent="0.2">
      <c r="A24" s="61"/>
      <c r="B24" s="62">
        <v>3.5</v>
      </c>
      <c r="C24" s="58" t="s">
        <v>11</v>
      </c>
      <c r="D24" s="50">
        <f>10000+15000+1000+54000+2000+24000+1000+2000</f>
        <v>109000</v>
      </c>
      <c r="E24" s="50"/>
      <c r="F24" s="50">
        <v>158000</v>
      </c>
      <c r="G24" s="50"/>
      <c r="H24" s="50">
        <f>20000+30000+54000+2000+2000+18000+2000+5000</f>
        <v>133000</v>
      </c>
      <c r="I24" s="50"/>
      <c r="J24" s="50">
        <f>10000+10000+54000+3000+5000+24000</f>
        <v>106000</v>
      </c>
      <c r="K24" s="50"/>
      <c r="L24" s="50">
        <f>15000+20000+54000+20000+24000+3000</f>
        <v>136000</v>
      </c>
      <c r="M24" s="50"/>
      <c r="N24" s="50">
        <f>10000+37000+54000+3000+12000+7600+15360</f>
        <v>138960</v>
      </c>
      <c r="O24" s="50"/>
      <c r="P24" s="50">
        <f>10000+19000+60000+5000+24000+2110+3000+9800</f>
        <v>132910</v>
      </c>
      <c r="Q24" s="50"/>
      <c r="R24" s="50">
        <v>136000</v>
      </c>
      <c r="S24" s="50"/>
      <c r="T24" s="50">
        <f>10000+34500+60000+2000+24000+2000</f>
        <v>132500</v>
      </c>
      <c r="U24" s="50"/>
      <c r="V24" s="50">
        <f t="shared" si="2"/>
        <v>1182370</v>
      </c>
      <c r="W24" s="135">
        <f>+V24*100/V30</f>
        <v>9.1575653732651361</v>
      </c>
      <c r="X24" s="129">
        <f t="shared" si="3"/>
        <v>0</v>
      </c>
      <c r="Y24" s="129"/>
    </row>
    <row r="25" spans="1:25" s="51" customFormat="1" ht="16.5" customHeight="1" x14ac:dyDescent="0.2">
      <c r="A25" s="61"/>
      <c r="B25" s="62">
        <v>3.6</v>
      </c>
      <c r="C25" s="58" t="s">
        <v>12</v>
      </c>
      <c r="D25" s="50">
        <f>10000+5000+10000+10000+2000</f>
        <v>37000</v>
      </c>
      <c r="E25" s="50"/>
      <c r="F25" s="50">
        <f>15000+12100+14000+2000+900</f>
        <v>44000</v>
      </c>
      <c r="G25" s="50"/>
      <c r="H25" s="50">
        <f>15200+8080+14170+16800+5750+1000+2000+5500</f>
        <v>68500</v>
      </c>
      <c r="I25" s="50"/>
      <c r="J25" s="50">
        <f>13000+3000+15000+12000+2000+2000+6000</f>
        <v>53000</v>
      </c>
      <c r="K25" s="50"/>
      <c r="L25" s="50">
        <f>16310+5700+13010+10600+250+2000+5500+6675</f>
        <v>60045</v>
      </c>
      <c r="M25" s="50"/>
      <c r="N25" s="50">
        <f>14470+6020+9900+12100+1100+2000+4500+5650</f>
        <v>55740</v>
      </c>
      <c r="O25" s="50"/>
      <c r="P25" s="50">
        <f>11930+4860+12200+1900+3600+12500+5800</f>
        <v>52790</v>
      </c>
      <c r="Q25" s="50"/>
      <c r="R25" s="50">
        <f>20190+15840+10470+15000+6000+2540+7460+5300</f>
        <v>82800</v>
      </c>
      <c r="S25" s="50"/>
      <c r="T25" s="50">
        <f>9200+1400+9000+12000+12000+1500+2500+500</f>
        <v>48100</v>
      </c>
      <c r="U25" s="50"/>
      <c r="V25" s="50">
        <f t="shared" si="2"/>
        <v>501975</v>
      </c>
      <c r="W25" s="135">
        <f>+V25*100/V30</f>
        <v>3.8878429579951845</v>
      </c>
      <c r="X25" s="129">
        <f t="shared" si="3"/>
        <v>0</v>
      </c>
      <c r="Y25" s="129"/>
    </row>
    <row r="26" spans="1:25" s="51" customFormat="1" ht="16.5" customHeight="1" x14ac:dyDescent="0.2">
      <c r="A26" s="61"/>
      <c r="B26" s="62">
        <v>3.7</v>
      </c>
      <c r="C26" s="58" t="s">
        <v>13</v>
      </c>
      <c r="D26" s="50">
        <f>26000+1200</f>
        <v>27200</v>
      </c>
      <c r="E26" s="50"/>
      <c r="F26" s="50">
        <f>36500+1500</f>
        <v>38000</v>
      </c>
      <c r="G26" s="50"/>
      <c r="H26" s="50">
        <f>35000+1500</f>
        <v>36500</v>
      </c>
      <c r="I26" s="50"/>
      <c r="J26" s="50">
        <v>20000</v>
      </c>
      <c r="K26" s="50"/>
      <c r="L26" s="50">
        <f>25000+1500</f>
        <v>26500</v>
      </c>
      <c r="M26" s="50"/>
      <c r="N26" s="50">
        <f>20000+1300</f>
        <v>21300</v>
      </c>
      <c r="O26" s="50"/>
      <c r="P26" s="50">
        <f>30000+1800</f>
        <v>31800</v>
      </c>
      <c r="Q26" s="50"/>
      <c r="R26" s="50">
        <f>35000+1500</f>
        <v>36500</v>
      </c>
      <c r="S26" s="50"/>
      <c r="T26" s="50">
        <f>26800+2500+1200</f>
        <v>30500</v>
      </c>
      <c r="U26" s="50"/>
      <c r="V26" s="50">
        <f t="shared" si="2"/>
        <v>268300</v>
      </c>
      <c r="W26" s="135">
        <f>+V26*100/V30</f>
        <v>2.0780083980877695</v>
      </c>
      <c r="X26" s="129">
        <f t="shared" si="3"/>
        <v>0</v>
      </c>
      <c r="Y26" s="129"/>
    </row>
    <row r="27" spans="1:25" s="51" customFormat="1" ht="16.5" customHeight="1" x14ac:dyDescent="0.2">
      <c r="A27" s="61"/>
      <c r="B27" s="62">
        <v>3.8</v>
      </c>
      <c r="C27" s="58" t="s">
        <v>15</v>
      </c>
      <c r="D27" s="50">
        <f>7000+1000+6000+1500+3000+2500</f>
        <v>21000</v>
      </c>
      <c r="E27" s="50"/>
      <c r="F27" s="50">
        <v>67600</v>
      </c>
      <c r="G27" s="50"/>
      <c r="H27" s="50">
        <v>116050</v>
      </c>
      <c r="I27" s="50"/>
      <c r="J27" s="50">
        <f>7000+3000+4300</f>
        <v>14300</v>
      </c>
      <c r="K27" s="50"/>
      <c r="L27" s="50">
        <f>28000+3200+6000+5600+4300</f>
        <v>47100</v>
      </c>
      <c r="M27" s="50"/>
      <c r="N27" s="50">
        <v>48000</v>
      </c>
      <c r="O27" s="50"/>
      <c r="P27" s="50">
        <f>21000+4000+4000+6000+4300+5000</f>
        <v>44300</v>
      </c>
      <c r="Q27" s="50"/>
      <c r="R27" s="50">
        <f>7800+12000+10000+29900+5000+8400+5800+4300</f>
        <v>83200</v>
      </c>
      <c r="S27" s="50"/>
      <c r="T27" s="50">
        <f>17000+9000+15000+5000</f>
        <v>46000</v>
      </c>
      <c r="U27" s="50"/>
      <c r="V27" s="50">
        <f t="shared" si="2"/>
        <v>487550</v>
      </c>
      <c r="W27" s="135">
        <f>+V27*100/V30</f>
        <v>3.776119994363369</v>
      </c>
      <c r="X27" s="129">
        <f t="shared" si="3"/>
        <v>0</v>
      </c>
      <c r="Y27" s="129"/>
    </row>
    <row r="28" spans="1:25" s="51" customFormat="1" ht="16.5" customHeight="1" x14ac:dyDescent="0.2">
      <c r="A28" s="61"/>
      <c r="B28" s="62">
        <v>3.9</v>
      </c>
      <c r="C28" s="58" t="s">
        <v>16</v>
      </c>
      <c r="D28" s="50">
        <v>125000</v>
      </c>
      <c r="E28" s="50"/>
      <c r="F28" s="50">
        <v>189700</v>
      </c>
      <c r="G28" s="50"/>
      <c r="H28" s="50">
        <f>150000+125000</f>
        <v>275000</v>
      </c>
      <c r="I28" s="50"/>
      <c r="J28" s="50"/>
      <c r="K28" s="50"/>
      <c r="L28" s="50"/>
      <c r="M28" s="50"/>
      <c r="N28" s="50"/>
      <c r="O28" s="50"/>
      <c r="P28" s="50">
        <f>23000+100000</f>
        <v>123000</v>
      </c>
      <c r="Q28" s="50"/>
      <c r="R28" s="50">
        <f>143200+41900+150000+5000</f>
        <v>340100</v>
      </c>
      <c r="S28" s="50"/>
      <c r="T28" s="50">
        <v>100000</v>
      </c>
      <c r="U28" s="50"/>
      <c r="V28" s="50">
        <f t="shared" si="2"/>
        <v>1152800</v>
      </c>
      <c r="W28" s="135">
        <f>+V28*100/V30</f>
        <v>8.928542979185913</v>
      </c>
      <c r="X28" s="129">
        <f t="shared" si="3"/>
        <v>0</v>
      </c>
      <c r="Y28" s="129"/>
    </row>
    <row r="29" spans="1:25" s="51" customFormat="1" ht="16.5" customHeight="1" x14ac:dyDescent="0.2">
      <c r="A29" s="61"/>
      <c r="B29" s="71">
        <v>3.1</v>
      </c>
      <c r="C29" s="58" t="s">
        <v>18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>
        <f t="shared" si="2"/>
        <v>0</v>
      </c>
      <c r="W29" s="50"/>
      <c r="X29" s="6">
        <f t="shared" si="3"/>
        <v>0</v>
      </c>
      <c r="Y29" s="6"/>
    </row>
    <row r="30" spans="1:25" s="51" customFormat="1" ht="16.5" customHeight="1" x14ac:dyDescent="0.2">
      <c r="A30" s="64"/>
      <c r="B30" s="65"/>
      <c r="C30" s="72" t="s">
        <v>19</v>
      </c>
      <c r="D30" s="67">
        <f>+D19</f>
        <v>1188208</v>
      </c>
      <c r="E30" s="67"/>
      <c r="F30" s="67">
        <f t="shared" ref="F30:T30" si="7">+F19</f>
        <v>1759800</v>
      </c>
      <c r="G30" s="67"/>
      <c r="H30" s="67">
        <f t="shared" si="7"/>
        <v>2219065</v>
      </c>
      <c r="I30" s="67"/>
      <c r="J30" s="67">
        <f t="shared" si="7"/>
        <v>784846.14</v>
      </c>
      <c r="K30" s="67"/>
      <c r="L30" s="67">
        <f t="shared" si="7"/>
        <v>917863</v>
      </c>
      <c r="M30" s="67"/>
      <c r="N30" s="67">
        <f t="shared" ref="N30:P30" si="8">+N19</f>
        <v>1010170</v>
      </c>
      <c r="O30" s="67"/>
      <c r="P30" s="67">
        <f t="shared" si="8"/>
        <v>1089580</v>
      </c>
      <c r="Q30" s="67"/>
      <c r="R30" s="67">
        <f t="shared" si="7"/>
        <v>2060494</v>
      </c>
      <c r="S30" s="67"/>
      <c r="T30" s="67">
        <f t="shared" si="7"/>
        <v>1881375</v>
      </c>
      <c r="U30" s="67"/>
      <c r="V30" s="67">
        <f t="shared" si="2"/>
        <v>12911401.140000001</v>
      </c>
      <c r="W30" s="190">
        <v>100</v>
      </c>
      <c r="X30" s="22">
        <f t="shared" si="3"/>
        <v>0</v>
      </c>
      <c r="Y30" s="22"/>
    </row>
    <row r="31" spans="1:25" s="51" customFormat="1" ht="16.5" customHeight="1" x14ac:dyDescent="0.2">
      <c r="A31" s="64">
        <v>4</v>
      </c>
      <c r="B31" s="65"/>
      <c r="C31" s="72" t="s">
        <v>37</v>
      </c>
      <c r="D31" s="67">
        <f>+D4+D5-D30</f>
        <v>69834.270000000019</v>
      </c>
      <c r="E31" s="67"/>
      <c r="F31" s="67">
        <f>+F18-F30</f>
        <v>111399.46999999997</v>
      </c>
      <c r="G31" s="67"/>
      <c r="H31" s="67">
        <f t="shared" ref="H31:T31" si="9">+H4+H5-H30</f>
        <v>200085.97999999998</v>
      </c>
      <c r="I31" s="67"/>
      <c r="J31" s="67">
        <f>+J4+J5-J30</f>
        <v>70392.640000000014</v>
      </c>
      <c r="K31" s="67"/>
      <c r="L31" s="67">
        <f t="shared" si="9"/>
        <v>95458.270000000019</v>
      </c>
      <c r="M31" s="67"/>
      <c r="N31" s="67">
        <f t="shared" ref="N31:P31" si="10">+N4+N5-N30</f>
        <v>9509.1199999999953</v>
      </c>
      <c r="O31" s="67"/>
      <c r="P31" s="67">
        <f t="shared" si="10"/>
        <v>49015.810000000056</v>
      </c>
      <c r="Q31" s="67"/>
      <c r="R31" s="67">
        <f t="shared" si="9"/>
        <v>132237.50999999978</v>
      </c>
      <c r="S31" s="67"/>
      <c r="T31" s="67">
        <f t="shared" si="9"/>
        <v>60020.560000000056</v>
      </c>
      <c r="U31" s="67"/>
      <c r="V31" s="67">
        <f t="shared" si="2"/>
        <v>797953.62999999989</v>
      </c>
      <c r="W31" s="67"/>
      <c r="X31" s="22">
        <f t="shared" si="3"/>
        <v>0</v>
      </c>
      <c r="Y31" s="22"/>
    </row>
    <row r="32" spans="1:25" s="51" customFormat="1" ht="16.5" customHeight="1" x14ac:dyDescent="0.2">
      <c r="A32" s="61">
        <v>5</v>
      </c>
      <c r="B32" s="73"/>
      <c r="C32" s="56" t="s">
        <v>36</v>
      </c>
      <c r="D32" s="50">
        <f>+D33+D34</f>
        <v>91746.333333333328</v>
      </c>
      <c r="E32" s="50"/>
      <c r="F32" s="50">
        <f t="shared" ref="F32:T32" si="11">+F33+F34</f>
        <v>78733.333333333328</v>
      </c>
      <c r="G32" s="50"/>
      <c r="H32" s="50">
        <f t="shared" si="11"/>
        <v>136873.33333333334</v>
      </c>
      <c r="I32" s="50"/>
      <c r="J32" s="50">
        <f t="shared" si="11"/>
        <v>20343.333333333332</v>
      </c>
      <c r="K32" s="50"/>
      <c r="L32" s="50">
        <f t="shared" si="11"/>
        <v>21069.666666666668</v>
      </c>
      <c r="M32" s="50"/>
      <c r="N32" s="50">
        <f t="shared" ref="N32:P32" si="12">+N33+N34</f>
        <v>54690</v>
      </c>
      <c r="O32" s="50"/>
      <c r="P32" s="50">
        <f t="shared" si="12"/>
        <v>37700</v>
      </c>
      <c r="Q32" s="50"/>
      <c r="R32" s="50">
        <f t="shared" si="11"/>
        <v>87551.333333333328</v>
      </c>
      <c r="S32" s="50"/>
      <c r="T32" s="50">
        <f t="shared" si="11"/>
        <v>110006.66666666666</v>
      </c>
      <c r="U32" s="50"/>
      <c r="V32" s="50">
        <f t="shared" si="2"/>
        <v>638714</v>
      </c>
      <c r="W32" s="50"/>
      <c r="X32" s="6">
        <f t="shared" si="3"/>
        <v>0</v>
      </c>
      <c r="Y32" s="6"/>
    </row>
    <row r="33" spans="1:25" s="51" customFormat="1" ht="16.5" hidden="1" customHeight="1" x14ac:dyDescent="0.2">
      <c r="A33" s="61"/>
      <c r="B33" s="73"/>
      <c r="C33" s="56" t="s">
        <v>41</v>
      </c>
      <c r="D33" s="50">
        <f>+D22/12*2</f>
        <v>87213</v>
      </c>
      <c r="E33" s="50"/>
      <c r="F33" s="50">
        <f t="shared" ref="F33:T33" si="13">+F22/12*2</f>
        <v>72400</v>
      </c>
      <c r="G33" s="50"/>
      <c r="H33" s="50">
        <f t="shared" si="13"/>
        <v>130790</v>
      </c>
      <c r="I33" s="50"/>
      <c r="J33" s="50">
        <f t="shared" si="13"/>
        <v>17010</v>
      </c>
      <c r="K33" s="50"/>
      <c r="L33" s="50">
        <f t="shared" si="13"/>
        <v>16653</v>
      </c>
      <c r="M33" s="50"/>
      <c r="N33" s="50">
        <f t="shared" ref="N33:P33" si="14">+N22/12*2</f>
        <v>51140</v>
      </c>
      <c r="O33" s="50"/>
      <c r="P33" s="50">
        <f t="shared" si="14"/>
        <v>32400</v>
      </c>
      <c r="Q33" s="50"/>
      <c r="R33" s="50">
        <f t="shared" si="13"/>
        <v>81468</v>
      </c>
      <c r="S33" s="50"/>
      <c r="T33" s="50">
        <f t="shared" si="13"/>
        <v>104923.33333333333</v>
      </c>
      <c r="U33" s="50"/>
      <c r="V33" s="50">
        <f t="shared" ref="V21:V35" si="15">SUM(D33:T33)</f>
        <v>593997.33333333337</v>
      </c>
      <c r="W33" s="50"/>
      <c r="X33" s="6"/>
      <c r="Y33" s="6"/>
    </row>
    <row r="34" spans="1:25" s="51" customFormat="1" ht="16.5" hidden="1" customHeight="1" x14ac:dyDescent="0.2">
      <c r="A34" s="61"/>
      <c r="B34" s="73"/>
      <c r="C34" s="56" t="s">
        <v>42</v>
      </c>
      <c r="D34" s="50">
        <f>+D26/12*2</f>
        <v>4533.333333333333</v>
      </c>
      <c r="E34" s="50"/>
      <c r="F34" s="50">
        <f t="shared" ref="F34:T34" si="16">+F26/12*2</f>
        <v>6333.333333333333</v>
      </c>
      <c r="G34" s="50"/>
      <c r="H34" s="50">
        <f t="shared" si="16"/>
        <v>6083.333333333333</v>
      </c>
      <c r="I34" s="50"/>
      <c r="J34" s="50">
        <f t="shared" si="16"/>
        <v>3333.3333333333335</v>
      </c>
      <c r="K34" s="50"/>
      <c r="L34" s="50">
        <f t="shared" si="16"/>
        <v>4416.666666666667</v>
      </c>
      <c r="M34" s="50"/>
      <c r="N34" s="50">
        <f t="shared" ref="N34:P34" si="17">+N26/12*2</f>
        <v>3550</v>
      </c>
      <c r="O34" s="50"/>
      <c r="P34" s="50">
        <f t="shared" si="17"/>
        <v>5300</v>
      </c>
      <c r="Q34" s="50"/>
      <c r="R34" s="50">
        <f t="shared" si="16"/>
        <v>6083.333333333333</v>
      </c>
      <c r="S34" s="50"/>
      <c r="T34" s="50">
        <f t="shared" si="16"/>
        <v>5083.333333333333</v>
      </c>
      <c r="U34" s="50"/>
      <c r="V34" s="50">
        <f t="shared" si="15"/>
        <v>44716.666666666672</v>
      </c>
      <c r="W34" s="50"/>
      <c r="X34" s="6"/>
      <c r="Y34" s="6"/>
    </row>
    <row r="35" spans="1:25" s="51" customFormat="1" ht="16.5" hidden="1" customHeight="1" x14ac:dyDescent="0.2">
      <c r="A35" s="74">
        <v>6</v>
      </c>
      <c r="B35" s="75"/>
      <c r="C35" s="76" t="s">
        <v>25</v>
      </c>
      <c r="D35" s="77">
        <f>+D31-D32</f>
        <v>-21912.06333333331</v>
      </c>
      <c r="E35" s="77"/>
      <c r="F35" s="77">
        <f t="shared" ref="F35:T35" si="18">+F31-F32</f>
        <v>32666.136666666644</v>
      </c>
      <c r="G35" s="77"/>
      <c r="H35" s="77">
        <f t="shared" si="18"/>
        <v>63212.646666666638</v>
      </c>
      <c r="I35" s="77"/>
      <c r="J35" s="77">
        <f>+J31-J32</f>
        <v>50049.306666666685</v>
      </c>
      <c r="K35" s="77"/>
      <c r="L35" s="77">
        <f t="shared" si="18"/>
        <v>74388.603333333347</v>
      </c>
      <c r="M35" s="77"/>
      <c r="N35" s="77">
        <f t="shared" ref="N35:P35" si="19">+N31-N32</f>
        <v>-45180.880000000005</v>
      </c>
      <c r="O35" s="77"/>
      <c r="P35" s="77">
        <f t="shared" si="19"/>
        <v>11315.810000000056</v>
      </c>
      <c r="Q35" s="77"/>
      <c r="R35" s="77">
        <f t="shared" si="18"/>
        <v>44686.176666666448</v>
      </c>
      <c r="S35" s="77"/>
      <c r="T35" s="77">
        <f t="shared" si="18"/>
        <v>-49986.106666666601</v>
      </c>
      <c r="U35" s="77"/>
      <c r="V35" s="77">
        <f t="shared" si="15"/>
        <v>159239.62999999992</v>
      </c>
      <c r="W35" s="77"/>
      <c r="X35" s="28"/>
      <c r="Y35" s="28"/>
    </row>
    <row r="38" spans="1:25" x14ac:dyDescent="0.55000000000000004">
      <c r="X38" s="38"/>
      <c r="Y38" s="38"/>
    </row>
  </sheetData>
  <mergeCells count="16">
    <mergeCell ref="X2:X3"/>
    <mergeCell ref="Y2:Y3"/>
    <mergeCell ref="A1:V1"/>
    <mergeCell ref="A2:B3"/>
    <mergeCell ref="C2:C3"/>
    <mergeCell ref="V2:V3"/>
    <mergeCell ref="W2:W3"/>
    <mergeCell ref="E2:E3"/>
    <mergeCell ref="G2:G3"/>
    <mergeCell ref="I2:I3"/>
    <mergeCell ref="K2:K3"/>
    <mergeCell ref="M2:M3"/>
    <mergeCell ref="O2:O3"/>
    <mergeCell ref="Q2:Q3"/>
    <mergeCell ref="S2:S3"/>
    <mergeCell ref="U2:U3"/>
  </mergeCells>
  <printOptions horizontalCentered="1"/>
  <pageMargins left="0.78740157480314965" right="0.15748031496062992" top="0.19685039370078741" bottom="0.19685039370078741" header="0.11811023622047245" footer="0.11811023622047245"/>
  <pageSetup paperSize="5" scale="98" orientation="landscape" r:id="rId1"/>
  <ignoredErrors>
    <ignoredError sqref="F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zoomScale="120" zoomScaleNormal="110" zoomScaleSheetLayoutView="120" workbookViewId="0">
      <pane xSplit="3" ySplit="3" topLeftCell="G28" activePane="bottomRight" state="frozen"/>
      <selection activeCell="F13" sqref="F13"/>
      <selection pane="topRight" activeCell="F13" sqref="F13"/>
      <selection pane="bottomLeft" activeCell="F13" sqref="F13"/>
      <selection pane="bottomRight" activeCell="S31" sqref="S31"/>
    </sheetView>
  </sheetViews>
  <sheetFormatPr defaultRowHeight="24" x14ac:dyDescent="0.55000000000000004"/>
  <cols>
    <col min="1" max="2" width="3.875" style="1" customWidth="1"/>
    <col min="3" max="3" width="20.875" style="1" customWidth="1"/>
    <col min="4" max="4" width="7.5" style="1" customWidth="1"/>
    <col min="5" max="5" width="6.125" style="1" customWidth="1"/>
    <col min="6" max="6" width="7.375" style="1" bestFit="1" customWidth="1"/>
    <col min="7" max="7" width="6.125" style="1" customWidth="1"/>
    <col min="8" max="8" width="7.375" style="1" bestFit="1" customWidth="1"/>
    <col min="9" max="9" width="6.125" style="1" customWidth="1"/>
    <col min="10" max="10" width="7.375" style="1" bestFit="1" customWidth="1"/>
    <col min="11" max="11" width="6.125" style="1" customWidth="1"/>
    <col min="12" max="12" width="7.375" style="1" bestFit="1" customWidth="1"/>
    <col min="13" max="13" width="6.125" style="1" customWidth="1"/>
    <col min="14" max="14" width="7.375" style="1" bestFit="1" customWidth="1"/>
    <col min="15" max="15" width="6.125" style="1" customWidth="1"/>
    <col min="16" max="16" width="7.375" style="1" bestFit="1" customWidth="1"/>
    <col min="17" max="17" width="6.125" style="41" customWidth="1"/>
    <col min="18" max="18" width="8" style="1" bestFit="1" customWidth="1"/>
    <col min="19" max="19" width="8.875" style="1" bestFit="1" customWidth="1"/>
    <col min="20" max="21" width="7.125" style="1" customWidth="1"/>
    <col min="22" max="24" width="9" style="1"/>
    <col min="25" max="25" width="4.375" style="1" customWidth="1"/>
    <col min="26" max="16384" width="9" style="1"/>
  </cols>
  <sheetData>
    <row r="1" spans="1:21" ht="16.5" customHeight="1" x14ac:dyDescent="0.55000000000000004">
      <c r="A1" s="207" t="s">
        <v>141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132"/>
    </row>
    <row r="2" spans="1:21" ht="18" customHeight="1" x14ac:dyDescent="0.55000000000000004">
      <c r="A2" s="197" t="s">
        <v>0</v>
      </c>
      <c r="B2" s="198"/>
      <c r="C2" s="201" t="s">
        <v>35</v>
      </c>
      <c r="D2" s="78" t="s">
        <v>75</v>
      </c>
      <c r="E2" s="203" t="s">
        <v>165</v>
      </c>
      <c r="F2" s="78" t="s">
        <v>76</v>
      </c>
      <c r="G2" s="203" t="s">
        <v>165</v>
      </c>
      <c r="H2" s="78" t="s">
        <v>76</v>
      </c>
      <c r="I2" s="203" t="s">
        <v>165</v>
      </c>
      <c r="J2" s="78" t="s">
        <v>76</v>
      </c>
      <c r="K2" s="203" t="s">
        <v>165</v>
      </c>
      <c r="L2" s="78" t="s">
        <v>76</v>
      </c>
      <c r="M2" s="203" t="s">
        <v>165</v>
      </c>
      <c r="N2" s="78" t="s">
        <v>76</v>
      </c>
      <c r="O2" s="203" t="s">
        <v>165</v>
      </c>
      <c r="P2" s="191" t="s">
        <v>76</v>
      </c>
      <c r="Q2" s="203" t="s">
        <v>165</v>
      </c>
      <c r="R2" s="194" t="s">
        <v>166</v>
      </c>
      <c r="S2" s="194" t="s">
        <v>159</v>
      </c>
      <c r="T2" s="194" t="s">
        <v>167</v>
      </c>
      <c r="U2" s="194" t="s">
        <v>168</v>
      </c>
    </row>
    <row r="3" spans="1:21" ht="27.75" customHeight="1" x14ac:dyDescent="0.55000000000000004">
      <c r="A3" s="199"/>
      <c r="B3" s="200"/>
      <c r="C3" s="202"/>
      <c r="D3" s="46" t="s">
        <v>7</v>
      </c>
      <c r="E3" s="206"/>
      <c r="F3" s="45" t="s">
        <v>114</v>
      </c>
      <c r="G3" s="206"/>
      <c r="H3" s="45" t="s">
        <v>115</v>
      </c>
      <c r="I3" s="206"/>
      <c r="J3" s="45" t="s">
        <v>116</v>
      </c>
      <c r="K3" s="206"/>
      <c r="L3" s="45" t="s">
        <v>117</v>
      </c>
      <c r="M3" s="206"/>
      <c r="N3" s="45" t="s">
        <v>118</v>
      </c>
      <c r="O3" s="206"/>
      <c r="P3" s="192" t="s">
        <v>7</v>
      </c>
      <c r="Q3" s="206"/>
      <c r="R3" s="195"/>
      <c r="S3" s="195"/>
      <c r="T3" s="195"/>
      <c r="U3" s="195"/>
    </row>
    <row r="4" spans="1:21" s="173" customFormat="1" ht="16.5" customHeight="1" x14ac:dyDescent="0.2">
      <c r="A4" s="52">
        <v>1</v>
      </c>
      <c r="B4" s="53"/>
      <c r="C4" s="170" t="s">
        <v>22</v>
      </c>
      <c r="D4" s="171">
        <v>54237.63</v>
      </c>
      <c r="E4" s="171"/>
      <c r="F4" s="171">
        <v>621670.89</v>
      </c>
      <c r="G4" s="171"/>
      <c r="H4" s="171">
        <v>480553.8</v>
      </c>
      <c r="I4" s="171"/>
      <c r="J4" s="171">
        <v>504645.28</v>
      </c>
      <c r="K4" s="171"/>
      <c r="L4" s="171">
        <v>120248.05</v>
      </c>
      <c r="M4" s="171"/>
      <c r="N4" s="171">
        <v>370577.05</v>
      </c>
      <c r="O4" s="171"/>
      <c r="P4" s="171">
        <v>586664.32999999996</v>
      </c>
      <c r="Q4" s="176"/>
      <c r="R4" s="55">
        <f>+D4+F4+H4+J4+L4+N4+P4</f>
        <v>2738597.0300000003</v>
      </c>
      <c r="S4" s="154">
        <f>+R4*100/R18</f>
        <v>14.144010816683513</v>
      </c>
      <c r="T4" s="172">
        <f>+E4+G4+I4+K4+M4+O4+Q4</f>
        <v>0</v>
      </c>
      <c r="U4" s="172"/>
    </row>
    <row r="5" spans="1:21" s="51" customFormat="1" ht="16.5" customHeight="1" x14ac:dyDescent="0.2">
      <c r="A5" s="52">
        <v>2</v>
      </c>
      <c r="B5" s="53"/>
      <c r="C5" s="54" t="s">
        <v>38</v>
      </c>
      <c r="D5" s="55">
        <f>+D6+D7+D14+D15+D16+D17</f>
        <v>2656433</v>
      </c>
      <c r="E5" s="55"/>
      <c r="F5" s="55">
        <f t="shared" ref="F5:P5" si="0">+F6+F7+F14+F15+F16+F17+F13</f>
        <v>1819815.15</v>
      </c>
      <c r="G5" s="55"/>
      <c r="H5" s="55">
        <f t="shared" si="0"/>
        <v>1945596.3099999998</v>
      </c>
      <c r="I5" s="55"/>
      <c r="J5" s="55">
        <f t="shared" si="0"/>
        <v>2877826.8</v>
      </c>
      <c r="K5" s="55"/>
      <c r="L5" s="55">
        <f t="shared" si="0"/>
        <v>3624389.8700000006</v>
      </c>
      <c r="M5" s="55"/>
      <c r="N5" s="55">
        <f t="shared" si="0"/>
        <v>2259464</v>
      </c>
      <c r="O5" s="55"/>
      <c r="P5" s="55">
        <f t="shared" si="0"/>
        <v>1440115.79</v>
      </c>
      <c r="Q5" s="112"/>
      <c r="R5" s="55">
        <f t="shared" ref="R5:R32" si="1">+D5+F5+H5+J5+L5+N5+P5</f>
        <v>16623640.920000002</v>
      </c>
      <c r="S5" s="154">
        <f>+R5*100/R18</f>
        <v>85.85598918331651</v>
      </c>
      <c r="T5" s="172">
        <f t="shared" ref="T5:T32" si="2">+E5+G5+I5+K5+M5+O5+Q5</f>
        <v>0</v>
      </c>
      <c r="U5" s="172"/>
    </row>
    <row r="6" spans="1:21" s="51" customFormat="1" ht="16.5" customHeight="1" x14ac:dyDescent="0.2">
      <c r="A6" s="47"/>
      <c r="B6" s="48">
        <v>2.1</v>
      </c>
      <c r="C6" s="56" t="s">
        <v>23</v>
      </c>
      <c r="D6" s="50"/>
      <c r="E6" s="50"/>
      <c r="F6" s="50">
        <v>18041.330000000002</v>
      </c>
      <c r="G6" s="50"/>
      <c r="H6" s="50">
        <v>3840.78</v>
      </c>
      <c r="I6" s="50"/>
      <c r="J6" s="50">
        <v>3936</v>
      </c>
      <c r="K6" s="50"/>
      <c r="L6" s="50">
        <v>16912.97</v>
      </c>
      <c r="M6" s="50"/>
      <c r="N6" s="50">
        <v>13016.67</v>
      </c>
      <c r="O6" s="50"/>
      <c r="P6" s="50">
        <v>13456.67</v>
      </c>
      <c r="Q6" s="113"/>
      <c r="R6" s="50">
        <f t="shared" si="1"/>
        <v>69204.42</v>
      </c>
      <c r="S6" s="135">
        <f>+R6*100/R18</f>
        <v>0.35741953062817311</v>
      </c>
      <c r="T6" s="129">
        <f t="shared" si="2"/>
        <v>0</v>
      </c>
      <c r="U6" s="129"/>
    </row>
    <row r="7" spans="1:21" s="51" customFormat="1" ht="16.5" customHeight="1" x14ac:dyDescent="0.2">
      <c r="A7" s="52"/>
      <c r="B7" s="53">
        <v>2.2000000000000002</v>
      </c>
      <c r="C7" s="54" t="s">
        <v>24</v>
      </c>
      <c r="D7" s="55">
        <f>SUM(D8:D12)</f>
        <v>1693925</v>
      </c>
      <c r="E7" s="55"/>
      <c r="F7" s="55">
        <f t="shared" ref="F7:N7" si="3">SUM(F8:F12)</f>
        <v>1280848.1499999999</v>
      </c>
      <c r="G7" s="55"/>
      <c r="H7" s="55">
        <f t="shared" si="3"/>
        <v>1351491.8</v>
      </c>
      <c r="I7" s="55"/>
      <c r="J7" s="55">
        <f t="shared" si="3"/>
        <v>2288261.83</v>
      </c>
      <c r="K7" s="55"/>
      <c r="L7" s="55">
        <f t="shared" si="3"/>
        <v>2579833</v>
      </c>
      <c r="M7" s="55"/>
      <c r="N7" s="55">
        <f t="shared" si="3"/>
        <v>1761794.1</v>
      </c>
      <c r="O7" s="55"/>
      <c r="P7" s="55">
        <f>SUM(P8:P12)</f>
        <v>1007953.69</v>
      </c>
      <c r="Q7" s="112"/>
      <c r="R7" s="55">
        <f t="shared" si="1"/>
        <v>11964107.57</v>
      </c>
      <c r="S7" s="154"/>
      <c r="T7" s="172">
        <f t="shared" si="2"/>
        <v>0</v>
      </c>
      <c r="U7" s="172"/>
    </row>
    <row r="8" spans="1:21" s="51" customFormat="1" ht="16.5" customHeight="1" x14ac:dyDescent="0.2">
      <c r="A8" s="47"/>
      <c r="B8" s="48"/>
      <c r="C8" s="49" t="s">
        <v>17</v>
      </c>
      <c r="D8" s="50"/>
      <c r="E8" s="50"/>
      <c r="F8" s="50">
        <v>180496.15</v>
      </c>
      <c r="G8" s="50"/>
      <c r="H8" s="50">
        <v>150600</v>
      </c>
      <c r="I8" s="50"/>
      <c r="J8" s="50">
        <v>665316.82999999996</v>
      </c>
      <c r="K8" s="50"/>
      <c r="L8" s="50">
        <v>277100</v>
      </c>
      <c r="M8" s="50"/>
      <c r="N8" s="50">
        <v>193553.1</v>
      </c>
      <c r="O8" s="50"/>
      <c r="P8" s="50">
        <v>98536.69</v>
      </c>
      <c r="Q8" s="113"/>
      <c r="R8" s="50">
        <f t="shared" si="1"/>
        <v>1565602.77</v>
      </c>
      <c r="S8" s="135">
        <f>+R8*100/R18</f>
        <v>8.0858564699128692</v>
      </c>
      <c r="T8" s="129">
        <f t="shared" si="2"/>
        <v>0</v>
      </c>
      <c r="U8" s="129"/>
    </row>
    <row r="9" spans="1:21" s="51" customFormat="1" ht="16.5" customHeight="1" x14ac:dyDescent="0.2">
      <c r="A9" s="47"/>
      <c r="B9" s="48"/>
      <c r="C9" s="49" t="s">
        <v>65</v>
      </c>
      <c r="D9" s="50"/>
      <c r="E9" s="50"/>
      <c r="F9" s="50">
        <v>240000</v>
      </c>
      <c r="G9" s="50"/>
      <c r="H9" s="50">
        <v>264000</v>
      </c>
      <c r="I9" s="50"/>
      <c r="J9" s="50">
        <v>264000</v>
      </c>
      <c r="K9" s="50"/>
      <c r="L9" s="50">
        <v>264000</v>
      </c>
      <c r="M9" s="50"/>
      <c r="N9" s="50">
        <v>240000</v>
      </c>
      <c r="O9" s="50"/>
      <c r="P9" s="50">
        <v>216000</v>
      </c>
      <c r="Q9" s="113"/>
      <c r="R9" s="50">
        <f t="shared" si="1"/>
        <v>1488000</v>
      </c>
      <c r="S9" s="135">
        <f>+R9*100/R18</f>
        <v>7.6850620462496693</v>
      </c>
      <c r="T9" s="129">
        <f t="shared" si="2"/>
        <v>0</v>
      </c>
      <c r="U9" s="129"/>
    </row>
    <row r="10" spans="1:21" s="51" customFormat="1" ht="16.5" customHeight="1" x14ac:dyDescent="0.2">
      <c r="A10" s="47"/>
      <c r="B10" s="48"/>
      <c r="C10" s="49" t="s">
        <v>14</v>
      </c>
      <c r="D10" s="50">
        <v>886925</v>
      </c>
      <c r="E10" s="50"/>
      <c r="F10" s="50">
        <v>151410</v>
      </c>
      <c r="G10" s="50"/>
      <c r="H10" s="50">
        <v>201110</v>
      </c>
      <c r="I10" s="169"/>
      <c r="J10" s="57">
        <v>218015</v>
      </c>
      <c r="K10" s="57"/>
      <c r="L10" s="50">
        <v>266105</v>
      </c>
      <c r="M10" s="50"/>
      <c r="N10" s="50">
        <v>163065</v>
      </c>
      <c r="O10" s="50"/>
      <c r="P10" s="50">
        <v>67445</v>
      </c>
      <c r="Q10" s="113"/>
      <c r="R10" s="50">
        <f t="shared" si="1"/>
        <v>1954075</v>
      </c>
      <c r="S10" s="135">
        <f>+R10*100/R18</f>
        <v>10.092195979855727</v>
      </c>
      <c r="T10" s="129">
        <f t="shared" si="2"/>
        <v>0</v>
      </c>
      <c r="U10" s="129"/>
    </row>
    <row r="11" spans="1:21" s="51" customFormat="1" ht="16.5" customHeight="1" x14ac:dyDescent="0.2">
      <c r="A11" s="47"/>
      <c r="B11" s="48"/>
      <c r="C11" s="58" t="s">
        <v>64</v>
      </c>
      <c r="D11" s="50">
        <v>29880</v>
      </c>
      <c r="E11" s="50"/>
      <c r="F11" s="50">
        <v>151200</v>
      </c>
      <c r="G11" s="50"/>
      <c r="H11" s="50">
        <f>151200+12000</f>
        <v>163200</v>
      </c>
      <c r="I11" s="50"/>
      <c r="J11" s="50">
        <v>151200</v>
      </c>
      <c r="K11" s="50"/>
      <c r="L11" s="50">
        <f>151200+12000</f>
        <v>163200</v>
      </c>
      <c r="M11" s="50"/>
      <c r="N11" s="50">
        <f>151200+9000</f>
        <v>160200</v>
      </c>
      <c r="O11" s="50"/>
      <c r="P11" s="50">
        <v>151200</v>
      </c>
      <c r="Q11" s="113"/>
      <c r="R11" s="50">
        <f t="shared" si="1"/>
        <v>970080</v>
      </c>
      <c r="S11" s="135">
        <f>+R11*100/R18</f>
        <v>5.0101646437001879</v>
      </c>
      <c r="T11" s="129">
        <f t="shared" si="2"/>
        <v>0</v>
      </c>
      <c r="U11" s="129"/>
    </row>
    <row r="12" spans="1:21" s="51" customFormat="1" ht="16.5" customHeight="1" x14ac:dyDescent="0.2">
      <c r="A12" s="47"/>
      <c r="B12" s="48"/>
      <c r="C12" s="49" t="s">
        <v>10</v>
      </c>
      <c r="D12" s="50">
        <v>777120</v>
      </c>
      <c r="E12" s="50"/>
      <c r="F12" s="50">
        <f>532440+25302</f>
        <v>557742</v>
      </c>
      <c r="G12" s="50"/>
      <c r="H12" s="50">
        <f>545316+27265.8</f>
        <v>572581.80000000005</v>
      </c>
      <c r="I12" s="50"/>
      <c r="J12" s="50">
        <f>942600+47130</f>
        <v>989730</v>
      </c>
      <c r="K12" s="50"/>
      <c r="L12" s="56">
        <f>1537440+71988</f>
        <v>1609428</v>
      </c>
      <c r="M12" s="56"/>
      <c r="N12" s="56">
        <f>957120+47856</f>
        <v>1004976</v>
      </c>
      <c r="O12" s="56"/>
      <c r="P12" s="56">
        <f>452120+22652</f>
        <v>474772</v>
      </c>
      <c r="Q12" s="114"/>
      <c r="R12" s="50">
        <f t="shared" si="1"/>
        <v>5986349.7999999998</v>
      </c>
      <c r="S12" s="135">
        <f>+R12*100/R18</f>
        <v>30.917654330345631</v>
      </c>
      <c r="T12" s="129">
        <f t="shared" si="2"/>
        <v>0</v>
      </c>
      <c r="U12" s="129"/>
    </row>
    <row r="13" spans="1:21" s="51" customFormat="1" ht="16.5" customHeight="1" x14ac:dyDescent="0.2">
      <c r="A13" s="47"/>
      <c r="B13" s="48"/>
      <c r="C13" s="49" t="s">
        <v>70</v>
      </c>
      <c r="D13" s="50"/>
      <c r="E13" s="50"/>
      <c r="F13" s="50"/>
      <c r="G13" s="50"/>
      <c r="H13" s="50"/>
      <c r="I13" s="50"/>
      <c r="J13" s="50"/>
      <c r="K13" s="50"/>
      <c r="L13" s="59"/>
      <c r="M13" s="59"/>
      <c r="N13" s="59"/>
      <c r="O13" s="59"/>
      <c r="P13" s="59"/>
      <c r="Q13" s="115"/>
      <c r="R13" s="50">
        <f t="shared" si="1"/>
        <v>0</v>
      </c>
      <c r="S13" s="135"/>
      <c r="T13" s="129">
        <f t="shared" si="2"/>
        <v>0</v>
      </c>
      <c r="U13" s="129"/>
    </row>
    <row r="14" spans="1:21" s="51" customFormat="1" ht="16.5" customHeight="1" x14ac:dyDescent="0.2">
      <c r="A14" s="47"/>
      <c r="B14" s="60">
        <v>2.2999999999999998</v>
      </c>
      <c r="C14" s="49" t="s">
        <v>44</v>
      </c>
      <c r="D14" s="50">
        <v>508</v>
      </c>
      <c r="E14" s="50"/>
      <c r="F14" s="50">
        <v>2863</v>
      </c>
      <c r="G14" s="50"/>
      <c r="H14" s="50">
        <v>3347.41</v>
      </c>
      <c r="I14" s="50"/>
      <c r="J14" s="50">
        <v>2575.8200000000002</v>
      </c>
      <c r="K14" s="50"/>
      <c r="L14" s="50">
        <v>2622.85</v>
      </c>
      <c r="M14" s="50"/>
      <c r="N14" s="50">
        <v>1946.58</v>
      </c>
      <c r="O14" s="50"/>
      <c r="P14" s="50">
        <v>1082.47</v>
      </c>
      <c r="Q14" s="113"/>
      <c r="R14" s="50">
        <f t="shared" si="1"/>
        <v>14946.13</v>
      </c>
      <c r="S14" s="135">
        <f>+R14*100/R18</f>
        <v>7.7192161560022565E-2</v>
      </c>
      <c r="T14" s="129">
        <f t="shared" si="2"/>
        <v>0</v>
      </c>
      <c r="U14" s="129"/>
    </row>
    <row r="15" spans="1:21" s="51" customFormat="1" ht="16.5" customHeight="1" x14ac:dyDescent="0.2">
      <c r="A15" s="61"/>
      <c r="B15" s="62">
        <v>2.4</v>
      </c>
      <c r="C15" s="63" t="s">
        <v>66</v>
      </c>
      <c r="D15" s="50">
        <v>280000</v>
      </c>
      <c r="E15" s="50"/>
      <c r="F15" s="50">
        <f>16666.67+79174</f>
        <v>95840.67</v>
      </c>
      <c r="G15" s="50"/>
      <c r="H15" s="50">
        <f>76666.67+17038.98+100000</f>
        <v>193705.65</v>
      </c>
      <c r="I15" s="50"/>
      <c r="J15" s="50">
        <f>39753.79+104263.38</f>
        <v>144017.17000000001</v>
      </c>
      <c r="K15" s="50"/>
      <c r="L15" s="50">
        <f>216666.67+26889.64+150000+150000</f>
        <v>543556.31000000006</v>
      </c>
      <c r="M15" s="50"/>
      <c r="N15" s="50">
        <f>210478.77+5941.8</f>
        <v>216420.56999999998</v>
      </c>
      <c r="O15" s="50"/>
      <c r="P15" s="50">
        <f>120000+77098.96</f>
        <v>197098.96000000002</v>
      </c>
      <c r="Q15" s="113"/>
      <c r="R15" s="50">
        <f t="shared" si="1"/>
        <v>1670639.33</v>
      </c>
      <c r="S15" s="135">
        <f>+R15*100/R18</f>
        <v>8.6283379757761942</v>
      </c>
      <c r="T15" s="130">
        <f t="shared" si="2"/>
        <v>0</v>
      </c>
      <c r="U15" s="130"/>
    </row>
    <row r="16" spans="1:21" s="51" customFormat="1" ht="16.5" customHeight="1" x14ac:dyDescent="0.2">
      <c r="A16" s="61"/>
      <c r="B16" s="62">
        <v>2.5</v>
      </c>
      <c r="C16" s="63" t="s">
        <v>92</v>
      </c>
      <c r="D16" s="50">
        <v>150000</v>
      </c>
      <c r="E16" s="50"/>
      <c r="F16" s="50">
        <v>256680</v>
      </c>
      <c r="G16" s="50"/>
      <c r="H16" s="50">
        <v>153340</v>
      </c>
      <c r="I16" s="50"/>
      <c r="J16" s="50">
        <v>338082</v>
      </c>
      <c r="K16" s="50"/>
      <c r="L16" s="50">
        <v>477495</v>
      </c>
      <c r="M16" s="50"/>
      <c r="N16" s="50">
        <v>262170</v>
      </c>
      <c r="O16" s="50"/>
      <c r="P16" s="50">
        <v>220524</v>
      </c>
      <c r="Q16" s="113"/>
      <c r="R16" s="50">
        <f t="shared" si="1"/>
        <v>1858291</v>
      </c>
      <c r="S16" s="135">
        <f>+R16*100/R18</f>
        <v>9.5975010987818177</v>
      </c>
      <c r="T16" s="129">
        <f t="shared" si="2"/>
        <v>0</v>
      </c>
      <c r="U16" s="129"/>
    </row>
    <row r="17" spans="1:21" s="51" customFormat="1" ht="16.5" customHeight="1" x14ac:dyDescent="0.2">
      <c r="A17" s="61"/>
      <c r="B17" s="62">
        <v>2.6</v>
      </c>
      <c r="C17" s="63" t="s">
        <v>43</v>
      </c>
      <c r="D17" s="50">
        <f>12000+520000</f>
        <v>532000</v>
      </c>
      <c r="E17" s="50"/>
      <c r="F17" s="50">
        <f>5542+160000</f>
        <v>165542</v>
      </c>
      <c r="G17" s="50"/>
      <c r="H17" s="50">
        <f>2234.69+137635.98+100000</f>
        <v>239870.67</v>
      </c>
      <c r="I17" s="50"/>
      <c r="J17" s="50">
        <f>953.98+100000</f>
        <v>100953.98</v>
      </c>
      <c r="K17" s="50"/>
      <c r="L17" s="50">
        <v>3969.74</v>
      </c>
      <c r="M17" s="50"/>
      <c r="N17" s="50">
        <v>4116.08</v>
      </c>
      <c r="O17" s="50"/>
      <c r="P17" s="50"/>
      <c r="Q17" s="113"/>
      <c r="R17" s="50">
        <f t="shared" si="1"/>
        <v>1046452.47</v>
      </c>
      <c r="S17" s="135">
        <f>+R17*100/R18</f>
        <v>5.4046049465061969</v>
      </c>
      <c r="T17" s="130">
        <f t="shared" si="2"/>
        <v>0</v>
      </c>
      <c r="U17" s="130"/>
    </row>
    <row r="18" spans="1:21" s="51" customFormat="1" ht="16.5" customHeight="1" x14ac:dyDescent="0.2">
      <c r="A18" s="64"/>
      <c r="B18" s="65"/>
      <c r="C18" s="66" t="s">
        <v>40</v>
      </c>
      <c r="D18" s="67">
        <f>+D4+D5</f>
        <v>2710670.63</v>
      </c>
      <c r="E18" s="67"/>
      <c r="F18" s="67">
        <f>+F4+F5</f>
        <v>2441486.04</v>
      </c>
      <c r="G18" s="67"/>
      <c r="H18" s="67">
        <f>+H4+H5</f>
        <v>2426150.11</v>
      </c>
      <c r="I18" s="67"/>
      <c r="J18" s="67">
        <f>+J4+J5</f>
        <v>3382472.08</v>
      </c>
      <c r="K18" s="67"/>
      <c r="L18" s="67">
        <f>+L4+L5</f>
        <v>3744637.9200000004</v>
      </c>
      <c r="M18" s="67"/>
      <c r="N18" s="67">
        <f t="shared" ref="N18" si="4">+N4+N5</f>
        <v>2630041.0499999998</v>
      </c>
      <c r="O18" s="67"/>
      <c r="P18" s="67">
        <f t="shared" ref="P18" si="5">+P4+P5</f>
        <v>2026780.12</v>
      </c>
      <c r="Q18" s="67"/>
      <c r="R18" s="67">
        <f t="shared" si="1"/>
        <v>19362237.949999999</v>
      </c>
      <c r="S18" s="190">
        <v>100</v>
      </c>
      <c r="T18" s="22">
        <f t="shared" si="2"/>
        <v>0</v>
      </c>
      <c r="U18" s="22"/>
    </row>
    <row r="19" spans="1:21" s="51" customFormat="1" ht="16.5" customHeight="1" x14ac:dyDescent="0.2">
      <c r="A19" s="68">
        <v>3</v>
      </c>
      <c r="B19" s="69"/>
      <c r="C19" s="70" t="s">
        <v>1</v>
      </c>
      <c r="D19" s="55">
        <f>SUM(D20:D29)</f>
        <v>2628050</v>
      </c>
      <c r="E19" s="55"/>
      <c r="F19" s="55">
        <f t="shared" ref="F19:P19" si="6">SUM(F20:F29)</f>
        <v>2079899.15</v>
      </c>
      <c r="G19" s="55"/>
      <c r="H19" s="55">
        <f t="shared" si="6"/>
        <v>2078534.8</v>
      </c>
      <c r="I19" s="55"/>
      <c r="J19" s="55">
        <f t="shared" si="6"/>
        <v>3206541.83</v>
      </c>
      <c r="K19" s="55"/>
      <c r="L19" s="55">
        <f t="shared" si="6"/>
        <v>3374933</v>
      </c>
      <c r="M19" s="55"/>
      <c r="N19" s="55">
        <f t="shared" si="6"/>
        <v>2180358.19</v>
      </c>
      <c r="O19" s="55"/>
      <c r="P19" s="55">
        <f t="shared" si="6"/>
        <v>1875544.69</v>
      </c>
      <c r="Q19" s="112"/>
      <c r="R19" s="55">
        <f t="shared" si="1"/>
        <v>17423861.66</v>
      </c>
      <c r="S19" s="55"/>
      <c r="T19" s="174">
        <f t="shared" si="2"/>
        <v>0</v>
      </c>
      <c r="U19" s="174"/>
    </row>
    <row r="20" spans="1:21" s="51" customFormat="1" ht="16.5" customHeight="1" x14ac:dyDescent="0.2">
      <c r="A20" s="61"/>
      <c r="B20" s="62">
        <v>3.1</v>
      </c>
      <c r="C20" s="63" t="s">
        <v>17</v>
      </c>
      <c r="D20" s="50"/>
      <c r="E20" s="50"/>
      <c r="F20" s="50">
        <f>113438.51+24038+43019.64</f>
        <v>180496.15000000002</v>
      </c>
      <c r="G20" s="50"/>
      <c r="H20" s="50">
        <f>82100+2500+26000+24000+6000+4000+6000</f>
        <v>150600</v>
      </c>
      <c r="I20" s="50"/>
      <c r="J20" s="50">
        <v>665316.82999999996</v>
      </c>
      <c r="K20" s="50"/>
      <c r="L20" s="50">
        <f>150000+15600+31500+20000+20000+40000</f>
        <v>277100</v>
      </c>
      <c r="M20" s="50"/>
      <c r="N20" s="50">
        <v>98653.19</v>
      </c>
      <c r="O20" s="50"/>
      <c r="P20" s="50">
        <v>98536.69</v>
      </c>
      <c r="Q20" s="113"/>
      <c r="R20" s="50">
        <f t="shared" si="1"/>
        <v>1470702.8599999999</v>
      </c>
      <c r="S20" s="135">
        <f>+R20*100/R30</f>
        <v>8.4407399960956759</v>
      </c>
      <c r="T20" s="129">
        <f t="shared" si="2"/>
        <v>0</v>
      </c>
      <c r="U20" s="129"/>
    </row>
    <row r="21" spans="1:21" s="51" customFormat="1" ht="16.5" customHeight="1" x14ac:dyDescent="0.2">
      <c r="A21" s="61"/>
      <c r="B21" s="62">
        <v>3.2</v>
      </c>
      <c r="C21" s="58" t="s">
        <v>14</v>
      </c>
      <c r="D21" s="50">
        <v>1346650</v>
      </c>
      <c r="E21" s="50"/>
      <c r="F21" s="50">
        <v>399510</v>
      </c>
      <c r="G21" s="50"/>
      <c r="H21" s="50">
        <v>358050</v>
      </c>
      <c r="I21" s="50"/>
      <c r="J21" s="50">
        <v>522792</v>
      </c>
      <c r="K21" s="50"/>
      <c r="L21" s="50">
        <v>743599</v>
      </c>
      <c r="M21" s="50"/>
      <c r="N21" s="50">
        <v>425235</v>
      </c>
      <c r="O21" s="50"/>
      <c r="P21" s="50">
        <v>287046</v>
      </c>
      <c r="Q21" s="113"/>
      <c r="R21" s="50">
        <f t="shared" si="1"/>
        <v>4082882</v>
      </c>
      <c r="S21" s="135">
        <f>+R21*100/R30</f>
        <v>23.432704412323716</v>
      </c>
      <c r="T21" s="129">
        <f t="shared" si="2"/>
        <v>0</v>
      </c>
      <c r="U21" s="129"/>
    </row>
    <row r="22" spans="1:21" s="51" customFormat="1" ht="16.5" customHeight="1" x14ac:dyDescent="0.2">
      <c r="A22" s="61"/>
      <c r="B22" s="62">
        <v>3.3</v>
      </c>
      <c r="C22" s="49" t="s">
        <v>10</v>
      </c>
      <c r="D22" s="50">
        <f>427320+128520+122400+98880+29880</f>
        <v>807000</v>
      </c>
      <c r="E22" s="50"/>
      <c r="F22" s="50">
        <f>206400+112560+91080+122400+25302</f>
        <v>557742</v>
      </c>
      <c r="G22" s="50"/>
      <c r="H22" s="50">
        <f>191520+166320+132480+137316+97200+35665.8</f>
        <v>760501.8</v>
      </c>
      <c r="I22" s="50"/>
      <c r="J22" s="50">
        <f>163920+125040+110880+204120+135840+97200+98880+45588</f>
        <v>981468</v>
      </c>
      <c r="K22" s="50"/>
      <c r="L22" s="50">
        <f>130920+160080+191520+212520+201120+212520+136440+98880+99360+94080</f>
        <v>1537440</v>
      </c>
      <c r="M22" s="50"/>
      <c r="N22" s="50">
        <f>207720+201120+118080+136440+97200+99360+97200+47856</f>
        <v>1004976</v>
      </c>
      <c r="O22" s="50"/>
      <c r="P22" s="50">
        <f>132000+97200+91080+132840</f>
        <v>453120</v>
      </c>
      <c r="Q22" s="113"/>
      <c r="R22" s="50">
        <f t="shared" si="1"/>
        <v>6102247.7999999998</v>
      </c>
      <c r="S22" s="135">
        <f>+R22*100/R30</f>
        <v>35.022361397697182</v>
      </c>
      <c r="T22" s="129">
        <f t="shared" si="2"/>
        <v>0</v>
      </c>
      <c r="U22" s="129"/>
    </row>
    <row r="23" spans="1:21" s="51" customFormat="1" ht="16.5" customHeight="1" x14ac:dyDescent="0.2">
      <c r="A23" s="61"/>
      <c r="B23" s="62">
        <v>3.4</v>
      </c>
      <c r="C23" s="58" t="s">
        <v>64</v>
      </c>
      <c r="D23" s="50"/>
      <c r="E23" s="50"/>
      <c r="F23" s="50">
        <f>216540+63600</f>
        <v>280140</v>
      </c>
      <c r="G23" s="50"/>
      <c r="H23" s="50">
        <f>151200+56700+12000</f>
        <v>219900</v>
      </c>
      <c r="I23" s="50"/>
      <c r="J23" s="50">
        <f>250000+80400</f>
        <v>330400</v>
      </c>
      <c r="K23" s="50"/>
      <c r="L23" s="50">
        <f>151200+174000+12000</f>
        <v>337200</v>
      </c>
      <c r="M23" s="50"/>
      <c r="N23" s="50">
        <f>200000+93600</f>
        <v>293600</v>
      </c>
      <c r="O23" s="50"/>
      <c r="P23" s="50">
        <f>151200+40800</f>
        <v>192000</v>
      </c>
      <c r="Q23" s="113"/>
      <c r="R23" s="50">
        <f t="shared" si="1"/>
        <v>1653240</v>
      </c>
      <c r="S23" s="135">
        <f>+R23*100/R30</f>
        <v>9.4883673450837076</v>
      </c>
      <c r="T23" s="129">
        <f t="shared" si="2"/>
        <v>0</v>
      </c>
      <c r="U23" s="129"/>
    </row>
    <row r="24" spans="1:21" s="51" customFormat="1" ht="16.5" customHeight="1" x14ac:dyDescent="0.2">
      <c r="A24" s="61"/>
      <c r="B24" s="62">
        <v>3.5</v>
      </c>
      <c r="C24" s="58" t="s">
        <v>11</v>
      </c>
      <c r="D24" s="50">
        <f>45000+42000+25000</f>
        <v>112000</v>
      </c>
      <c r="E24" s="50"/>
      <c r="F24" s="50">
        <f>35000+60000+20000+20000+10000+2000+50000+3000+20000+30000+30000+36000+10000+30000+10000+3000</f>
        <v>369000</v>
      </c>
      <c r="G24" s="50"/>
      <c r="H24" s="50">
        <f>20000+5000+15000+10000+20000+100000</f>
        <v>170000</v>
      </c>
      <c r="I24" s="50"/>
      <c r="J24" s="50">
        <f>45000+3000+1000+500+5400+2000+10000+4000+5000+3000+2000+3000+6000+2000+6000+5000+10000+100000</f>
        <v>212900</v>
      </c>
      <c r="K24" s="50"/>
      <c r="L24" s="50">
        <v>257000</v>
      </c>
      <c r="M24" s="50"/>
      <c r="N24" s="50">
        <f>50000+6000+8000+480+4800</f>
        <v>69280</v>
      </c>
      <c r="O24" s="50"/>
      <c r="P24" s="50">
        <f>60000+50000+3000+15000+15000+1000+5000+5000+5000+10000+100000</f>
        <v>269000</v>
      </c>
      <c r="Q24" s="113"/>
      <c r="R24" s="50">
        <f t="shared" si="1"/>
        <v>1459180</v>
      </c>
      <c r="S24" s="135">
        <f>+R24*100/R30</f>
        <v>8.3746073544066473</v>
      </c>
      <c r="T24" s="129">
        <f t="shared" si="2"/>
        <v>0</v>
      </c>
      <c r="U24" s="129"/>
    </row>
    <row r="25" spans="1:21" s="51" customFormat="1" ht="16.5" customHeight="1" x14ac:dyDescent="0.2">
      <c r="A25" s="61"/>
      <c r="B25" s="62">
        <v>3.6</v>
      </c>
      <c r="C25" s="58" t="s">
        <v>12</v>
      </c>
      <c r="D25" s="50"/>
      <c r="E25" s="50"/>
      <c r="F25" s="50">
        <f>12200+2596+15845+72000+10000+19770</f>
        <v>132411</v>
      </c>
      <c r="G25" s="50"/>
      <c r="H25" s="50">
        <f>32668+3850+49865+48000+2600+12000</f>
        <v>148983</v>
      </c>
      <c r="I25" s="50"/>
      <c r="J25" s="50">
        <f>42750+43985+75000+20520+11310+4000</f>
        <v>197565</v>
      </c>
      <c r="K25" s="50"/>
      <c r="L25" s="50">
        <f>29220+40314+29980+500+39180</f>
        <v>139194</v>
      </c>
      <c r="M25" s="50"/>
      <c r="N25" s="50">
        <f>31011+2660+52393+54000+8000+18550</f>
        <v>166614</v>
      </c>
      <c r="O25" s="50"/>
      <c r="P25" s="50">
        <f>49700+38962+42640+1400+18440+8000</f>
        <v>159142</v>
      </c>
      <c r="Q25" s="113"/>
      <c r="R25" s="50">
        <f t="shared" si="1"/>
        <v>943909</v>
      </c>
      <c r="S25" s="135">
        <f>+R25*100/R30</f>
        <v>5.4173352521900133</v>
      </c>
      <c r="T25" s="129">
        <f t="shared" si="2"/>
        <v>0</v>
      </c>
      <c r="U25" s="129"/>
    </row>
    <row r="26" spans="1:21" s="51" customFormat="1" ht="16.5" customHeight="1" x14ac:dyDescent="0.2">
      <c r="A26" s="61"/>
      <c r="B26" s="62">
        <v>3.7</v>
      </c>
      <c r="C26" s="58" t="s">
        <v>13</v>
      </c>
      <c r="D26" s="50"/>
      <c r="E26" s="50"/>
      <c r="F26" s="50">
        <f>40000+3000+2000</f>
        <v>45000</v>
      </c>
      <c r="G26" s="50"/>
      <c r="H26" s="50">
        <f>75000+4000+8000</f>
        <v>87000</v>
      </c>
      <c r="I26" s="50"/>
      <c r="J26" s="50">
        <f>60000+3600+1200</f>
        <v>64800</v>
      </c>
      <c r="K26" s="50"/>
      <c r="L26" s="50">
        <f>50000+4800+2400+7200</f>
        <v>64400</v>
      </c>
      <c r="M26" s="50"/>
      <c r="N26" s="50">
        <f>52000+2000</f>
        <v>54000</v>
      </c>
      <c r="O26" s="50"/>
      <c r="P26" s="50">
        <f>40000+15000+1600</f>
        <v>56600</v>
      </c>
      <c r="Q26" s="113"/>
      <c r="R26" s="50">
        <f t="shared" si="1"/>
        <v>371800</v>
      </c>
      <c r="S26" s="135">
        <f>+R26*100/R30</f>
        <v>2.1338553258462913</v>
      </c>
      <c r="T26" s="129">
        <f t="shared" si="2"/>
        <v>0</v>
      </c>
      <c r="U26" s="129"/>
    </row>
    <row r="27" spans="1:21" s="51" customFormat="1" ht="16.5" customHeight="1" x14ac:dyDescent="0.2">
      <c r="A27" s="61"/>
      <c r="B27" s="62">
        <v>3.8</v>
      </c>
      <c r="C27" s="58" t="s">
        <v>15</v>
      </c>
      <c r="D27" s="50">
        <f>8000+4400</f>
        <v>12400</v>
      </c>
      <c r="E27" s="50"/>
      <c r="F27" s="50">
        <f>18000+20000+65000+12600</f>
        <v>115600</v>
      </c>
      <c r="G27" s="50"/>
      <c r="H27" s="50">
        <v>183500</v>
      </c>
      <c r="I27" s="50"/>
      <c r="J27" s="50">
        <v>231300</v>
      </c>
      <c r="K27" s="50"/>
      <c r="L27" s="50">
        <f>15000+4000</f>
        <v>19000</v>
      </c>
      <c r="M27" s="50"/>
      <c r="N27" s="50">
        <v>68000</v>
      </c>
      <c r="O27" s="50"/>
      <c r="P27" s="50">
        <f>20000+12000+25000+900+1000+20000+3000+20000+25000+12000+600+20000+600</f>
        <v>160100</v>
      </c>
      <c r="Q27" s="113"/>
      <c r="R27" s="50">
        <f t="shared" si="1"/>
        <v>789900</v>
      </c>
      <c r="S27" s="135">
        <f>+R27*100/R30</f>
        <v>4.5334381976492342</v>
      </c>
      <c r="T27" s="129">
        <f t="shared" si="2"/>
        <v>0</v>
      </c>
      <c r="U27" s="129"/>
    </row>
    <row r="28" spans="1:21" s="51" customFormat="1" ht="16.5" customHeight="1" x14ac:dyDescent="0.2">
      <c r="A28" s="61"/>
      <c r="B28" s="62">
        <v>3.9</v>
      </c>
      <c r="C28" s="58" t="s">
        <v>16</v>
      </c>
      <c r="D28" s="50">
        <v>350000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f>50000+150000</f>
        <v>200000</v>
      </c>
      <c r="Q28" s="113"/>
      <c r="R28" s="50">
        <f t="shared" si="1"/>
        <v>550000</v>
      </c>
      <c r="S28" s="135">
        <f>+R28*100/R30</f>
        <v>3.1565907187075313</v>
      </c>
      <c r="T28" s="129">
        <f t="shared" si="2"/>
        <v>0</v>
      </c>
      <c r="U28" s="129"/>
    </row>
    <row r="29" spans="1:21" s="51" customFormat="1" ht="16.5" customHeight="1" x14ac:dyDescent="0.2">
      <c r="A29" s="61"/>
      <c r="B29" s="71">
        <v>3.1</v>
      </c>
      <c r="C29" s="58" t="s">
        <v>18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113"/>
      <c r="R29" s="50">
        <f t="shared" si="1"/>
        <v>0</v>
      </c>
      <c r="S29" s="50"/>
      <c r="T29" s="6">
        <f t="shared" si="2"/>
        <v>0</v>
      </c>
      <c r="U29" s="6"/>
    </row>
    <row r="30" spans="1:21" s="51" customFormat="1" ht="16.5" customHeight="1" x14ac:dyDescent="0.2">
      <c r="A30" s="64"/>
      <c r="B30" s="65"/>
      <c r="C30" s="72" t="s">
        <v>19</v>
      </c>
      <c r="D30" s="67">
        <f>+D19</f>
        <v>2628050</v>
      </c>
      <c r="E30" s="67"/>
      <c r="F30" s="67">
        <f t="shared" ref="F30:N30" si="7">+F19</f>
        <v>2079899.15</v>
      </c>
      <c r="G30" s="67"/>
      <c r="H30" s="67">
        <f t="shared" si="7"/>
        <v>2078534.8</v>
      </c>
      <c r="I30" s="67"/>
      <c r="J30" s="67">
        <f t="shared" si="7"/>
        <v>3206541.83</v>
      </c>
      <c r="K30" s="67"/>
      <c r="L30" s="67">
        <f t="shared" si="7"/>
        <v>3374933</v>
      </c>
      <c r="M30" s="67"/>
      <c r="N30" s="67">
        <f t="shared" si="7"/>
        <v>2180358.19</v>
      </c>
      <c r="O30" s="67"/>
      <c r="P30" s="67">
        <f t="shared" ref="P30" si="8">+P19</f>
        <v>1875544.69</v>
      </c>
      <c r="Q30" s="116"/>
      <c r="R30" s="67">
        <f t="shared" si="1"/>
        <v>17423861.66</v>
      </c>
      <c r="S30" s="190">
        <v>100</v>
      </c>
      <c r="T30" s="22">
        <f t="shared" si="2"/>
        <v>0</v>
      </c>
      <c r="U30" s="22"/>
    </row>
    <row r="31" spans="1:21" s="51" customFormat="1" ht="16.5" customHeight="1" x14ac:dyDescent="0.2">
      <c r="A31" s="64">
        <v>4</v>
      </c>
      <c r="B31" s="65"/>
      <c r="C31" s="72" t="s">
        <v>37</v>
      </c>
      <c r="D31" s="67">
        <f>+D4+D5-D30</f>
        <v>82620.629999999888</v>
      </c>
      <c r="E31" s="67"/>
      <c r="F31" s="67">
        <f>+F18-F30</f>
        <v>361586.89000000013</v>
      </c>
      <c r="G31" s="67"/>
      <c r="H31" s="67">
        <f>+H4+H5-H30</f>
        <v>347615.30999999982</v>
      </c>
      <c r="I31" s="67"/>
      <c r="J31" s="67">
        <f>+J4+J5-J30</f>
        <v>175930.25</v>
      </c>
      <c r="K31" s="67"/>
      <c r="L31" s="67">
        <f>+L4+L5-L30</f>
        <v>369704.92000000039</v>
      </c>
      <c r="M31" s="67"/>
      <c r="N31" s="67">
        <f>+N4+N5-N30</f>
        <v>449682.85999999987</v>
      </c>
      <c r="O31" s="67"/>
      <c r="P31" s="67">
        <f>+P4+P5-P30</f>
        <v>151235.43000000017</v>
      </c>
      <c r="Q31" s="116"/>
      <c r="R31" s="67">
        <f t="shared" si="1"/>
        <v>1938376.2900000003</v>
      </c>
      <c r="S31" s="67"/>
      <c r="T31" s="22">
        <f t="shared" si="2"/>
        <v>0</v>
      </c>
      <c r="U31" s="22"/>
    </row>
    <row r="32" spans="1:21" s="51" customFormat="1" ht="16.5" customHeight="1" x14ac:dyDescent="0.2">
      <c r="A32" s="61">
        <v>5</v>
      </c>
      <c r="B32" s="73"/>
      <c r="C32" s="56" t="s">
        <v>36</v>
      </c>
      <c r="D32" s="50">
        <f>+D33+D34</f>
        <v>134500</v>
      </c>
      <c r="E32" s="50"/>
      <c r="F32" s="50">
        <f t="shared" ref="F32:N32" si="9">+F33+F34</f>
        <v>100457</v>
      </c>
      <c r="G32" s="50"/>
      <c r="H32" s="50">
        <f t="shared" si="9"/>
        <v>141250.29999999999</v>
      </c>
      <c r="I32" s="50"/>
      <c r="J32" s="50">
        <f t="shared" si="9"/>
        <v>174378</v>
      </c>
      <c r="K32" s="50"/>
      <c r="L32" s="50">
        <f t="shared" si="9"/>
        <v>266973.33333333331</v>
      </c>
      <c r="M32" s="50"/>
      <c r="N32" s="50">
        <f t="shared" si="9"/>
        <v>176496</v>
      </c>
      <c r="O32" s="50"/>
      <c r="P32" s="50">
        <f t="shared" ref="P32" si="10">+P33+P34</f>
        <v>84953.333333333328</v>
      </c>
      <c r="Q32" s="113"/>
      <c r="R32" s="50">
        <f t="shared" si="1"/>
        <v>1079007.9666666666</v>
      </c>
      <c r="S32" s="50"/>
      <c r="T32" s="6">
        <f t="shared" si="2"/>
        <v>0</v>
      </c>
      <c r="U32" s="6"/>
    </row>
    <row r="33" spans="1:21" s="51" customFormat="1" ht="16.5" hidden="1" customHeight="1" x14ac:dyDescent="0.2">
      <c r="A33" s="61"/>
      <c r="B33" s="73"/>
      <c r="C33" s="56" t="s">
        <v>41</v>
      </c>
      <c r="D33" s="50">
        <f>+D22/12*2</f>
        <v>134500</v>
      </c>
      <c r="E33" s="50"/>
      <c r="F33" s="50">
        <f t="shared" ref="F33:N33" si="11">+F22/12*2</f>
        <v>92957</v>
      </c>
      <c r="G33" s="50"/>
      <c r="H33" s="50">
        <f t="shared" si="11"/>
        <v>126750.3</v>
      </c>
      <c r="I33" s="50"/>
      <c r="J33" s="50">
        <f t="shared" si="11"/>
        <v>163578</v>
      </c>
      <c r="K33" s="50"/>
      <c r="L33" s="50">
        <f t="shared" si="11"/>
        <v>256240</v>
      </c>
      <c r="M33" s="50"/>
      <c r="N33" s="50">
        <f t="shared" si="11"/>
        <v>167496</v>
      </c>
      <c r="O33" s="50"/>
      <c r="P33" s="50">
        <f t="shared" ref="P33" si="12">+P22/12*2</f>
        <v>75520</v>
      </c>
      <c r="Q33" s="113"/>
      <c r="R33" s="50">
        <f t="shared" ref="R5:R35" si="13">SUM(D33:P33)</f>
        <v>1017041.3</v>
      </c>
      <c r="S33" s="50"/>
      <c r="T33" s="6"/>
      <c r="U33" s="6"/>
    </row>
    <row r="34" spans="1:21" s="51" customFormat="1" ht="16.5" hidden="1" customHeight="1" x14ac:dyDescent="0.2">
      <c r="A34" s="61"/>
      <c r="B34" s="73"/>
      <c r="C34" s="56" t="s">
        <v>42</v>
      </c>
      <c r="D34" s="50">
        <f>+D26/12*2</f>
        <v>0</v>
      </c>
      <c r="E34" s="50"/>
      <c r="F34" s="50">
        <f t="shared" ref="F34:N34" si="14">+F26/12*2</f>
        <v>7500</v>
      </c>
      <c r="G34" s="50"/>
      <c r="H34" s="50">
        <f t="shared" si="14"/>
        <v>14500</v>
      </c>
      <c r="I34" s="50"/>
      <c r="J34" s="50">
        <f t="shared" si="14"/>
        <v>10800</v>
      </c>
      <c r="K34" s="50"/>
      <c r="L34" s="50">
        <f t="shared" si="14"/>
        <v>10733.333333333334</v>
      </c>
      <c r="M34" s="50"/>
      <c r="N34" s="50">
        <f t="shared" si="14"/>
        <v>9000</v>
      </c>
      <c r="O34" s="50"/>
      <c r="P34" s="50">
        <f t="shared" ref="P34" si="15">+P26/12*2</f>
        <v>9433.3333333333339</v>
      </c>
      <c r="Q34" s="113"/>
      <c r="R34" s="50">
        <f t="shared" si="13"/>
        <v>61966.666666666672</v>
      </c>
      <c r="S34" s="50"/>
      <c r="T34" s="6"/>
      <c r="U34" s="6"/>
    </row>
    <row r="35" spans="1:21" s="51" customFormat="1" ht="51.75" hidden="1" x14ac:dyDescent="0.2">
      <c r="A35" s="100">
        <v>6</v>
      </c>
      <c r="B35" s="125"/>
      <c r="C35" s="126" t="s">
        <v>144</v>
      </c>
      <c r="D35" s="127">
        <f>+D31-D32</f>
        <v>-51879.370000000112</v>
      </c>
      <c r="E35" s="127"/>
      <c r="F35" s="127">
        <f t="shared" ref="F35:N35" si="16">+F31-F32</f>
        <v>261129.89000000013</v>
      </c>
      <c r="G35" s="127"/>
      <c r="H35" s="127">
        <f t="shared" si="16"/>
        <v>206365.00999999983</v>
      </c>
      <c r="I35" s="127"/>
      <c r="J35" s="127">
        <f>+J31-J32</f>
        <v>1552.25</v>
      </c>
      <c r="K35" s="127"/>
      <c r="L35" s="127">
        <f t="shared" si="16"/>
        <v>102731.58666666708</v>
      </c>
      <c r="M35" s="127"/>
      <c r="N35" s="127">
        <f t="shared" si="16"/>
        <v>273186.85999999987</v>
      </c>
      <c r="O35" s="127"/>
      <c r="P35" s="127">
        <f t="shared" ref="P35" si="17">+P31-P32</f>
        <v>66282.096666666839</v>
      </c>
      <c r="Q35" s="128"/>
      <c r="R35" s="127">
        <f t="shared" si="13"/>
        <v>859368.3233333336</v>
      </c>
      <c r="S35" s="127"/>
      <c r="T35" s="28"/>
      <c r="U35" s="28"/>
    </row>
    <row r="38" spans="1:21" x14ac:dyDescent="0.55000000000000004">
      <c r="T38" s="38"/>
      <c r="U38" s="38"/>
    </row>
  </sheetData>
  <mergeCells count="14">
    <mergeCell ref="T2:T3"/>
    <mergeCell ref="U2:U3"/>
    <mergeCell ref="A1:R1"/>
    <mergeCell ref="A2:B3"/>
    <mergeCell ref="C2:C3"/>
    <mergeCell ref="R2:R3"/>
    <mergeCell ref="S2:S3"/>
    <mergeCell ref="E2:E3"/>
    <mergeCell ref="G2:G3"/>
    <mergeCell ref="I2:I3"/>
    <mergeCell ref="K2:K3"/>
    <mergeCell ref="M2:M3"/>
    <mergeCell ref="O2:O3"/>
    <mergeCell ref="Q2:Q3"/>
  </mergeCells>
  <printOptions horizontalCentered="1"/>
  <pageMargins left="0.78740157480314965" right="0.15748031496062992" top="0.19685039370078741" bottom="0.19685039370078741" header="0.11811023622047245" footer="0.11811023622047245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สรุป</vt:lpstr>
      <vt:lpstr>อ.เมือง</vt:lpstr>
      <vt:lpstr>อรัญ</vt:lpstr>
      <vt:lpstr>ตะพระยา</vt:lpstr>
      <vt:lpstr>คลองหาด</vt:lpstr>
      <vt:lpstr>วังน้ำเย็น</vt:lpstr>
      <vt:lpstr>วังสมบูรณ์</vt:lpstr>
      <vt:lpstr>โคกสูง.</vt:lpstr>
      <vt:lpstr>เขาฉกรรจ์</vt:lpstr>
      <vt:lpstr>วัฒนา</vt:lpstr>
      <vt:lpstr>เขาฉกรรจ์!Print_Area</vt:lpstr>
      <vt:lpstr>คลองหาด!Print_Area</vt:lpstr>
      <vt:lpstr>โคกสูง.!Print_Area</vt:lpstr>
      <vt:lpstr>ตะพระยา!Print_Area</vt:lpstr>
      <vt:lpstr>วังน้ำเย็น!Print_Area</vt:lpstr>
      <vt:lpstr>วังสมบูรณ์!Print_Area</vt:lpstr>
      <vt:lpstr>วัฒนา!Print_Area</vt:lpstr>
      <vt:lpstr>สรุป!Print_Area</vt:lpstr>
      <vt:lpstr>อ.เมือง!Print_Area</vt:lpstr>
      <vt:lpstr>อรัญ!Print_Area</vt:lpstr>
      <vt:lpstr>เขาฉกรรจ์!Print_Titles</vt:lpstr>
      <vt:lpstr>คลองหาด!Print_Titles</vt:lpstr>
      <vt:lpstr>โคกสูง.!Print_Titles</vt:lpstr>
      <vt:lpstr>ตะพระยา!Print_Titles</vt:lpstr>
      <vt:lpstr>วังน้ำเย็น!Print_Titles</vt:lpstr>
      <vt:lpstr>วังสมบูรณ์!Print_Titles</vt:lpstr>
      <vt:lpstr>วัฒนา!Print_Titles</vt:lpstr>
      <vt:lpstr>สรุป!Print_Titles</vt:lpstr>
      <vt:lpstr>อ.เมือง!Print_Titles</vt:lpstr>
      <vt:lpstr>อรัญ!Print_Titles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2019-01-10T04:48:10Z</cp:lastPrinted>
  <dcterms:created xsi:type="dcterms:W3CDTF">2018-08-03T03:13:27Z</dcterms:created>
  <dcterms:modified xsi:type="dcterms:W3CDTF">2019-01-18T09:17:49Z</dcterms:modified>
</cp:coreProperties>
</file>