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งบลงทุน\งบลงทุน พรบ.งบฯ\งบลงทุนปี61\"/>
    </mc:Choice>
  </mc:AlternateContent>
  <bookViews>
    <workbookView xWindow="0" yWindow="0" windowWidth="16005" windowHeight="5190" firstSheet="10" activeTab="14"/>
  </bookViews>
  <sheets>
    <sheet name="1.IPD" sheetId="2" r:id="rId1"/>
    <sheet name="รายการIPD" sheetId="27" r:id="rId2"/>
    <sheet name="2.ICU" sheetId="15" r:id="rId3"/>
    <sheet name="รายการICU" sheetId="28" r:id="rId4"/>
    <sheet name="3.ORปรับ" sheetId="16" r:id="rId5"/>
    <sheet name="รายการOR" sheetId="29" r:id="rId6"/>
    <sheet name="4.OPDปรับ" sheetId="13" r:id="rId7"/>
    <sheet name="คำนวณOPD" sheetId="36" r:id="rId8"/>
    <sheet name="รายการOPD" sheetId="31" r:id="rId9"/>
    <sheet name="5.ครุภัณฑ์" sheetId="24" r:id="rId10"/>
    <sheet name="รายการครุภัณฑ์" sheetId="25" r:id="rId11"/>
    <sheet name="สรุปครุภัณฑ์ปรับ" sheetId="26" r:id="rId12"/>
    <sheet name="6.น้ำเสีย " sheetId="17" r:id="rId13"/>
    <sheet name="รายการน้ำเสีย" sheetId="32" r:id="rId14"/>
    <sheet name="7.ไฟฟ้า ประบา" sheetId="18" r:id="rId15"/>
    <sheet name="รายการไฟฟ้าประปา" sheetId="33" r:id="rId16"/>
    <sheet name="8.ที่พักอาศํย" sheetId="8" r:id="rId17"/>
    <sheet name="รายการที่พัก" sheetId="34" r:id="rId18"/>
    <sheet name="คิดส่วนขาดที่พัก" sheetId="37" r:id="rId19"/>
    <sheet name="9.อาคารจอดรถ" sheetId="20" r:id="rId20"/>
    <sheet name="รายการที่จอดรถ" sheetId="35" r:id="rId21"/>
    <sheet name="10.อาคารสนับสนุน" sheetId="21" r:id="rId22"/>
    <sheet name="รายการอาคารสนับสนุน" sheetId="30" r:id="rId23"/>
    <sheet name="11.อาคารสำนักงาน" sheetId="22" r:id="rId24"/>
    <sheet name="รายการสำนักงาน" sheetId="23" r:id="rId25"/>
  </sheets>
  <externalReferences>
    <externalReference r:id="rId26"/>
    <externalReference r:id="rId27"/>
  </externalReferences>
  <definedNames>
    <definedName name="_xlnm._FilterDatabase" localSheetId="0" hidden="1">'1.IPD'!$D$4:$AQ$4</definedName>
    <definedName name="_xlnm._FilterDatabase" localSheetId="9" hidden="1">'5.ครุภัณฑ์'!$T$4:$X$786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3" l="1"/>
  <c r="B43" i="30"/>
  <c r="B42" i="30"/>
  <c r="B41" i="30"/>
  <c r="H30" i="30"/>
  <c r="H37" i="30" s="1"/>
  <c r="H12" i="30"/>
  <c r="C46" i="30"/>
  <c r="H74" i="34"/>
  <c r="B79" i="34"/>
  <c r="B45" i="32"/>
  <c r="Y464" i="24"/>
  <c r="AD464" i="24" s="1"/>
  <c r="Z464" i="24"/>
  <c r="AA464" i="24"/>
  <c r="AB464" i="24"/>
  <c r="AC464" i="24"/>
  <c r="B47" i="31"/>
  <c r="N36" i="31"/>
  <c r="M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I40" i="29"/>
  <c r="C40" i="29"/>
  <c r="B40" i="29" s="1"/>
  <c r="I44" i="28"/>
  <c r="C44" i="28"/>
  <c r="B44" i="28"/>
  <c r="W65" i="27"/>
  <c r="K65" i="27"/>
  <c r="C64" i="27"/>
  <c r="C63" i="27"/>
  <c r="C62" i="27"/>
  <c r="C61" i="27"/>
  <c r="C60" i="27"/>
  <c r="C59" i="27"/>
  <c r="C58" i="27"/>
  <c r="C57" i="27"/>
  <c r="C56" i="27"/>
  <c r="C55" i="27"/>
  <c r="C65" i="27" s="1"/>
  <c r="R10" i="15"/>
  <c r="W15" i="2"/>
  <c r="F19" i="37"/>
  <c r="G19" i="37" s="1"/>
  <c r="F18" i="37"/>
  <c r="G18" i="37" s="1"/>
  <c r="F17" i="37"/>
  <c r="G17" i="37" s="1"/>
  <c r="F13" i="37"/>
  <c r="G13" i="37" s="1"/>
  <c r="E13" i="37"/>
  <c r="F12" i="37"/>
  <c r="G12" i="37" s="1"/>
  <c r="E12" i="37"/>
  <c r="F11" i="37"/>
  <c r="G11" i="37" s="1"/>
  <c r="E11" i="37"/>
  <c r="F10" i="37"/>
  <c r="G10" i="37" s="1"/>
  <c r="E10" i="37"/>
  <c r="F9" i="37"/>
  <c r="G9" i="37" s="1"/>
  <c r="E9" i="37"/>
  <c r="F8" i="37"/>
  <c r="G8" i="37" s="1"/>
  <c r="E8" i="37"/>
  <c r="G7" i="37"/>
  <c r="F7" i="37"/>
  <c r="E7" i="37"/>
  <c r="F6" i="37"/>
  <c r="G6" i="37" s="1"/>
  <c r="E6" i="37"/>
  <c r="F5" i="37"/>
  <c r="G5" i="37" s="1"/>
  <c r="E5" i="37"/>
  <c r="F4" i="37"/>
  <c r="G4" i="37" s="1"/>
  <c r="E4" i="37"/>
  <c r="F3" i="37"/>
  <c r="G3" i="37" s="1"/>
  <c r="E3" i="37"/>
  <c r="B46" i="30" l="1"/>
  <c r="O36" i="31"/>
  <c r="K30" i="23"/>
  <c r="J30" i="23"/>
  <c r="I30" i="23"/>
  <c r="H30" i="23"/>
  <c r="G30" i="23"/>
  <c r="L26" i="23"/>
  <c r="L30" i="23" s="1"/>
  <c r="K37" i="30"/>
  <c r="I37" i="30"/>
  <c r="L36" i="30"/>
  <c r="L35" i="30"/>
  <c r="L34" i="30"/>
  <c r="J33" i="30"/>
  <c r="L33" i="30" s="1"/>
  <c r="L32" i="30"/>
  <c r="L31" i="30"/>
  <c r="G30" i="30"/>
  <c r="G37" i="30" s="1"/>
  <c r="L29" i="30"/>
  <c r="L28" i="30"/>
  <c r="L27" i="30"/>
  <c r="BB11" i="21"/>
  <c r="BA11" i="21"/>
  <c r="BD11" i="21"/>
  <c r="BE11" i="21"/>
  <c r="BF6" i="21"/>
  <c r="Q11" i="21"/>
  <c r="R11" i="21"/>
  <c r="S11" i="21"/>
  <c r="T11" i="21"/>
  <c r="U11" i="21"/>
  <c r="V11" i="21"/>
  <c r="W11" i="21"/>
  <c r="L9" i="35"/>
  <c r="K9" i="35"/>
  <c r="J9" i="35"/>
  <c r="I9" i="35"/>
  <c r="H9" i="35"/>
  <c r="G9" i="35"/>
  <c r="F9" i="35"/>
  <c r="E9" i="35"/>
  <c r="D9" i="35"/>
  <c r="C9" i="35"/>
  <c r="M8" i="35"/>
  <c r="M7" i="35"/>
  <c r="M6" i="35"/>
  <c r="M5" i="35"/>
  <c r="M4" i="35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Z43" i="34"/>
  <c r="AA42" i="34"/>
  <c r="Z42" i="34"/>
  <c r="Z41" i="34"/>
  <c r="Z40" i="34"/>
  <c r="Z39" i="34"/>
  <c r="AL30" i="33"/>
  <c r="AK30" i="33"/>
  <c r="AJ30" i="33"/>
  <c r="AI30" i="33"/>
  <c r="U30" i="33"/>
  <c r="N30" i="33"/>
  <c r="K30" i="33"/>
  <c r="J30" i="33"/>
  <c r="I30" i="33"/>
  <c r="H30" i="33"/>
  <c r="G30" i="33"/>
  <c r="F30" i="33"/>
  <c r="E30" i="33"/>
  <c r="D30" i="33"/>
  <c r="C30" i="33"/>
  <c r="AM29" i="33"/>
  <c r="AM28" i="33"/>
  <c r="AM27" i="33"/>
  <c r="AM26" i="33"/>
  <c r="AM25" i="33"/>
  <c r="K36" i="32"/>
  <c r="J36" i="32"/>
  <c r="I36" i="32"/>
  <c r="H36" i="32"/>
  <c r="G36" i="32"/>
  <c r="L32" i="32"/>
  <c r="L31" i="32"/>
  <c r="K165" i="25"/>
  <c r="J165" i="25"/>
  <c r="D165" i="25"/>
  <c r="K164" i="25"/>
  <c r="J164" i="25"/>
  <c r="D164" i="25"/>
  <c r="K163" i="25"/>
  <c r="J163" i="25"/>
  <c r="D163" i="25"/>
  <c r="K162" i="25"/>
  <c r="J162" i="25"/>
  <c r="E162" i="25"/>
  <c r="K161" i="25"/>
  <c r="J161" i="25"/>
  <c r="K160" i="25"/>
  <c r="K159" i="25"/>
  <c r="K158" i="25"/>
  <c r="J157" i="25"/>
  <c r="J156" i="25"/>
  <c r="K156" i="25" s="1"/>
  <c r="K155" i="25"/>
  <c r="K154" i="25"/>
  <c r="I153" i="25"/>
  <c r="K153" i="25" s="1"/>
  <c r="I152" i="25"/>
  <c r="K152" i="25" s="1"/>
  <c r="I151" i="25"/>
  <c r="K151" i="25" s="1"/>
  <c r="K150" i="25"/>
  <c r="K149" i="25"/>
  <c r="K148" i="25"/>
  <c r="K147" i="25"/>
  <c r="K146" i="25"/>
  <c r="H145" i="25"/>
  <c r="K145" i="25" s="1"/>
  <c r="K144" i="25"/>
  <c r="G143" i="25"/>
  <c r="K143" i="25" s="1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F117" i="25"/>
  <c r="K117" i="25" s="1"/>
  <c r="F116" i="25"/>
  <c r="K116" i="25" s="1"/>
  <c r="F115" i="25"/>
  <c r="K115" i="25" s="1"/>
  <c r="K114" i="25"/>
  <c r="F114" i="25"/>
  <c r="F113" i="25"/>
  <c r="K113" i="25" s="1"/>
  <c r="K112" i="25"/>
  <c r="K111" i="25"/>
  <c r="F110" i="25"/>
  <c r="K110" i="25" s="1"/>
  <c r="F109" i="25"/>
  <c r="K109" i="25" s="1"/>
  <c r="F108" i="25"/>
  <c r="K108" i="25" s="1"/>
  <c r="K107" i="25"/>
  <c r="K106" i="25"/>
  <c r="K105" i="25"/>
  <c r="K104" i="25"/>
  <c r="K103" i="25"/>
  <c r="K102" i="25"/>
  <c r="K101" i="25"/>
  <c r="K100" i="25"/>
  <c r="K99" i="25"/>
  <c r="K98" i="25"/>
  <c r="K97" i="25"/>
  <c r="K95" i="25"/>
  <c r="K94" i="25"/>
  <c r="K92" i="25"/>
  <c r="D92" i="25"/>
  <c r="K91" i="25"/>
  <c r="K90" i="25"/>
  <c r="K89" i="25"/>
  <c r="K88" i="25"/>
  <c r="K87" i="25"/>
  <c r="K86" i="25"/>
  <c r="K85" i="25"/>
  <c r="K84" i="25"/>
  <c r="K83" i="25"/>
  <c r="K82" i="25"/>
  <c r="K81" i="25"/>
  <c r="I80" i="25"/>
  <c r="I166" i="25" s="1"/>
  <c r="H80" i="25"/>
  <c r="H166" i="25" s="1"/>
  <c r="G80" i="25"/>
  <c r="F80" i="25"/>
  <c r="K79" i="25"/>
  <c r="K78" i="25"/>
  <c r="K77" i="25"/>
  <c r="K76" i="25"/>
  <c r="K75" i="25"/>
  <c r="K74" i="25"/>
  <c r="K73" i="25"/>
  <c r="K72" i="25"/>
  <c r="K71" i="25"/>
  <c r="K70" i="25"/>
  <c r="K69" i="25"/>
  <c r="F68" i="25"/>
  <c r="K68" i="25" s="1"/>
  <c r="K67" i="25"/>
  <c r="K66" i="25"/>
  <c r="F65" i="25"/>
  <c r="K65" i="25" s="1"/>
  <c r="K64" i="25"/>
  <c r="K63" i="25"/>
  <c r="F62" i="25"/>
  <c r="K61" i="25"/>
  <c r="K60" i="25"/>
  <c r="K59" i="25"/>
  <c r="K58" i="25"/>
  <c r="K57" i="25"/>
  <c r="K56" i="25"/>
  <c r="K55" i="25"/>
  <c r="K54" i="25"/>
  <c r="K53" i="25"/>
  <c r="K52" i="25"/>
  <c r="K416" i="24"/>
  <c r="K415" i="24"/>
  <c r="K414" i="24"/>
  <c r="K413" i="24"/>
  <c r="K412" i="24"/>
  <c r="K404" i="24"/>
  <c r="K403" i="24"/>
  <c r="K386" i="24"/>
  <c r="K382" i="24"/>
  <c r="K380" i="24"/>
  <c r="K377" i="24"/>
  <c r="K376" i="24"/>
  <c r="K375" i="24"/>
  <c r="K374" i="24"/>
  <c r="K367" i="24"/>
  <c r="K341" i="24"/>
  <c r="K333" i="24"/>
  <c r="K326" i="24"/>
  <c r="K325" i="24"/>
  <c r="K320" i="24"/>
  <c r="K318" i="24"/>
  <c r="K317" i="24"/>
  <c r="K314" i="24"/>
  <c r="K311" i="24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5" i="13"/>
  <c r="AQ6" i="13"/>
  <c r="AQ7" i="13"/>
  <c r="AQ8" i="13"/>
  <c r="AQ9" i="13"/>
  <c r="G10" i="36"/>
  <c r="E10" i="36"/>
  <c r="H9" i="36"/>
  <c r="D9" i="36"/>
  <c r="F9" i="36" s="1"/>
  <c r="D21" i="36" s="1"/>
  <c r="F21" i="36" s="1"/>
  <c r="C9" i="36"/>
  <c r="H8" i="36"/>
  <c r="D8" i="36"/>
  <c r="F8" i="36" s="1"/>
  <c r="D20" i="36" s="1"/>
  <c r="F20" i="36" s="1"/>
  <c r="C8" i="36"/>
  <c r="H7" i="36"/>
  <c r="D7" i="36"/>
  <c r="C7" i="36"/>
  <c r="H6" i="36"/>
  <c r="D6" i="36"/>
  <c r="I6" i="36" s="1"/>
  <c r="D30" i="36" s="1"/>
  <c r="F30" i="36" s="1"/>
  <c r="C6" i="36"/>
  <c r="H5" i="36"/>
  <c r="D5" i="36"/>
  <c r="F5" i="36" s="1"/>
  <c r="D17" i="36" s="1"/>
  <c r="F17" i="36" s="1"/>
  <c r="C5" i="36"/>
  <c r="H4" i="36"/>
  <c r="D4" i="36"/>
  <c r="I4" i="36" s="1"/>
  <c r="D28" i="36" s="1"/>
  <c r="F28" i="36" s="1"/>
  <c r="C4" i="36"/>
  <c r="H3" i="36"/>
  <c r="D3" i="36"/>
  <c r="C3" i="36"/>
  <c r="H2" i="36"/>
  <c r="D2" i="36"/>
  <c r="I2" i="36" s="1"/>
  <c r="D26" i="36" s="1"/>
  <c r="C2" i="36"/>
  <c r="H10" i="36" l="1"/>
  <c r="K417" i="24"/>
  <c r="L36" i="32"/>
  <c r="C10" i="36"/>
  <c r="I3" i="36"/>
  <c r="D27" i="36" s="1"/>
  <c r="F27" i="36" s="1"/>
  <c r="I7" i="36"/>
  <c r="D31" i="36" s="1"/>
  <c r="F31" i="36" s="1"/>
  <c r="G166" i="25"/>
  <c r="J166" i="25"/>
  <c r="AM30" i="33"/>
  <c r="Z44" i="34"/>
  <c r="F2" i="36"/>
  <c r="D14" i="36" s="1"/>
  <c r="F14" i="36" s="1"/>
  <c r="F4" i="36"/>
  <c r="D16" i="36" s="1"/>
  <c r="F16" i="36" s="1"/>
  <c r="F6" i="36"/>
  <c r="D18" i="36" s="1"/>
  <c r="F18" i="36" s="1"/>
  <c r="I8" i="36"/>
  <c r="D32" i="36" s="1"/>
  <c r="F32" i="36" s="1"/>
  <c r="D10" i="36"/>
  <c r="F10" i="36" s="1"/>
  <c r="J37" i="30"/>
  <c r="L30" i="30"/>
  <c r="L37" i="30" s="1"/>
  <c r="BF11" i="21"/>
  <c r="M9" i="35"/>
  <c r="AQ10" i="13"/>
  <c r="F166" i="25"/>
  <c r="K80" i="25"/>
  <c r="K157" i="25"/>
  <c r="K62" i="25"/>
  <c r="K166" i="25" s="1"/>
  <c r="F26" i="36"/>
  <c r="I10" i="36"/>
  <c r="F3" i="36"/>
  <c r="D15" i="36" s="1"/>
  <c r="F15" i="36" s="1"/>
  <c r="I5" i="36"/>
  <c r="D29" i="36" s="1"/>
  <c r="F29" i="36" s="1"/>
  <c r="F7" i="36"/>
  <c r="D19" i="36" s="1"/>
  <c r="F19" i="36" s="1"/>
  <c r="I9" i="36"/>
  <c r="D33" i="36" s="1"/>
  <c r="F33" i="36" s="1"/>
  <c r="D34" i="36" l="1"/>
  <c r="F34" i="36"/>
  <c r="D22" i="36"/>
  <c r="F22" i="36"/>
  <c r="H30" i="31" l="1"/>
  <c r="G30" i="31"/>
  <c r="F30" i="31"/>
  <c r="E30" i="31"/>
  <c r="D30" i="31"/>
  <c r="C30" i="31"/>
  <c r="I29" i="31"/>
  <c r="I28" i="31"/>
  <c r="I27" i="31"/>
  <c r="I26" i="31"/>
  <c r="I25" i="31"/>
  <c r="D30" i="29"/>
  <c r="E24" i="29"/>
  <c r="D24" i="29"/>
  <c r="C24" i="29"/>
  <c r="G23" i="29"/>
  <c r="G24" i="29" s="1"/>
  <c r="F23" i="29"/>
  <c r="F24" i="29" s="1"/>
  <c r="H22" i="29"/>
  <c r="F35" i="28"/>
  <c r="C35" i="28"/>
  <c r="H29" i="28"/>
  <c r="H23" i="28"/>
  <c r="H35" i="28" s="1"/>
  <c r="D50" i="27"/>
  <c r="I49" i="27"/>
  <c r="I48" i="27"/>
  <c r="I47" i="27"/>
  <c r="F47" i="27"/>
  <c r="I46" i="27"/>
  <c r="P38" i="27"/>
  <c r="O38" i="27"/>
  <c r="N38" i="27"/>
  <c r="M38" i="27"/>
  <c r="L38" i="27"/>
  <c r="K38" i="27"/>
  <c r="J38" i="27"/>
  <c r="H38" i="27"/>
  <c r="G38" i="27"/>
  <c r="F38" i="27"/>
  <c r="E38" i="27"/>
  <c r="D38" i="27"/>
  <c r="Q37" i="27"/>
  <c r="I37" i="27"/>
  <c r="R37" i="27" s="1"/>
  <c r="Q36" i="27"/>
  <c r="H51" i="27" s="1"/>
  <c r="I36" i="27"/>
  <c r="H50" i="27" s="1"/>
  <c r="Q35" i="27"/>
  <c r="I35" i="27"/>
  <c r="R35" i="27" s="1"/>
  <c r="R34" i="27"/>
  <c r="Q34" i="27"/>
  <c r="G51" i="27" s="1"/>
  <c r="I34" i="27"/>
  <c r="G50" i="27" s="1"/>
  <c r="Q33" i="27"/>
  <c r="I33" i="27"/>
  <c r="R33" i="27" s="1"/>
  <c r="Q32" i="27"/>
  <c r="F51" i="27" s="1"/>
  <c r="I32" i="27"/>
  <c r="F50" i="27" s="1"/>
  <c r="R31" i="27"/>
  <c r="Q31" i="27"/>
  <c r="I31" i="27"/>
  <c r="Q30" i="27"/>
  <c r="E51" i="27" s="1"/>
  <c r="I51" i="27" s="1"/>
  <c r="I30" i="27"/>
  <c r="E50" i="27" s="1"/>
  <c r="I50" i="27" s="1"/>
  <c r="Q29" i="27"/>
  <c r="I29" i="27"/>
  <c r="R29" i="27" s="1"/>
  <c r="Q28" i="27"/>
  <c r="I28" i="27"/>
  <c r="R28" i="27" s="1"/>
  <c r="Q15" i="2"/>
  <c r="Q38" i="27" l="1"/>
  <c r="R30" i="27"/>
  <c r="I38" i="27"/>
  <c r="R38" i="27" s="1"/>
  <c r="I30" i="31"/>
  <c r="R32" i="27"/>
  <c r="R36" i="27"/>
  <c r="L15" i="30" l="1"/>
  <c r="K20" i="30"/>
  <c r="M10" i="8" l="1"/>
  <c r="K35" i="34" l="1"/>
  <c r="K26" i="34"/>
  <c r="J26" i="34"/>
  <c r="I26" i="34"/>
  <c r="H26" i="34"/>
  <c r="G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J13" i="33"/>
  <c r="I13" i="33"/>
  <c r="H13" i="33"/>
  <c r="G13" i="33"/>
  <c r="F13" i="33"/>
  <c r="K12" i="33"/>
  <c r="K11" i="33"/>
  <c r="K10" i="33"/>
  <c r="K9" i="33"/>
  <c r="K8" i="33"/>
  <c r="L26" i="34" l="1"/>
  <c r="K13" i="33"/>
  <c r="K11" i="32"/>
  <c r="J11" i="32"/>
  <c r="I11" i="32"/>
  <c r="H11" i="32"/>
  <c r="G11" i="32"/>
  <c r="L10" i="32"/>
  <c r="L9" i="32"/>
  <c r="L8" i="32"/>
  <c r="L11" i="32" l="1"/>
  <c r="K300" i="24"/>
  <c r="I21" i="31" l="1"/>
  <c r="K13" i="31"/>
  <c r="J13" i="31"/>
  <c r="I13" i="31"/>
  <c r="H13" i="31"/>
  <c r="G13" i="31"/>
  <c r="L12" i="31"/>
  <c r="L11" i="31"/>
  <c r="L10" i="31"/>
  <c r="L9" i="31"/>
  <c r="L8" i="31"/>
  <c r="L13" i="31" l="1"/>
  <c r="G11" i="16"/>
  <c r="H11" i="16"/>
  <c r="I11" i="16"/>
  <c r="J11" i="16"/>
  <c r="K11" i="16"/>
  <c r="H17" i="28"/>
  <c r="M24" i="2"/>
  <c r="I24" i="27"/>
  <c r="G24" i="2"/>
  <c r="K12" i="23" l="1"/>
  <c r="J12" i="23"/>
  <c r="I12" i="23"/>
  <c r="H12" i="23"/>
  <c r="G12" i="23"/>
  <c r="L11" i="23"/>
  <c r="L10" i="23"/>
  <c r="L9" i="23"/>
  <c r="L8" i="23"/>
  <c r="C11" i="22"/>
  <c r="D11" i="22"/>
  <c r="E11" i="22"/>
  <c r="F11" i="22"/>
  <c r="G11" i="22"/>
  <c r="H11" i="22"/>
  <c r="I11" i="22"/>
  <c r="C11" i="21"/>
  <c r="D11" i="21"/>
  <c r="E11" i="21"/>
  <c r="F11" i="21"/>
  <c r="G11" i="21"/>
  <c r="K12" i="30"/>
  <c r="J12" i="30"/>
  <c r="I12" i="30"/>
  <c r="G12" i="30"/>
  <c r="L11" i="30"/>
  <c r="L10" i="30"/>
  <c r="L9" i="30"/>
  <c r="L8" i="30"/>
  <c r="C10" i="8"/>
  <c r="D10" i="8"/>
  <c r="E10" i="8"/>
  <c r="F10" i="8"/>
  <c r="G10" i="8"/>
  <c r="H10" i="8"/>
  <c r="J51" i="25"/>
  <c r="I51" i="25"/>
  <c r="H51" i="25"/>
  <c r="G51" i="25"/>
  <c r="F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47" i="24"/>
  <c r="K9" i="29"/>
  <c r="J9" i="29"/>
  <c r="I9" i="29"/>
  <c r="H9" i="29"/>
  <c r="L8" i="29"/>
  <c r="C11" i="16"/>
  <c r="K9" i="28"/>
  <c r="J9" i="28"/>
  <c r="I9" i="28"/>
  <c r="H9" i="28"/>
  <c r="L8" i="28"/>
  <c r="K11" i="27"/>
  <c r="J11" i="27"/>
  <c r="I11" i="27"/>
  <c r="H11" i="27"/>
  <c r="G11" i="27"/>
  <c r="L10" i="27"/>
  <c r="L9" i="27"/>
  <c r="L8" i="27"/>
  <c r="L9" i="29" l="1"/>
  <c r="L11" i="27"/>
  <c r="L12" i="23"/>
  <c r="L9" i="28"/>
  <c r="L12" i="30"/>
  <c r="K51" i="25"/>
  <c r="C10" i="26" l="1"/>
  <c r="C7" i="26" l="1"/>
  <c r="C8" i="26"/>
  <c r="C11" i="26" l="1"/>
  <c r="K631" i="25"/>
  <c r="D630" i="25"/>
  <c r="D629" i="25"/>
  <c r="D628" i="25"/>
  <c r="D627" i="25"/>
  <c r="D626" i="25"/>
  <c r="D625" i="25"/>
  <c r="D624" i="25"/>
  <c r="D623" i="25"/>
  <c r="D622" i="25"/>
  <c r="D621" i="25"/>
  <c r="D620" i="25"/>
  <c r="D619" i="25"/>
  <c r="D618" i="25"/>
  <c r="D617" i="25"/>
  <c r="D616" i="25"/>
  <c r="D615" i="25"/>
  <c r="D614" i="25"/>
  <c r="D613" i="25"/>
  <c r="D612" i="25"/>
  <c r="D611" i="25"/>
  <c r="D610" i="25"/>
  <c r="D609" i="25"/>
  <c r="D608" i="25"/>
  <c r="D607" i="25"/>
  <c r="D606" i="25"/>
  <c r="D605" i="25"/>
  <c r="D604" i="25"/>
  <c r="D603" i="25"/>
  <c r="D602" i="25"/>
  <c r="D601" i="25"/>
  <c r="D600" i="25"/>
  <c r="D599" i="25"/>
  <c r="D598" i="25"/>
  <c r="D597" i="25"/>
  <c r="D596" i="25"/>
  <c r="D595" i="25"/>
  <c r="D594" i="25"/>
  <c r="D593" i="25"/>
  <c r="D592" i="25"/>
  <c r="D591" i="25"/>
  <c r="D590" i="25"/>
  <c r="D589" i="25"/>
  <c r="D588" i="25"/>
  <c r="D587" i="25"/>
  <c r="D586" i="25"/>
  <c r="D585" i="25"/>
  <c r="D584" i="25"/>
  <c r="D583" i="25"/>
  <c r="D582" i="25"/>
  <c r="D581" i="25"/>
  <c r="D580" i="25"/>
  <c r="D579" i="25"/>
  <c r="D578" i="25"/>
  <c r="D577" i="25"/>
  <c r="D576" i="25"/>
  <c r="D575" i="25"/>
  <c r="D574" i="25"/>
  <c r="D573" i="25"/>
  <c r="D572" i="25"/>
  <c r="D571" i="25"/>
  <c r="D570" i="25"/>
  <c r="D569" i="25"/>
  <c r="D568" i="25"/>
  <c r="D567" i="25"/>
  <c r="D566" i="25"/>
  <c r="D565" i="25"/>
  <c r="D564" i="25"/>
  <c r="D563" i="25"/>
  <c r="D562" i="25"/>
  <c r="D561" i="25"/>
  <c r="D560" i="25"/>
  <c r="D559" i="25"/>
  <c r="D558" i="25"/>
  <c r="D557" i="25"/>
  <c r="D556" i="25"/>
  <c r="D555" i="25"/>
  <c r="D554" i="25"/>
  <c r="D553" i="25"/>
  <c r="D552" i="25"/>
  <c r="D551" i="25"/>
  <c r="D550" i="25"/>
  <c r="D549" i="25"/>
  <c r="D548" i="25"/>
  <c r="D547" i="25"/>
  <c r="D546" i="25"/>
  <c r="D545" i="25"/>
  <c r="D544" i="25"/>
  <c r="D543" i="25"/>
  <c r="D542" i="25"/>
  <c r="D541" i="25"/>
  <c r="D540" i="25"/>
  <c r="D539" i="25"/>
  <c r="D538" i="25"/>
  <c r="D537" i="25"/>
  <c r="D536" i="25"/>
  <c r="D535" i="25"/>
  <c r="D534" i="25"/>
  <c r="D533" i="25"/>
  <c r="D532" i="25"/>
  <c r="D531" i="25"/>
  <c r="D530" i="25"/>
  <c r="D529" i="25"/>
  <c r="D528" i="25"/>
  <c r="D527" i="25"/>
  <c r="D526" i="25"/>
  <c r="D525" i="25"/>
  <c r="D524" i="25"/>
  <c r="D523" i="25"/>
  <c r="D522" i="25"/>
  <c r="D521" i="25"/>
  <c r="D520" i="25"/>
  <c r="D519" i="25"/>
  <c r="D518" i="25"/>
  <c r="D517" i="25"/>
  <c r="D516" i="25"/>
  <c r="D515" i="25"/>
  <c r="D514" i="25"/>
  <c r="D513" i="25"/>
  <c r="D512" i="25"/>
  <c r="D511" i="25"/>
  <c r="D510" i="25"/>
  <c r="D509" i="25"/>
  <c r="D508" i="25"/>
  <c r="D507" i="25"/>
  <c r="D506" i="25"/>
  <c r="D505" i="25"/>
  <c r="D504" i="25"/>
  <c r="D503" i="25"/>
  <c r="D502" i="25"/>
  <c r="D501" i="25"/>
  <c r="D500" i="25"/>
  <c r="D499" i="25"/>
  <c r="D498" i="25"/>
  <c r="D497" i="25"/>
  <c r="D496" i="25"/>
  <c r="D495" i="25"/>
  <c r="D494" i="25"/>
  <c r="D493" i="25"/>
  <c r="D492" i="25"/>
  <c r="D491" i="25"/>
  <c r="D490" i="25"/>
  <c r="D489" i="25"/>
  <c r="D488" i="25"/>
  <c r="D487" i="25"/>
  <c r="D486" i="25"/>
  <c r="D485" i="25"/>
  <c r="D484" i="25"/>
  <c r="D483" i="25"/>
  <c r="D482" i="25"/>
  <c r="D481" i="25"/>
  <c r="D480" i="25"/>
  <c r="D479" i="25"/>
  <c r="D478" i="25"/>
  <c r="D477" i="25"/>
  <c r="D476" i="25"/>
  <c r="D475" i="25"/>
  <c r="D474" i="25"/>
  <c r="D473" i="25"/>
  <c r="D472" i="25"/>
  <c r="D471" i="25"/>
  <c r="AD697" i="24"/>
  <c r="AC697" i="24"/>
  <c r="AB697" i="24"/>
  <c r="AA697" i="24"/>
  <c r="Z697" i="24"/>
  <c r="AD696" i="24"/>
  <c r="AC696" i="24"/>
  <c r="AB696" i="24"/>
  <c r="AA696" i="24"/>
  <c r="Z696" i="24"/>
  <c r="AD695" i="24"/>
  <c r="AC695" i="24"/>
  <c r="AB695" i="24"/>
  <c r="AA695" i="24"/>
  <c r="Z695" i="24"/>
  <c r="AD694" i="24"/>
  <c r="AC694" i="24"/>
  <c r="AB694" i="24"/>
  <c r="AA694" i="24"/>
  <c r="Z694" i="24"/>
  <c r="AD693" i="24"/>
  <c r="AC693" i="24"/>
  <c r="AB693" i="24"/>
  <c r="AA693" i="24"/>
  <c r="Z693" i="24"/>
  <c r="AD692" i="24"/>
  <c r="AC692" i="24"/>
  <c r="AB692" i="24"/>
  <c r="AA692" i="24"/>
  <c r="Z692" i="24"/>
  <c r="AD691" i="24"/>
  <c r="AC691" i="24"/>
  <c r="AB691" i="24"/>
  <c r="AA691" i="24"/>
  <c r="Z691" i="24"/>
  <c r="AD690" i="24"/>
  <c r="AC690" i="24"/>
  <c r="AB690" i="24"/>
  <c r="AA690" i="24"/>
  <c r="Z690" i="24"/>
  <c r="AD689" i="24"/>
  <c r="AC689" i="24"/>
  <c r="AB689" i="24"/>
  <c r="AA689" i="24"/>
  <c r="Z689" i="24"/>
  <c r="AD688" i="24"/>
  <c r="AC688" i="24"/>
  <c r="AB688" i="24"/>
  <c r="AA688" i="24"/>
  <c r="Z688" i="24"/>
  <c r="AD687" i="24"/>
  <c r="AC687" i="24"/>
  <c r="AB687" i="24"/>
  <c r="AA687" i="24"/>
  <c r="Z687" i="24"/>
  <c r="AD686" i="24"/>
  <c r="AC686" i="24"/>
  <c r="AB686" i="24"/>
  <c r="AA686" i="24"/>
  <c r="Z686" i="24"/>
  <c r="AD685" i="24"/>
  <c r="AC685" i="24"/>
  <c r="AB685" i="24"/>
  <c r="AA685" i="24"/>
  <c r="Z685" i="24"/>
  <c r="AD684" i="24"/>
  <c r="AC684" i="24"/>
  <c r="AB684" i="24"/>
  <c r="AA684" i="24"/>
  <c r="Z684" i="24"/>
  <c r="AD683" i="24"/>
  <c r="AC683" i="24"/>
  <c r="AB683" i="24"/>
  <c r="AA683" i="24"/>
  <c r="Z683" i="24"/>
  <c r="AD682" i="24"/>
  <c r="AC682" i="24"/>
  <c r="AB682" i="24"/>
  <c r="AA682" i="24"/>
  <c r="Z682" i="24"/>
  <c r="AD681" i="24"/>
  <c r="AC681" i="24"/>
  <c r="AB681" i="24"/>
  <c r="AA681" i="24"/>
  <c r="Z681" i="24"/>
  <c r="AD680" i="24"/>
  <c r="AC680" i="24"/>
  <c r="AB680" i="24"/>
  <c r="AA680" i="24"/>
  <c r="Z680" i="24"/>
  <c r="AD679" i="24"/>
  <c r="AC679" i="24"/>
  <c r="AB679" i="24"/>
  <c r="AA679" i="24"/>
  <c r="Z679" i="24"/>
  <c r="AD678" i="24"/>
  <c r="AC678" i="24"/>
  <c r="AB678" i="24"/>
  <c r="AA678" i="24"/>
  <c r="Z678" i="24"/>
  <c r="AD677" i="24"/>
  <c r="AC677" i="24"/>
  <c r="AB677" i="24"/>
  <c r="AA677" i="24"/>
  <c r="Z677" i="24"/>
  <c r="AD676" i="24"/>
  <c r="AC676" i="24"/>
  <c r="AB676" i="24"/>
  <c r="AA676" i="24"/>
  <c r="Z676" i="24"/>
  <c r="AD675" i="24"/>
  <c r="AC675" i="24"/>
  <c r="AB675" i="24"/>
  <c r="AA675" i="24"/>
  <c r="Z675" i="24"/>
  <c r="AD674" i="24"/>
  <c r="AC674" i="24"/>
  <c r="AB674" i="24"/>
  <c r="AA674" i="24"/>
  <c r="Z674" i="24"/>
  <c r="AD673" i="24"/>
  <c r="AC673" i="24"/>
  <c r="AB673" i="24"/>
  <c r="AA673" i="24"/>
  <c r="Z673" i="24"/>
  <c r="AD672" i="24"/>
  <c r="AC672" i="24"/>
  <c r="AB672" i="24"/>
  <c r="AA672" i="24"/>
  <c r="Z672" i="24"/>
  <c r="AD671" i="24"/>
  <c r="AC671" i="24"/>
  <c r="AB671" i="24"/>
  <c r="AA671" i="24"/>
  <c r="Z671" i="24"/>
  <c r="AD670" i="24"/>
  <c r="AC670" i="24"/>
  <c r="AB670" i="24"/>
  <c r="AA670" i="24"/>
  <c r="Z670" i="24"/>
  <c r="AD669" i="24"/>
  <c r="AC669" i="24"/>
  <c r="AB669" i="24"/>
  <c r="AA669" i="24"/>
  <c r="Z669" i="24"/>
  <c r="AD668" i="24"/>
  <c r="AC668" i="24"/>
  <c r="AB668" i="24"/>
  <c r="AA668" i="24"/>
  <c r="Z668" i="24"/>
  <c r="AD667" i="24"/>
  <c r="AC667" i="24"/>
  <c r="AB667" i="24"/>
  <c r="AA667" i="24"/>
  <c r="Z667" i="24"/>
  <c r="AD666" i="24"/>
  <c r="AC666" i="24"/>
  <c r="AB666" i="24"/>
  <c r="AA666" i="24"/>
  <c r="Z666" i="24"/>
  <c r="AD665" i="24"/>
  <c r="AC665" i="24"/>
  <c r="AB665" i="24"/>
  <c r="AA665" i="24"/>
  <c r="Z665" i="24"/>
  <c r="AD664" i="24"/>
  <c r="AC664" i="24"/>
  <c r="AB664" i="24"/>
  <c r="AA664" i="24"/>
  <c r="Z664" i="24"/>
  <c r="AD663" i="24"/>
  <c r="AC663" i="24"/>
  <c r="AB663" i="24"/>
  <c r="AA663" i="24"/>
  <c r="Z663" i="24"/>
  <c r="AD662" i="24"/>
  <c r="AC662" i="24"/>
  <c r="AB662" i="24"/>
  <c r="AA662" i="24"/>
  <c r="Z662" i="24"/>
  <c r="AD661" i="24"/>
  <c r="AC661" i="24"/>
  <c r="AB661" i="24"/>
  <c r="AA661" i="24"/>
  <c r="Z661" i="24"/>
  <c r="AD660" i="24"/>
  <c r="AC660" i="24"/>
  <c r="AB660" i="24"/>
  <c r="AA660" i="24"/>
  <c r="Z660" i="24"/>
  <c r="AD659" i="24"/>
  <c r="AC659" i="24"/>
  <c r="AB659" i="24"/>
  <c r="AA659" i="24"/>
  <c r="Z659" i="24"/>
  <c r="AD658" i="24"/>
  <c r="AC658" i="24"/>
  <c r="AB658" i="24"/>
  <c r="AA658" i="24"/>
  <c r="Z658" i="24"/>
  <c r="AD657" i="24"/>
  <c r="AC657" i="24"/>
  <c r="AB657" i="24"/>
  <c r="AA657" i="24"/>
  <c r="Z657" i="24"/>
  <c r="AD656" i="24"/>
  <c r="AC656" i="24"/>
  <c r="AB656" i="24"/>
  <c r="AA656" i="24"/>
  <c r="Z656" i="24"/>
  <c r="AD655" i="24"/>
  <c r="AC655" i="24"/>
  <c r="AB655" i="24"/>
  <c r="AA655" i="24"/>
  <c r="Z655" i="24"/>
  <c r="AD654" i="24"/>
  <c r="AC654" i="24"/>
  <c r="AB654" i="24"/>
  <c r="AA654" i="24"/>
  <c r="Z654" i="24"/>
  <c r="AD653" i="24"/>
  <c r="AC653" i="24"/>
  <c r="AB653" i="24"/>
  <c r="AA653" i="24"/>
  <c r="Z653" i="24"/>
  <c r="AD652" i="24"/>
  <c r="AC652" i="24"/>
  <c r="AB652" i="24"/>
  <c r="AA652" i="24"/>
  <c r="Z652" i="24"/>
  <c r="AD651" i="24"/>
  <c r="AC651" i="24"/>
  <c r="AB651" i="24"/>
  <c r="AA651" i="24"/>
  <c r="Z651" i="24"/>
  <c r="AD650" i="24"/>
  <c r="AC650" i="24"/>
  <c r="AB650" i="24"/>
  <c r="AA650" i="24"/>
  <c r="Z650" i="24"/>
  <c r="AD649" i="24"/>
  <c r="AC649" i="24"/>
  <c r="AB649" i="24"/>
  <c r="AA649" i="24"/>
  <c r="Z649" i="24"/>
  <c r="AD648" i="24"/>
  <c r="AC648" i="24"/>
  <c r="AB648" i="24"/>
  <c r="AA648" i="24"/>
  <c r="Z648" i="24"/>
  <c r="AD647" i="24"/>
  <c r="AC647" i="24"/>
  <c r="AB647" i="24"/>
  <c r="AA647" i="24"/>
  <c r="Z647" i="24"/>
  <c r="AD646" i="24"/>
  <c r="AC646" i="24"/>
  <c r="AB646" i="24"/>
  <c r="AA646" i="24"/>
  <c r="Z646" i="24"/>
  <c r="AD645" i="24"/>
  <c r="AC645" i="24"/>
  <c r="AB645" i="24"/>
  <c r="AA645" i="24"/>
  <c r="Z645" i="24"/>
  <c r="AD644" i="24"/>
  <c r="AC644" i="24"/>
  <c r="AB644" i="24"/>
  <c r="AA644" i="24"/>
  <c r="Z644" i="24"/>
  <c r="AD643" i="24"/>
  <c r="AC643" i="24"/>
  <c r="AB643" i="24"/>
  <c r="AA643" i="24"/>
  <c r="Z643" i="24"/>
  <c r="AD642" i="24"/>
  <c r="AC642" i="24"/>
  <c r="AB642" i="24"/>
  <c r="AA642" i="24"/>
  <c r="Z642" i="24"/>
  <c r="AD641" i="24"/>
  <c r="AC641" i="24"/>
  <c r="AB641" i="24"/>
  <c r="AA641" i="24"/>
  <c r="Z641" i="24"/>
  <c r="AD640" i="24"/>
  <c r="AC640" i="24"/>
  <c r="AB640" i="24"/>
  <c r="AA640" i="24"/>
  <c r="Z640" i="24"/>
  <c r="AD639" i="24"/>
  <c r="AC639" i="24"/>
  <c r="AB639" i="24"/>
  <c r="AA639" i="24"/>
  <c r="Z639" i="24"/>
  <c r="AD638" i="24"/>
  <c r="AC638" i="24"/>
  <c r="AB638" i="24"/>
  <c r="AA638" i="24"/>
  <c r="Z638" i="24"/>
  <c r="AD637" i="24"/>
  <c r="AC637" i="24"/>
  <c r="AB637" i="24"/>
  <c r="AA637" i="24"/>
  <c r="Z637" i="24"/>
  <c r="AD636" i="24"/>
  <c r="AC636" i="24"/>
  <c r="AB636" i="24"/>
  <c r="AA636" i="24"/>
  <c r="Z636" i="24"/>
  <c r="AD635" i="24"/>
  <c r="AC635" i="24"/>
  <c r="AB635" i="24"/>
  <c r="AA635" i="24"/>
  <c r="Z635" i="24"/>
  <c r="AD634" i="24"/>
  <c r="AC634" i="24"/>
  <c r="AB634" i="24"/>
  <c r="AA634" i="24"/>
  <c r="Z634" i="24"/>
  <c r="AD633" i="24"/>
  <c r="AC633" i="24"/>
  <c r="AB633" i="24"/>
  <c r="AA633" i="24"/>
  <c r="Z633" i="24"/>
  <c r="AD632" i="24"/>
  <c r="AC632" i="24"/>
  <c r="AB632" i="24"/>
  <c r="AA632" i="24"/>
  <c r="Z632" i="24"/>
  <c r="AD631" i="24"/>
  <c r="AC631" i="24"/>
  <c r="AB631" i="24"/>
  <c r="AA631" i="24"/>
  <c r="Z631" i="24"/>
  <c r="AD630" i="24"/>
  <c r="AC630" i="24"/>
  <c r="AB630" i="24"/>
  <c r="AA630" i="24"/>
  <c r="Z630" i="24"/>
  <c r="AD629" i="24"/>
  <c r="AC629" i="24"/>
  <c r="AB629" i="24"/>
  <c r="AA629" i="24"/>
  <c r="Z629" i="24"/>
  <c r="AD628" i="24"/>
  <c r="AC628" i="24"/>
  <c r="AB628" i="24"/>
  <c r="AA628" i="24"/>
  <c r="Z628" i="24"/>
  <c r="AD627" i="24"/>
  <c r="AC627" i="24"/>
  <c r="AB627" i="24"/>
  <c r="AA627" i="24"/>
  <c r="Z627" i="24"/>
  <c r="AD626" i="24"/>
  <c r="AC626" i="24"/>
  <c r="AB626" i="24"/>
  <c r="AA626" i="24"/>
  <c r="Z626" i="24"/>
  <c r="AD625" i="24"/>
  <c r="AC625" i="24"/>
  <c r="AB625" i="24"/>
  <c r="AA625" i="24"/>
  <c r="Z625" i="24"/>
  <c r="AD624" i="24"/>
  <c r="AC624" i="24"/>
  <c r="AB624" i="24"/>
  <c r="AA624" i="24"/>
  <c r="Z624" i="24"/>
  <c r="AD623" i="24"/>
  <c r="AC623" i="24"/>
  <c r="AB623" i="24"/>
  <c r="AA623" i="24"/>
  <c r="Z623" i="24"/>
  <c r="AD622" i="24"/>
  <c r="AC622" i="24"/>
  <c r="AB622" i="24"/>
  <c r="AA622" i="24"/>
  <c r="Z622" i="24"/>
  <c r="AD621" i="24"/>
  <c r="AC621" i="24"/>
  <c r="AB621" i="24"/>
  <c r="AA621" i="24"/>
  <c r="Z621" i="24"/>
  <c r="AD620" i="24"/>
  <c r="AC620" i="24"/>
  <c r="AB620" i="24"/>
  <c r="AA620" i="24"/>
  <c r="Z620" i="24"/>
  <c r="AD619" i="24"/>
  <c r="AC619" i="24"/>
  <c r="AB619" i="24"/>
  <c r="AA619" i="24"/>
  <c r="Z619" i="24"/>
  <c r="AD618" i="24"/>
  <c r="AC618" i="24"/>
  <c r="AB618" i="24"/>
  <c r="AA618" i="24"/>
  <c r="Z618" i="24"/>
  <c r="AD617" i="24"/>
  <c r="AC617" i="24"/>
  <c r="AB617" i="24"/>
  <c r="AA617" i="24"/>
  <c r="Z617" i="24"/>
  <c r="AD616" i="24"/>
  <c r="AC616" i="24"/>
  <c r="AB616" i="24"/>
  <c r="AA616" i="24"/>
  <c r="Z616" i="24"/>
  <c r="AD615" i="24"/>
  <c r="AC615" i="24"/>
  <c r="AB615" i="24"/>
  <c r="AA615" i="24"/>
  <c r="Z615" i="24"/>
  <c r="AD614" i="24"/>
  <c r="AC614" i="24"/>
  <c r="AB614" i="24"/>
  <c r="AA614" i="24"/>
  <c r="Z614" i="24"/>
  <c r="AD613" i="24"/>
  <c r="AC613" i="24"/>
  <c r="AB613" i="24"/>
  <c r="AA613" i="24"/>
  <c r="Z613" i="24"/>
  <c r="AD612" i="24"/>
  <c r="AC612" i="24"/>
  <c r="AB612" i="24"/>
  <c r="AA612" i="24"/>
  <c r="Z612" i="24"/>
  <c r="AD611" i="24"/>
  <c r="AC611" i="24"/>
  <c r="AB611" i="24"/>
  <c r="AA611" i="24"/>
  <c r="Z611" i="24"/>
  <c r="AD610" i="24"/>
  <c r="AC610" i="24"/>
  <c r="AB610" i="24"/>
  <c r="AA610" i="24"/>
  <c r="Z610" i="24"/>
  <c r="AD609" i="24"/>
  <c r="AC609" i="24"/>
  <c r="AB609" i="24"/>
  <c r="AA609" i="24"/>
  <c r="Z609" i="24"/>
  <c r="AD608" i="24"/>
  <c r="AC608" i="24"/>
  <c r="AB608" i="24"/>
  <c r="AA608" i="24"/>
  <c r="Z608" i="24"/>
  <c r="AD607" i="24"/>
  <c r="AC607" i="24"/>
  <c r="AB607" i="24"/>
  <c r="AA607" i="24"/>
  <c r="Z607" i="24"/>
  <c r="AD606" i="24"/>
  <c r="AC606" i="24"/>
  <c r="AB606" i="24"/>
  <c r="AA606" i="24"/>
  <c r="Z606" i="24"/>
  <c r="AD605" i="24"/>
  <c r="AC605" i="24"/>
  <c r="AB605" i="24"/>
  <c r="AA605" i="24"/>
  <c r="Z605" i="24"/>
  <c r="AD604" i="24"/>
  <c r="AC604" i="24"/>
  <c r="AB604" i="24"/>
  <c r="AA604" i="24"/>
  <c r="Z604" i="24"/>
  <c r="AD603" i="24"/>
  <c r="AC603" i="24"/>
  <c r="AB603" i="24"/>
  <c r="AA603" i="24"/>
  <c r="Z603" i="24"/>
  <c r="AD602" i="24"/>
  <c r="AC602" i="24"/>
  <c r="AB602" i="24"/>
  <c r="AA602" i="24"/>
  <c r="Z602" i="24"/>
  <c r="AD601" i="24"/>
  <c r="AC601" i="24"/>
  <c r="AB601" i="24"/>
  <c r="AA601" i="24"/>
  <c r="Z601" i="24"/>
  <c r="AD600" i="24"/>
  <c r="AC600" i="24"/>
  <c r="AB600" i="24"/>
  <c r="AA600" i="24"/>
  <c r="Z600" i="24"/>
  <c r="AD599" i="24"/>
  <c r="AC599" i="24"/>
  <c r="AB599" i="24"/>
  <c r="AA599" i="24"/>
  <c r="Z599" i="24"/>
  <c r="AD598" i="24"/>
  <c r="AC598" i="24"/>
  <c r="AB598" i="24"/>
  <c r="AA598" i="24"/>
  <c r="Z598" i="24"/>
  <c r="AD597" i="24"/>
  <c r="AC597" i="24"/>
  <c r="AB597" i="24"/>
  <c r="AA597" i="24"/>
  <c r="Z597" i="24"/>
  <c r="AD596" i="24"/>
  <c r="AC596" i="24"/>
  <c r="AB596" i="24"/>
  <c r="AA596" i="24"/>
  <c r="Z596" i="24"/>
  <c r="AD595" i="24"/>
  <c r="AC595" i="24"/>
  <c r="AB595" i="24"/>
  <c r="AA595" i="24"/>
  <c r="Z595" i="24"/>
  <c r="AD594" i="24"/>
  <c r="AC594" i="24"/>
  <c r="AB594" i="24"/>
  <c r="AA594" i="24"/>
  <c r="Z594" i="24"/>
  <c r="AD593" i="24"/>
  <c r="AC593" i="24"/>
  <c r="AB593" i="24"/>
  <c r="AA593" i="24"/>
  <c r="Z593" i="24"/>
  <c r="AD592" i="24"/>
  <c r="AC592" i="24"/>
  <c r="AB592" i="24"/>
  <c r="AA592" i="24"/>
  <c r="Z592" i="24"/>
  <c r="AD591" i="24"/>
  <c r="AC591" i="24"/>
  <c r="AB591" i="24"/>
  <c r="AA591" i="24"/>
  <c r="Z591" i="24"/>
  <c r="AD590" i="24"/>
  <c r="AC590" i="24"/>
  <c r="AB590" i="24"/>
  <c r="AA590" i="24"/>
  <c r="Z590" i="24"/>
  <c r="AD589" i="24"/>
  <c r="AC589" i="24"/>
  <c r="AB589" i="24"/>
  <c r="AA589" i="24"/>
  <c r="Z589" i="24"/>
  <c r="AD588" i="24"/>
  <c r="AC588" i="24"/>
  <c r="AB588" i="24"/>
  <c r="AA588" i="24"/>
  <c r="Z588" i="24"/>
  <c r="AD587" i="24"/>
  <c r="AC587" i="24"/>
  <c r="AB587" i="24"/>
  <c r="AA587" i="24"/>
  <c r="Z587" i="24"/>
  <c r="AD586" i="24"/>
  <c r="AC586" i="24"/>
  <c r="AB586" i="24"/>
  <c r="AA586" i="24"/>
  <c r="Z586" i="24"/>
  <c r="AD585" i="24"/>
  <c r="AC585" i="24"/>
  <c r="AB585" i="24"/>
  <c r="AA585" i="24"/>
  <c r="Z585" i="24"/>
  <c r="AD584" i="24"/>
  <c r="AC584" i="24"/>
  <c r="AB584" i="24"/>
  <c r="AA584" i="24"/>
  <c r="Z584" i="24"/>
  <c r="AD583" i="24"/>
  <c r="AC583" i="24"/>
  <c r="AB583" i="24"/>
  <c r="AA583" i="24"/>
  <c r="Z583" i="24"/>
  <c r="AD582" i="24"/>
  <c r="AC582" i="24"/>
  <c r="AB582" i="24"/>
  <c r="AA582" i="24"/>
  <c r="Z582" i="24"/>
  <c r="AD581" i="24"/>
  <c r="AC581" i="24"/>
  <c r="AB581" i="24"/>
  <c r="AA581" i="24"/>
  <c r="Z581" i="24"/>
  <c r="AD580" i="24"/>
  <c r="AC580" i="24"/>
  <c r="AB580" i="24"/>
  <c r="AA580" i="24"/>
  <c r="Z580" i="24"/>
  <c r="AD579" i="24"/>
  <c r="AC579" i="24"/>
  <c r="AB579" i="24"/>
  <c r="AA579" i="24"/>
  <c r="Z579" i="24"/>
  <c r="AD578" i="24"/>
  <c r="AC578" i="24"/>
  <c r="AB578" i="24"/>
  <c r="AA578" i="24"/>
  <c r="Z578" i="24"/>
  <c r="AD577" i="24"/>
  <c r="AC577" i="24"/>
  <c r="AB577" i="24"/>
  <c r="AA577" i="24"/>
  <c r="Z577" i="24"/>
  <c r="AD576" i="24"/>
  <c r="AC576" i="24"/>
  <c r="AB576" i="24"/>
  <c r="AA576" i="24"/>
  <c r="Z576" i="24"/>
  <c r="AD575" i="24"/>
  <c r="AC575" i="24"/>
  <c r="AB575" i="24"/>
  <c r="AA575" i="24"/>
  <c r="Z575" i="24"/>
  <c r="AD574" i="24"/>
  <c r="AC574" i="24"/>
  <c r="AB574" i="24"/>
  <c r="AA574" i="24"/>
  <c r="Z574" i="24"/>
  <c r="AD573" i="24"/>
  <c r="AC573" i="24"/>
  <c r="AB573" i="24"/>
  <c r="AA573" i="24"/>
  <c r="Z573" i="24"/>
  <c r="AD572" i="24"/>
  <c r="AC572" i="24"/>
  <c r="AB572" i="24"/>
  <c r="AA572" i="24"/>
  <c r="Z572" i="24"/>
  <c r="AD571" i="24"/>
  <c r="AC571" i="24"/>
  <c r="AB571" i="24"/>
  <c r="AA571" i="24"/>
  <c r="Z571" i="24"/>
  <c r="AD570" i="24"/>
  <c r="AC570" i="24"/>
  <c r="AB570" i="24"/>
  <c r="AA570" i="24"/>
  <c r="Z570" i="24"/>
  <c r="AD569" i="24"/>
  <c r="AC569" i="24"/>
  <c r="AB569" i="24"/>
  <c r="AA569" i="24"/>
  <c r="Z569" i="24"/>
  <c r="AD568" i="24"/>
  <c r="AC568" i="24"/>
  <c r="AB568" i="24"/>
  <c r="AA568" i="24"/>
  <c r="Z568" i="24"/>
  <c r="AD567" i="24"/>
  <c r="AC567" i="24"/>
  <c r="AB567" i="24"/>
  <c r="AA567" i="24"/>
  <c r="Z567" i="24"/>
  <c r="AD566" i="24"/>
  <c r="AC566" i="24"/>
  <c r="AB566" i="24"/>
  <c r="AA566" i="24"/>
  <c r="Z566" i="24"/>
  <c r="AD565" i="24"/>
  <c r="AC565" i="24"/>
  <c r="AB565" i="24"/>
  <c r="AA565" i="24"/>
  <c r="Z565" i="24"/>
  <c r="AD564" i="24"/>
  <c r="AC564" i="24"/>
  <c r="AB564" i="24"/>
  <c r="AA564" i="24"/>
  <c r="Z564" i="24"/>
  <c r="AD563" i="24"/>
  <c r="AC563" i="24"/>
  <c r="AB563" i="24"/>
  <c r="AA563" i="24"/>
  <c r="Z563" i="24"/>
  <c r="AD562" i="24"/>
  <c r="AC562" i="24"/>
  <c r="AB562" i="24"/>
  <c r="AA562" i="24"/>
  <c r="Z562" i="24"/>
  <c r="AD561" i="24"/>
  <c r="AC561" i="24"/>
  <c r="AB561" i="24"/>
  <c r="AA561" i="24"/>
  <c r="Z561" i="24"/>
  <c r="AD560" i="24"/>
  <c r="AC560" i="24"/>
  <c r="AB560" i="24"/>
  <c r="AA560" i="24"/>
  <c r="Z560" i="24"/>
  <c r="AD559" i="24"/>
  <c r="AC559" i="24"/>
  <c r="AB559" i="24"/>
  <c r="AA559" i="24"/>
  <c r="Z559" i="24"/>
  <c r="AD558" i="24"/>
  <c r="AC558" i="24"/>
  <c r="AB558" i="24"/>
  <c r="AA558" i="24"/>
  <c r="Z558" i="24"/>
  <c r="AD557" i="24"/>
  <c r="AC557" i="24"/>
  <c r="AB557" i="24"/>
  <c r="AA557" i="24"/>
  <c r="Z557" i="24"/>
  <c r="AD556" i="24"/>
  <c r="AC556" i="24"/>
  <c r="AB556" i="24"/>
  <c r="AA556" i="24"/>
  <c r="Z556" i="24"/>
  <c r="AD555" i="24"/>
  <c r="AC555" i="24"/>
  <c r="AB555" i="24"/>
  <c r="AA555" i="24"/>
  <c r="Z555" i="24"/>
  <c r="AD554" i="24"/>
  <c r="AC554" i="24"/>
  <c r="AB554" i="24"/>
  <c r="AA554" i="24"/>
  <c r="Z554" i="24"/>
  <c r="AD553" i="24"/>
  <c r="AC553" i="24"/>
  <c r="AB553" i="24"/>
  <c r="AA553" i="24"/>
  <c r="Z553" i="24"/>
  <c r="AD552" i="24"/>
  <c r="AC552" i="24"/>
  <c r="AB552" i="24"/>
  <c r="AA552" i="24"/>
  <c r="Z552" i="24"/>
  <c r="AD551" i="24"/>
  <c r="AC551" i="24"/>
  <c r="AB551" i="24"/>
  <c r="AA551" i="24"/>
  <c r="Z551" i="24"/>
  <c r="AD550" i="24"/>
  <c r="AC550" i="24"/>
  <c r="AB550" i="24"/>
  <c r="AA550" i="24"/>
  <c r="Z550" i="24"/>
  <c r="AD549" i="24"/>
  <c r="AC549" i="24"/>
  <c r="AB549" i="24"/>
  <c r="AA549" i="24"/>
  <c r="Z549" i="24"/>
  <c r="AD548" i="24"/>
  <c r="AC548" i="24"/>
  <c r="AB548" i="24"/>
  <c r="AA548" i="24"/>
  <c r="Z548" i="24"/>
  <c r="AD547" i="24"/>
  <c r="AC547" i="24"/>
  <c r="AB547" i="24"/>
  <c r="AA547" i="24"/>
  <c r="Z547" i="24"/>
  <c r="AD546" i="24"/>
  <c r="AC546" i="24"/>
  <c r="AB546" i="24"/>
  <c r="AA546" i="24"/>
  <c r="Z546" i="24"/>
  <c r="AD545" i="24"/>
  <c r="AC545" i="24"/>
  <c r="AB545" i="24"/>
  <c r="AA545" i="24"/>
  <c r="Z545" i="24"/>
  <c r="AD544" i="24"/>
  <c r="AC544" i="24"/>
  <c r="AB544" i="24"/>
  <c r="AA544" i="24"/>
  <c r="Z544" i="24"/>
  <c r="AD543" i="24"/>
  <c r="AC543" i="24"/>
  <c r="AB543" i="24"/>
  <c r="AA543" i="24"/>
  <c r="Z543" i="24"/>
  <c r="AD542" i="24"/>
  <c r="AC542" i="24"/>
  <c r="AB542" i="24"/>
  <c r="AA542" i="24"/>
  <c r="Z542" i="24"/>
  <c r="AD541" i="24"/>
  <c r="AC541" i="24"/>
  <c r="AB541" i="24"/>
  <c r="AA541" i="24"/>
  <c r="Z541" i="24"/>
  <c r="AD540" i="24"/>
  <c r="AC540" i="24"/>
  <c r="AB540" i="24"/>
  <c r="AA540" i="24"/>
  <c r="Z540" i="24"/>
  <c r="AD539" i="24"/>
  <c r="AC539" i="24"/>
  <c r="AB539" i="24"/>
  <c r="AA539" i="24"/>
  <c r="Z539" i="24"/>
  <c r="AD538" i="24"/>
  <c r="AC538" i="24"/>
  <c r="AB538" i="24"/>
  <c r="AA538" i="24"/>
  <c r="Z538" i="24"/>
  <c r="AD537" i="24"/>
  <c r="AC537" i="24"/>
  <c r="AB537" i="24"/>
  <c r="AA537" i="24"/>
  <c r="Z537" i="24"/>
  <c r="AD536" i="24"/>
  <c r="AC536" i="24"/>
  <c r="AB536" i="24"/>
  <c r="AA536" i="24"/>
  <c r="Z536" i="24"/>
  <c r="D631" i="25" l="1"/>
  <c r="C5" i="26"/>
  <c r="J469" i="25"/>
  <c r="K469" i="25" s="1"/>
  <c r="J468" i="25"/>
  <c r="K468" i="25" s="1"/>
  <c r="J467" i="25"/>
  <c r="K467" i="25" s="1"/>
  <c r="J466" i="25"/>
  <c r="K466" i="25" s="1"/>
  <c r="J465" i="25"/>
  <c r="K465" i="25" s="1"/>
  <c r="J464" i="25"/>
  <c r="K464" i="25" s="1"/>
  <c r="J463" i="25"/>
  <c r="K463" i="25" s="1"/>
  <c r="J462" i="25"/>
  <c r="K462" i="25" s="1"/>
  <c r="J461" i="25"/>
  <c r="K461" i="25" s="1"/>
  <c r="J460" i="25"/>
  <c r="K460" i="25" s="1"/>
  <c r="J459" i="25"/>
  <c r="K459" i="25" s="1"/>
  <c r="J458" i="25"/>
  <c r="K458" i="25" s="1"/>
  <c r="J457" i="25"/>
  <c r="K457" i="25" s="1"/>
  <c r="J456" i="25"/>
  <c r="K456" i="25" s="1"/>
  <c r="J455" i="25"/>
  <c r="K455" i="25" s="1"/>
  <c r="J454" i="25"/>
  <c r="K454" i="25" s="1"/>
  <c r="J453" i="25"/>
  <c r="K453" i="25" s="1"/>
  <c r="J452" i="25"/>
  <c r="K452" i="25" s="1"/>
  <c r="J451" i="25"/>
  <c r="K451" i="25" s="1"/>
  <c r="J450" i="25"/>
  <c r="K450" i="25" s="1"/>
  <c r="J449" i="25"/>
  <c r="K449" i="25" s="1"/>
  <c r="J448" i="25"/>
  <c r="K448" i="25" s="1"/>
  <c r="J447" i="25"/>
  <c r="K447" i="25" s="1"/>
  <c r="J446" i="25"/>
  <c r="K446" i="25" s="1"/>
  <c r="J445" i="25"/>
  <c r="K445" i="25" s="1"/>
  <c r="J444" i="25"/>
  <c r="K444" i="25" s="1"/>
  <c r="J443" i="25"/>
  <c r="K443" i="25" s="1"/>
  <c r="J442" i="25"/>
  <c r="K442" i="25" s="1"/>
  <c r="J441" i="25"/>
  <c r="K441" i="25" s="1"/>
  <c r="I440" i="25"/>
  <c r="K440" i="25" s="1"/>
  <c r="I439" i="25"/>
  <c r="K439" i="25" s="1"/>
  <c r="I438" i="25"/>
  <c r="K438" i="25" s="1"/>
  <c r="H437" i="25"/>
  <c r="K437" i="25" s="1"/>
  <c r="H436" i="25"/>
  <c r="K436" i="25" s="1"/>
  <c r="H435" i="25"/>
  <c r="K435" i="25" s="1"/>
  <c r="H434" i="25"/>
  <c r="K434" i="25" s="1"/>
  <c r="H433" i="25"/>
  <c r="K433" i="25" s="1"/>
  <c r="G432" i="25"/>
  <c r="K432" i="25" s="1"/>
  <c r="G431" i="25"/>
  <c r="K431" i="25" s="1"/>
  <c r="G430" i="25"/>
  <c r="K430" i="25" s="1"/>
  <c r="G429" i="25"/>
  <c r="K429" i="25" s="1"/>
  <c r="G428" i="25"/>
  <c r="K428" i="25" s="1"/>
  <c r="F427" i="25"/>
  <c r="K427" i="25" s="1"/>
  <c r="F426" i="25"/>
  <c r="K426" i="25" s="1"/>
  <c r="F425" i="25"/>
  <c r="K425" i="25" s="1"/>
  <c r="J424" i="25" l="1"/>
  <c r="K424" i="25" s="1"/>
  <c r="J423" i="25"/>
  <c r="K423" i="25" s="1"/>
  <c r="J422" i="25"/>
  <c r="K422" i="25" s="1"/>
  <c r="J421" i="25"/>
  <c r="K421" i="25" s="1"/>
  <c r="J420" i="25"/>
  <c r="K420" i="25" s="1"/>
  <c r="J419" i="25"/>
  <c r="K419" i="25" s="1"/>
  <c r="J418" i="25"/>
  <c r="K418" i="25" s="1"/>
  <c r="J417" i="25"/>
  <c r="K417" i="25" s="1"/>
  <c r="J416" i="25"/>
  <c r="K416" i="25" s="1"/>
  <c r="J415" i="25"/>
  <c r="K415" i="25" s="1"/>
  <c r="J414" i="25"/>
  <c r="K414" i="25" s="1"/>
  <c r="J413" i="25"/>
  <c r="K413" i="25" s="1"/>
  <c r="J412" i="25"/>
  <c r="K412" i="25" s="1"/>
  <c r="J411" i="25"/>
  <c r="K411" i="25" s="1"/>
  <c r="J410" i="25"/>
  <c r="K410" i="25" s="1"/>
  <c r="J409" i="25"/>
  <c r="K409" i="25" s="1"/>
  <c r="J408" i="25"/>
  <c r="K408" i="25" s="1"/>
  <c r="J407" i="25"/>
  <c r="K407" i="25" s="1"/>
  <c r="J406" i="25"/>
  <c r="K406" i="25" s="1"/>
  <c r="J405" i="25"/>
  <c r="K405" i="25" s="1"/>
  <c r="J404" i="25"/>
  <c r="K404" i="25" s="1"/>
  <c r="J403" i="25"/>
  <c r="K403" i="25" s="1"/>
  <c r="J402" i="25"/>
  <c r="K402" i="25" s="1"/>
  <c r="J401" i="25"/>
  <c r="K401" i="25" s="1"/>
  <c r="J400" i="25"/>
  <c r="K400" i="25" s="1"/>
  <c r="J398" i="25"/>
  <c r="K398" i="25" s="1"/>
  <c r="J397" i="25"/>
  <c r="K397" i="25" s="1"/>
  <c r="J399" i="25"/>
  <c r="K399" i="25" s="1"/>
  <c r="I396" i="25"/>
  <c r="K396" i="25" s="1"/>
  <c r="I395" i="25"/>
  <c r="K395" i="25" s="1"/>
  <c r="I394" i="25"/>
  <c r="K394" i="25" s="1"/>
  <c r="I393" i="25"/>
  <c r="K393" i="25" s="1"/>
  <c r="I392" i="25"/>
  <c r="K392" i="25" s="1"/>
  <c r="I391" i="25"/>
  <c r="K391" i="25" s="1"/>
  <c r="I390" i="25"/>
  <c r="K390" i="25" s="1"/>
  <c r="I389" i="25"/>
  <c r="K389" i="25" s="1"/>
  <c r="I388" i="25"/>
  <c r="K388" i="25" s="1"/>
  <c r="I387" i="25"/>
  <c r="K387" i="25" s="1"/>
  <c r="I386" i="25"/>
  <c r="K386" i="25" s="1"/>
  <c r="I385" i="25"/>
  <c r="K385" i="25" s="1"/>
  <c r="I384" i="25"/>
  <c r="K384" i="25" s="1"/>
  <c r="I383" i="25"/>
  <c r="K383" i="25" s="1"/>
  <c r="I382" i="25"/>
  <c r="K382" i="25" s="1"/>
  <c r="I381" i="25"/>
  <c r="K381" i="25" s="1"/>
  <c r="I380" i="25"/>
  <c r="K380" i="25" s="1"/>
  <c r="I379" i="25"/>
  <c r="K379" i="25" s="1"/>
  <c r="I378" i="25"/>
  <c r="K378" i="25" s="1"/>
  <c r="I377" i="25"/>
  <c r="K377" i="25" s="1"/>
  <c r="I376" i="25"/>
  <c r="K376" i="25" s="1"/>
  <c r="I375" i="25"/>
  <c r="K375" i="25" s="1"/>
  <c r="I374" i="25"/>
  <c r="K374" i="25" s="1"/>
  <c r="I373" i="25"/>
  <c r="K373" i="25" s="1"/>
  <c r="I372" i="25"/>
  <c r="K372" i="25" s="1"/>
  <c r="I371" i="25"/>
  <c r="K371" i="25" s="1"/>
  <c r="I370" i="25"/>
  <c r="K370" i="25" s="1"/>
  <c r="I369" i="25"/>
  <c r="K369" i="25" s="1"/>
  <c r="I368" i="25"/>
  <c r="K368" i="25" s="1"/>
  <c r="I367" i="25"/>
  <c r="K367" i="25" s="1"/>
  <c r="I366" i="25"/>
  <c r="K366" i="25" s="1"/>
  <c r="H365" i="25"/>
  <c r="K365" i="25" s="1"/>
  <c r="H364" i="25"/>
  <c r="K364" i="25" s="1"/>
  <c r="H363" i="25"/>
  <c r="K363" i="25" s="1"/>
  <c r="H362" i="25"/>
  <c r="K362" i="25" s="1"/>
  <c r="H361" i="25"/>
  <c r="K361" i="25" s="1"/>
  <c r="H360" i="25"/>
  <c r="K360" i="25" s="1"/>
  <c r="H359" i="25"/>
  <c r="K359" i="25" s="1"/>
  <c r="H358" i="25"/>
  <c r="K358" i="25" s="1"/>
  <c r="H357" i="25"/>
  <c r="K357" i="25" s="1"/>
  <c r="H356" i="25"/>
  <c r="K356" i="25" s="1"/>
  <c r="H355" i="25"/>
  <c r="K355" i="25" s="1"/>
  <c r="H354" i="25"/>
  <c r="K354" i="25" s="1"/>
  <c r="H353" i="25"/>
  <c r="K353" i="25" s="1"/>
  <c r="H352" i="25"/>
  <c r="K352" i="25" s="1"/>
  <c r="H351" i="25"/>
  <c r="K351" i="25" s="1"/>
  <c r="H350" i="25"/>
  <c r="K350" i="25" s="1"/>
  <c r="H349" i="25"/>
  <c r="K349" i="25" s="1"/>
  <c r="H348" i="25"/>
  <c r="K348" i="25" s="1"/>
  <c r="H347" i="25"/>
  <c r="K347" i="25" s="1"/>
  <c r="H346" i="25"/>
  <c r="K346" i="25" s="1"/>
  <c r="H345" i="25"/>
  <c r="K345" i="25" s="1"/>
  <c r="H344" i="25"/>
  <c r="K344" i="25" s="1"/>
  <c r="H343" i="25"/>
  <c r="K343" i="25" s="1"/>
  <c r="H342" i="25"/>
  <c r="K342" i="25" s="1"/>
  <c r="H341" i="25"/>
  <c r="K341" i="25" s="1"/>
  <c r="H340" i="25"/>
  <c r="K340" i="25" s="1"/>
  <c r="H339" i="25"/>
  <c r="K339" i="25" s="1"/>
  <c r="D338" i="25"/>
  <c r="H338" i="25" s="1"/>
  <c r="K338" i="25" s="1"/>
  <c r="D337" i="25"/>
  <c r="H337" i="25" s="1"/>
  <c r="K337" i="25" s="1"/>
  <c r="H336" i="25"/>
  <c r="K336" i="25" s="1"/>
  <c r="H335" i="25"/>
  <c r="K335" i="25" s="1"/>
  <c r="H334" i="25"/>
  <c r="K334" i="25" s="1"/>
  <c r="H333" i="25"/>
  <c r="K333" i="25" s="1"/>
  <c r="H332" i="25"/>
  <c r="K332" i="25" s="1"/>
  <c r="H331" i="25"/>
  <c r="K331" i="25" s="1"/>
  <c r="G330" i="25"/>
  <c r="K330" i="25" s="1"/>
  <c r="G329" i="25"/>
  <c r="K329" i="25" s="1"/>
  <c r="G328" i="25"/>
  <c r="K328" i="25" s="1"/>
  <c r="G327" i="25"/>
  <c r="K327" i="25" s="1"/>
  <c r="G326" i="25"/>
  <c r="K326" i="25" s="1"/>
  <c r="G325" i="25"/>
  <c r="K325" i="25" s="1"/>
  <c r="G324" i="25"/>
  <c r="K324" i="25" s="1"/>
  <c r="G323" i="25"/>
  <c r="K323" i="25" s="1"/>
  <c r="G322" i="25"/>
  <c r="K322" i="25" s="1"/>
  <c r="G321" i="25"/>
  <c r="K321" i="25" s="1"/>
  <c r="G320" i="25"/>
  <c r="K320" i="25" s="1"/>
  <c r="G319" i="25"/>
  <c r="K319" i="25" s="1"/>
  <c r="G295" i="25"/>
  <c r="D291" i="25"/>
  <c r="G291" i="25" s="1"/>
  <c r="J291" i="25" s="1"/>
  <c r="J284" i="25"/>
  <c r="D283" i="25"/>
  <c r="G263" i="25"/>
  <c r="F263" i="25"/>
  <c r="G243" i="25"/>
  <c r="F243" i="25"/>
  <c r="C4" i="26"/>
  <c r="C9" i="26"/>
  <c r="C6" i="26"/>
  <c r="C12" i="26" l="1"/>
  <c r="S19" i="15"/>
  <c r="S18" i="15"/>
  <c r="S17" i="15"/>
  <c r="D16" i="15"/>
  <c r="S16" i="15" s="1"/>
  <c r="P15" i="15"/>
  <c r="M15" i="15"/>
  <c r="J15" i="15"/>
  <c r="G15" i="15"/>
  <c r="D15" i="15"/>
  <c r="S15" i="15" s="1"/>
  <c r="S20" i="15" s="1"/>
  <c r="S24" i="2"/>
  <c r="S23" i="2"/>
  <c r="S22" i="2"/>
  <c r="S21" i="2"/>
  <c r="S20" i="2"/>
  <c r="S25" i="2" l="1"/>
  <c r="B10" i="22" l="1"/>
  <c r="B9" i="22"/>
  <c r="B8" i="22"/>
  <c r="B7" i="22"/>
  <c r="B6" i="22"/>
  <c r="AK11" i="22"/>
  <c r="AJ11" i="22"/>
  <c r="AI11" i="22"/>
  <c r="AH11" i="22"/>
  <c r="AG11" i="22"/>
  <c r="AF11" i="22"/>
  <c r="AE11" i="22"/>
  <c r="V11" i="22" l="1"/>
  <c r="W11" i="22"/>
  <c r="AY11" i="22"/>
  <c r="AX11" i="22"/>
  <c r="AW11" i="22"/>
  <c r="AV11" i="22"/>
  <c r="AU11" i="22"/>
  <c r="AT11" i="22"/>
  <c r="AS11" i="22"/>
  <c r="AD11" i="22"/>
  <c r="AC11" i="22"/>
  <c r="AB11" i="22"/>
  <c r="AA11" i="22"/>
  <c r="Z11" i="22"/>
  <c r="Y11" i="22"/>
  <c r="X11" i="22"/>
  <c r="B10" i="21"/>
  <c r="B9" i="21"/>
  <c r="B8" i="21"/>
  <c r="B7" i="21"/>
  <c r="B6" i="21"/>
  <c r="AQ11" i="21"/>
  <c r="AY11" i="21"/>
  <c r="AX11" i="21"/>
  <c r="AW11" i="21"/>
  <c r="AV11" i="21"/>
  <c r="AU11" i="21"/>
  <c r="AT11" i="21"/>
  <c r="AS11" i="21"/>
  <c r="AD11" i="21"/>
  <c r="AC11" i="21"/>
  <c r="AB11" i="21"/>
  <c r="AA11" i="21"/>
  <c r="Z11" i="21"/>
  <c r="Y11" i="21"/>
  <c r="X11" i="21"/>
  <c r="B10" i="20"/>
  <c r="B9" i="20"/>
  <c r="B8" i="20"/>
  <c r="B7" i="20"/>
  <c r="B6" i="20"/>
  <c r="Q11" i="20" l="1"/>
  <c r="Q12" i="20" s="1"/>
  <c r="R11" i="20"/>
  <c r="S11" i="20"/>
  <c r="S12" i="20" s="1"/>
  <c r="T11" i="20"/>
  <c r="T12" i="20" s="1"/>
  <c r="U11" i="20"/>
  <c r="U12" i="20" s="1"/>
  <c r="V11" i="20"/>
  <c r="W11" i="20"/>
  <c r="W12" i="20" s="1"/>
  <c r="R12" i="20"/>
  <c r="V12" i="20"/>
  <c r="AX11" i="20"/>
  <c r="AW11" i="20"/>
  <c r="AV11" i="20"/>
  <c r="AU11" i="20"/>
  <c r="AT11" i="20"/>
  <c r="AS11" i="20"/>
  <c r="B9" i="8"/>
  <c r="B8" i="8"/>
  <c r="B7" i="8"/>
  <c r="B6" i="8"/>
  <c r="BA10" i="8"/>
  <c r="BB10" i="8"/>
  <c r="BD10" i="8"/>
  <c r="BF10" i="8" s="1"/>
  <c r="BE10" i="8"/>
  <c r="BF5" i="8"/>
  <c r="B5" i="8" s="1"/>
  <c r="AY10" i="8"/>
  <c r="AX10" i="8"/>
  <c r="AW10" i="8"/>
  <c r="AV10" i="8"/>
  <c r="AU10" i="8"/>
  <c r="AT10" i="8"/>
  <c r="AD10" i="8"/>
  <c r="AC10" i="8"/>
  <c r="AB10" i="8"/>
  <c r="AA10" i="8"/>
  <c r="Z10" i="8"/>
  <c r="Y10" i="8"/>
  <c r="X10" i="8"/>
  <c r="Q10" i="8"/>
  <c r="R10" i="8"/>
  <c r="T10" i="8"/>
  <c r="U10" i="8"/>
  <c r="V10" i="8"/>
  <c r="W10" i="8"/>
  <c r="Q11" i="18"/>
  <c r="Q12" i="18" s="1"/>
  <c r="R11" i="18"/>
  <c r="S11" i="18"/>
  <c r="T11" i="18"/>
  <c r="U11" i="18"/>
  <c r="V11" i="18"/>
  <c r="W11" i="18"/>
  <c r="AX11" i="18"/>
  <c r="AW11" i="18"/>
  <c r="AD11" i="18"/>
  <c r="AC11" i="18"/>
  <c r="AB11" i="18"/>
  <c r="AA11" i="18"/>
  <c r="Z11" i="18"/>
  <c r="Y11" i="18"/>
  <c r="X11" i="18"/>
  <c r="B8" i="17"/>
  <c r="B6" i="17"/>
  <c r="R14" i="17" l="1"/>
  <c r="R15" i="17" s="1"/>
  <c r="B10" i="18" l="1"/>
  <c r="B9" i="18"/>
  <c r="B8" i="18"/>
  <c r="B7" i="18"/>
  <c r="B6" i="18"/>
  <c r="B11" i="18" l="1"/>
  <c r="AK6" i="16" l="1"/>
  <c r="AK7" i="16"/>
  <c r="AK8" i="16"/>
  <c r="AK9" i="16"/>
  <c r="AK10" i="16"/>
  <c r="B10" i="16"/>
  <c r="B9" i="16"/>
  <c r="B8" i="16"/>
  <c r="B7" i="16"/>
  <c r="B6" i="16"/>
  <c r="AI11" i="16"/>
  <c r="AH11" i="16"/>
  <c r="Y11" i="16" l="1"/>
  <c r="S11" i="16" l="1"/>
  <c r="R11" i="16"/>
  <c r="Q11" i="16"/>
  <c r="P11" i="16"/>
  <c r="O11" i="16" l="1"/>
  <c r="M11" i="16"/>
  <c r="N15" i="2" l="1"/>
  <c r="O15" i="2"/>
  <c r="P15" i="2"/>
  <c r="R15" i="2"/>
  <c r="AK5" i="15" l="1"/>
  <c r="AK6" i="15"/>
  <c r="AK7" i="15"/>
  <c r="AK8" i="15"/>
  <c r="AK9" i="15"/>
  <c r="B9" i="15"/>
  <c r="B8" i="15"/>
  <c r="B7" i="15"/>
  <c r="B6" i="15"/>
  <c r="B5" i="15"/>
  <c r="L10" i="15"/>
  <c r="M10" i="15"/>
  <c r="N10" i="15"/>
  <c r="O10" i="15"/>
  <c r="AI10" i="15"/>
  <c r="AH10" i="15"/>
  <c r="P10" i="15" l="1"/>
  <c r="C14" i="2" l="1"/>
  <c r="C12" i="2"/>
  <c r="C11" i="2"/>
  <c r="C10" i="2"/>
  <c r="C9" i="2"/>
  <c r="C8" i="2"/>
  <c r="C7" i="2"/>
  <c r="C6" i="2"/>
  <c r="C5" i="2"/>
  <c r="AR9" i="2" l="1"/>
  <c r="AR7" i="2"/>
  <c r="AR11" i="2"/>
  <c r="AR5" i="2"/>
  <c r="U15" i="2" l="1"/>
  <c r="S15" i="2"/>
  <c r="AL10" i="8" l="1"/>
  <c r="AO10" i="8"/>
  <c r="AQ10" i="8"/>
  <c r="AR10" i="8"/>
  <c r="AB10" i="15"/>
  <c r="AA10" i="15"/>
  <c r="Y10" i="15"/>
  <c r="AC15" i="2"/>
  <c r="AD15" i="2"/>
  <c r="AE15" i="2"/>
  <c r="AF15" i="2"/>
  <c r="AG15" i="2"/>
  <c r="F283" i="25" l="1"/>
  <c r="H283" i="25"/>
  <c r="D262" i="25"/>
  <c r="F262" i="25" s="1"/>
  <c r="D250" i="25"/>
  <c r="I250" i="25" s="1"/>
  <c r="F241" i="25"/>
  <c r="F242" i="25"/>
  <c r="F250" i="25" l="1"/>
  <c r="P11" i="22"/>
  <c r="M11" i="21"/>
  <c r="N11" i="21"/>
  <c r="J10" i="8"/>
  <c r="N10" i="8"/>
  <c r="O10" i="8"/>
  <c r="K243" i="25"/>
  <c r="D292" i="25"/>
  <c r="G292" i="25" s="1"/>
  <c r="G318" i="25"/>
  <c r="K318" i="25" s="1"/>
  <c r="G317" i="25"/>
  <c r="K317" i="25" s="1"/>
  <c r="G316" i="25"/>
  <c r="K316" i="25" s="1"/>
  <c r="G315" i="25"/>
  <c r="K315" i="25" s="1"/>
  <c r="G314" i="25"/>
  <c r="K314" i="25" s="1"/>
  <c r="G313" i="25"/>
  <c r="K313" i="25" s="1"/>
  <c r="G312" i="25"/>
  <c r="K312" i="25" s="1"/>
  <c r="G311" i="25"/>
  <c r="K311" i="25" s="1"/>
  <c r="G310" i="25"/>
  <c r="K310" i="25" s="1"/>
  <c r="G309" i="25"/>
  <c r="K309" i="25" s="1"/>
  <c r="G308" i="25"/>
  <c r="K308" i="25" s="1"/>
  <c r="G307" i="25"/>
  <c r="K307" i="25" s="1"/>
  <c r="G306" i="25"/>
  <c r="K306" i="25" s="1"/>
  <c r="G305" i="25"/>
  <c r="K305" i="25" s="1"/>
  <c r="G304" i="25"/>
  <c r="K304" i="25" s="1"/>
  <c r="G303" i="25"/>
  <c r="K303" i="25" s="1"/>
  <c r="G302" i="25"/>
  <c r="K302" i="25" s="1"/>
  <c r="G301" i="25"/>
  <c r="K301" i="25" s="1"/>
  <c r="G300" i="25"/>
  <c r="K300" i="25" s="1"/>
  <c r="G299" i="25"/>
  <c r="K299" i="25" s="1"/>
  <c r="G298" i="25"/>
  <c r="K298" i="25" s="1"/>
  <c r="G297" i="25"/>
  <c r="K297" i="25" s="1"/>
  <c r="G296" i="25"/>
  <c r="K296" i="25" s="1"/>
  <c r="G294" i="25"/>
  <c r="K294" i="25" s="1"/>
  <c r="G293" i="25"/>
  <c r="K293" i="25" s="1"/>
  <c r="K291" i="25"/>
  <c r="G290" i="25"/>
  <c r="K290" i="25" s="1"/>
  <c r="G289" i="25"/>
  <c r="K289" i="25" s="1"/>
  <c r="G288" i="25"/>
  <c r="K288" i="25" s="1"/>
  <c r="G287" i="25"/>
  <c r="K287" i="25" s="1"/>
  <c r="G286" i="25"/>
  <c r="K286" i="25" s="1"/>
  <c r="G285" i="25"/>
  <c r="K285" i="25" s="1"/>
  <c r="K284" i="25"/>
  <c r="F282" i="25"/>
  <c r="K282" i="25" s="1"/>
  <c r="F281" i="25"/>
  <c r="K281" i="25" s="1"/>
  <c r="F280" i="25"/>
  <c r="K280" i="25" s="1"/>
  <c r="F279" i="25"/>
  <c r="K279" i="25" s="1"/>
  <c r="F278" i="25"/>
  <c r="K278" i="25" s="1"/>
  <c r="F276" i="25"/>
  <c r="K276" i="25" s="1"/>
  <c r="F277" i="25"/>
  <c r="K277" i="25" s="1"/>
  <c r="F275" i="25"/>
  <c r="K275" i="25" s="1"/>
  <c r="F274" i="25"/>
  <c r="K274" i="25" s="1"/>
  <c r="F273" i="25"/>
  <c r="K273" i="25" s="1"/>
  <c r="F272" i="25"/>
  <c r="K272" i="25" s="1"/>
  <c r="F271" i="25"/>
  <c r="K271" i="25" s="1"/>
  <c r="F270" i="25"/>
  <c r="K270" i="25" s="1"/>
  <c r="F269" i="25"/>
  <c r="K269" i="25" s="1"/>
  <c r="F268" i="25"/>
  <c r="K268" i="25" s="1"/>
  <c r="F267" i="25"/>
  <c r="K267" i="25" s="1"/>
  <c r="F266" i="25"/>
  <c r="K266" i="25" s="1"/>
  <c r="F265" i="25"/>
  <c r="K265" i="25" s="1"/>
  <c r="F264" i="25"/>
  <c r="K264" i="25" s="1"/>
  <c r="K263" i="25"/>
  <c r="K262" i="25"/>
  <c r="F261" i="25"/>
  <c r="K261" i="25" s="1"/>
  <c r="F260" i="25"/>
  <c r="K260" i="25" s="1"/>
  <c r="F259" i="25"/>
  <c r="K259" i="25" s="1"/>
  <c r="F258" i="25"/>
  <c r="K258" i="25" s="1"/>
  <c r="F257" i="25"/>
  <c r="K257" i="25" s="1"/>
  <c r="F256" i="25"/>
  <c r="K256" i="25" s="1"/>
  <c r="F255" i="25"/>
  <c r="K255" i="25" s="1"/>
  <c r="F254" i="25"/>
  <c r="K254" i="25" s="1"/>
  <c r="F253" i="25"/>
  <c r="K253" i="25" s="1"/>
  <c r="F252" i="25"/>
  <c r="K252" i="25" s="1"/>
  <c r="K251" i="25"/>
  <c r="K250" i="25"/>
  <c r="H249" i="25"/>
  <c r="F248" i="25"/>
  <c r="K248" i="25" s="1"/>
  <c r="F247" i="25"/>
  <c r="K247" i="25" s="1"/>
  <c r="F246" i="25"/>
  <c r="K246" i="25" s="1"/>
  <c r="F245" i="25"/>
  <c r="K245" i="25" s="1"/>
  <c r="F244" i="25"/>
  <c r="I244" i="25" s="1"/>
  <c r="K244" i="25" s="1"/>
  <c r="J241" i="25"/>
  <c r="F240" i="25"/>
  <c r="K240" i="25"/>
  <c r="G10" i="15"/>
  <c r="H10" i="15"/>
  <c r="I10" i="15"/>
  <c r="J10" i="15"/>
  <c r="K10" i="15"/>
  <c r="I15" i="2"/>
  <c r="J15" i="2"/>
  <c r="K15" i="2"/>
  <c r="L15" i="2"/>
  <c r="M15" i="2"/>
  <c r="F470" i="25" l="1"/>
  <c r="K249" i="25"/>
  <c r="H470" i="25"/>
  <c r="I295" i="25"/>
  <c r="K295" i="25" s="1"/>
  <c r="K283" i="25"/>
  <c r="J292" i="25"/>
  <c r="K292" i="25" s="1"/>
  <c r="G241" i="25"/>
  <c r="I242" i="25"/>
  <c r="K242" i="25" l="1"/>
  <c r="I470" i="25"/>
  <c r="K241" i="25"/>
  <c r="K470" i="25" s="1"/>
  <c r="G470" i="25"/>
  <c r="J470" i="25"/>
  <c r="B11" i="22"/>
  <c r="C11" i="20"/>
  <c r="G11" i="18"/>
  <c r="C15" i="17"/>
  <c r="D15" i="17"/>
  <c r="E15" i="17"/>
  <c r="F15" i="17"/>
  <c r="G15" i="17"/>
  <c r="F10" i="15"/>
  <c r="AI11" i="21" l="1"/>
  <c r="AG11" i="21"/>
  <c r="B11" i="21" s="1"/>
  <c r="AJ11" i="20"/>
  <c r="AI11" i="20"/>
  <c r="B11" i="20" s="1"/>
  <c r="BH13" i="8"/>
  <c r="AJ10" i="8"/>
  <c r="AI10" i="8"/>
  <c r="AG10" i="8"/>
  <c r="AA15" i="17"/>
  <c r="Y15" i="17"/>
  <c r="J237" i="25"/>
  <c r="K237" i="25" s="1"/>
  <c r="I236" i="25"/>
  <c r="K236" i="25" s="1"/>
  <c r="I235" i="25"/>
  <c r="K235" i="25" s="1"/>
  <c r="H234" i="25"/>
  <c r="K234" i="25" s="1"/>
  <c r="G233" i="25"/>
  <c r="K233" i="25" s="1"/>
  <c r="F232" i="25"/>
  <c r="K232" i="25" s="1"/>
  <c r="J231" i="25"/>
  <c r="K231" i="25" s="1"/>
  <c r="H229" i="25"/>
  <c r="K229" i="25" s="1"/>
  <c r="F226" i="25"/>
  <c r="K226" i="25" s="1"/>
  <c r="J225" i="25"/>
  <c r="K225" i="25" s="1"/>
  <c r="F224" i="25"/>
  <c r="K224" i="25" s="1"/>
  <c r="G223" i="25"/>
  <c r="K223" i="25" s="1"/>
  <c r="H222" i="25"/>
  <c r="K222" i="25" s="1"/>
  <c r="G221" i="25"/>
  <c r="K221" i="25" s="1"/>
  <c r="J220" i="25"/>
  <c r="K220" i="25" s="1"/>
  <c r="I219" i="25"/>
  <c r="K219" i="25" s="1"/>
  <c r="G218" i="25"/>
  <c r="K218" i="25" s="1"/>
  <c r="J217" i="25"/>
  <c r="K217" i="25" s="1"/>
  <c r="J216" i="25"/>
  <c r="K216" i="25" s="1"/>
  <c r="F215" i="25"/>
  <c r="K215" i="25" s="1"/>
  <c r="F214" i="25"/>
  <c r="K214" i="25" s="1"/>
  <c r="F213" i="25"/>
  <c r="K213" i="25" s="1"/>
  <c r="F212" i="25"/>
  <c r="K212" i="25" s="1"/>
  <c r="F211" i="25"/>
  <c r="K211" i="25" s="1"/>
  <c r="F210" i="25"/>
  <c r="K210" i="25" s="1"/>
  <c r="F209" i="25"/>
  <c r="K209" i="25" s="1"/>
  <c r="G208" i="25"/>
  <c r="K208" i="25"/>
  <c r="K207" i="25"/>
  <c r="G207" i="25"/>
  <c r="J207" i="25" s="1"/>
  <c r="F206" i="25"/>
  <c r="K206" i="25" s="1"/>
  <c r="F205" i="25"/>
  <c r="K205" i="25" s="1"/>
  <c r="F204" i="25"/>
  <c r="K204" i="25" s="1"/>
  <c r="F203" i="25"/>
  <c r="K203" i="25" s="1"/>
  <c r="F202" i="25"/>
  <c r="K202" i="25" s="1"/>
  <c r="K192" i="25"/>
  <c r="K193" i="25"/>
  <c r="J200" i="25"/>
  <c r="K200" i="25" s="1"/>
  <c r="J198" i="25"/>
  <c r="K198" i="25" s="1"/>
  <c r="J197" i="25"/>
  <c r="K197" i="25" s="1"/>
  <c r="J196" i="25"/>
  <c r="K196" i="25" s="1"/>
  <c r="I195" i="25"/>
  <c r="K195" i="25" s="1"/>
  <c r="I194" i="25"/>
  <c r="K194" i="25" s="1"/>
  <c r="B10" i="8" l="1"/>
  <c r="K188" i="25"/>
  <c r="K189" i="25"/>
  <c r="K190" i="25"/>
  <c r="K191" i="25"/>
  <c r="K183" i="25"/>
  <c r="K184" i="25"/>
  <c r="K185" i="25"/>
  <c r="K186" i="25"/>
  <c r="K187" i="25"/>
  <c r="F182" i="25" l="1"/>
  <c r="G181" i="25"/>
  <c r="G180" i="25"/>
  <c r="F179" i="25"/>
  <c r="F178" i="25"/>
  <c r="J177" i="25"/>
  <c r="I177" i="25"/>
  <c r="H177" i="25"/>
  <c r="J176" i="25"/>
  <c r="I176" i="25"/>
  <c r="G175" i="25"/>
  <c r="J174" i="25"/>
  <c r="K528" i="24"/>
  <c r="K526" i="24"/>
  <c r="K525" i="24"/>
  <c r="K499" i="24"/>
  <c r="K497" i="24"/>
  <c r="G173" i="25"/>
  <c r="D230" i="25"/>
  <c r="I230" i="25" s="1"/>
  <c r="K230" i="25" s="1"/>
  <c r="D228" i="25"/>
  <c r="G228" i="25" s="1"/>
  <c r="K228" i="25" s="1"/>
  <c r="D227" i="25"/>
  <c r="F227" i="25" s="1"/>
  <c r="K227" i="25" s="1"/>
  <c r="D201" i="25"/>
  <c r="J201" i="25" s="1"/>
  <c r="K201" i="25" s="1"/>
  <c r="D199" i="25"/>
  <c r="J199" i="25" s="1"/>
  <c r="K199" i="25" s="1"/>
  <c r="F172" i="25"/>
  <c r="F171" i="25"/>
  <c r="H171" i="25" s="1"/>
  <c r="F170" i="25"/>
  <c r="K170" i="25" s="1"/>
  <c r="F169" i="25"/>
  <c r="K169" i="25" s="1"/>
  <c r="F168" i="25"/>
  <c r="K168" i="25" s="1"/>
  <c r="F167" i="25"/>
  <c r="K167" i="25" s="1"/>
  <c r="G238" i="25" l="1"/>
  <c r="H173" i="25"/>
  <c r="H238" i="25" s="1"/>
  <c r="K171" i="25"/>
  <c r="J238" i="25"/>
  <c r="F238" i="25"/>
  <c r="I172" i="25"/>
  <c r="I238" i="25" s="1"/>
  <c r="T11" i="16"/>
  <c r="U11" i="16"/>
  <c r="V11" i="16"/>
  <c r="W11" i="16"/>
  <c r="X11" i="16"/>
  <c r="T10" i="15"/>
  <c r="X10" i="15"/>
  <c r="V10" i="15"/>
  <c r="X15" i="2"/>
  <c r="Z15" i="2"/>
  <c r="AB13" i="2"/>
  <c r="C13" i="2" s="1"/>
  <c r="B11" i="16" l="1"/>
  <c r="AK11" i="16"/>
  <c r="AR10" i="13"/>
  <c r="B10" i="15"/>
  <c r="AK10" i="15"/>
  <c r="AR13" i="2"/>
  <c r="AR15" i="2" s="1"/>
  <c r="C15" i="2"/>
  <c r="AB15" i="2"/>
  <c r="AS15" i="2" s="1"/>
  <c r="K172" i="25"/>
  <c r="K238" i="25" s="1"/>
</calcChain>
</file>

<file path=xl/comments1.xml><?xml version="1.0" encoding="utf-8"?>
<comments xmlns="http://schemas.openxmlformats.org/spreadsheetml/2006/main">
  <authors>
    <author>HP</author>
  </authors>
  <commentList>
    <comment ref="J597" authorId="0" shapeId="0">
      <text>
        <r>
          <rPr>
            <sz val="9"/>
            <color indexed="81"/>
            <rFont val="Tahoma"/>
            <family val="2"/>
          </rPr>
          <t xml:space="preserve">ราคานี้เป็นสำรับตรวจเด็กแฝดด้วยและควรเพิ่มรายการที่ไม่ตีวจเด็กแฝดและลดราคาลงและขณะนี้มีแบบราคาถูกที่ทำจากจีนหรือเกาหลี150000-200000ก็ขายได้แล้วควรดูรายการใหม่ไหม
</t>
        </r>
      </text>
    </comment>
    <comment ref="J609" authorId="0" shapeId="0">
      <text>
        <r>
          <rPr>
            <sz val="9"/>
            <color indexed="81"/>
            <rFont val="Tahoma"/>
            <family val="2"/>
          </rPr>
          <t xml:space="preserve">ควรกำหนดขนาดหน้าจอด้วยว่าไม่น้อยกว่า10นิ้ว
และตรวจอะไรได้บ้าง
และควรกำหนดอีSpecที่ราคา120000-150000บาทอีกระดับเพื่อให้โรงพยาบาลขนาดไม่ใหญ่มีของราคาประหยัดใช้เพราะใช้ไม่มากเท่ารพใหญ่
</t>
        </r>
      </text>
    </comment>
    <comment ref="J632" authorId="0" shapeId="0">
      <text>
        <r>
          <rPr>
            <sz val="9"/>
            <color indexed="81"/>
            <rFont val="Tahoma"/>
            <family val="2"/>
          </rPr>
          <t xml:space="preserve">ควรกำหนดขนาดหน้าจอด้วยว่าไม่น้อยกว่า10นิ้ว
และตรวจอะไรได้บ้าง
และควรกำหนดอีSpecที่ราคา120000-150000บาทอีกระดับเพื่อให้โรงพยาบาลขนาดไม่ใหญ่มีของราคาประหยัดใช้เพราะใช้ไม่มากเท่ารพใหญ่
</t>
        </r>
      </text>
    </comment>
    <comment ref="J638" authorId="0" shapeId="0">
      <text>
        <r>
          <rPr>
            <sz val="9"/>
            <color indexed="81"/>
            <rFont val="Tahoma"/>
            <family val="2"/>
          </rPr>
          <t xml:space="preserve">ราคานี้เป็นสำรับตรวจเด็กแฝดด้วยและควรเพิ่มรายการที่ไม่ตีวจเด็กแฝดและลดราคาลงและขณะนี้มีแบบราคาถูกที่ทำจากจีนหรือเกาหลี150000-200000ก็ขายได้แล้วควรดูรายการใหม่ไหม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C530" authorId="0" shapeId="0">
      <text>
        <r>
          <rPr>
            <sz val="9"/>
            <color indexed="81"/>
            <rFont val="Tahoma"/>
            <family val="2"/>
          </rPr>
          <t xml:space="preserve">ราคานี้เป็นสำรับตรวจเด็กแฝดด้วยและควรเพิ่มรายการที่ไม่ตีวจเด็กแฝดและลดราคาลงและขณะนี้มีแบบราคาถูกที่ทำจากจีนหรือเกาหลี150000-200000ก็ขายได้แล้วควรดูรายการใหม่ไหม
</t>
        </r>
      </text>
    </comment>
    <comment ref="C542" authorId="0" shapeId="0">
      <text>
        <r>
          <rPr>
            <sz val="9"/>
            <color indexed="81"/>
            <rFont val="Tahoma"/>
            <family val="2"/>
          </rPr>
          <t xml:space="preserve">ควรกำหนดขนาดหน้าจอด้วยว่าไม่น้อยกว่า10นิ้ว
และตรวจอะไรได้บ้าง
และควรกำหนดอีSpecที่ราคา120000-150000บาทอีกระดับเพื่อให้โรงพยาบาลขนาดไม่ใหญ่มีของราคาประหยัดใช้เพราะใช้ไม่มากเท่ารพใหญ่
</t>
        </r>
      </text>
    </comment>
    <comment ref="C565" authorId="0" shapeId="0">
      <text>
        <r>
          <rPr>
            <sz val="9"/>
            <color indexed="81"/>
            <rFont val="Tahoma"/>
            <family val="2"/>
          </rPr>
          <t xml:space="preserve">ควรกำหนดขนาดหน้าจอด้วยว่าไม่น้อยกว่า10นิ้ว
และตรวจอะไรได้บ้าง
และควรกำหนดอีSpecที่ราคา120000-150000บาทอีกระดับเพื่อให้โรงพยาบาลขนาดไม่ใหญ่มีของราคาประหยัดใช้เพราะใช้ไม่มากเท่ารพใหญ่
</t>
        </r>
      </text>
    </comment>
    <comment ref="C571" authorId="0" shapeId="0">
      <text>
        <r>
          <rPr>
            <sz val="9"/>
            <color indexed="81"/>
            <rFont val="Tahoma"/>
            <family val="2"/>
          </rPr>
          <t xml:space="preserve">ราคานี้เป็นสำรับตรวจเด็กแฝดด้วยและควรเพิ่มรายการที่ไม่ตีวจเด็กแฝดและลดราคาลงและขณะนี้มีแบบราคาถูกที่ทำจากจีนหรือเกาหลี150000-200000ก็ขายได้แล้วควรดูรายการใหม่ไหม
</t>
        </r>
      </text>
    </comment>
  </commentList>
</comments>
</file>

<file path=xl/sharedStrings.xml><?xml version="1.0" encoding="utf-8"?>
<sst xmlns="http://schemas.openxmlformats.org/spreadsheetml/2006/main" count="8204" uniqueCount="1183">
  <si>
    <t xml:space="preserve">ปี </t>
  </si>
  <si>
    <t>เป้าหมาย</t>
  </si>
  <si>
    <t>A</t>
  </si>
  <si>
    <t>S</t>
  </si>
  <si>
    <t>M1</t>
  </si>
  <si>
    <t>M2</t>
  </si>
  <si>
    <t>F</t>
  </si>
  <si>
    <t>(เตียง)</t>
  </si>
  <si>
    <t>รวม</t>
  </si>
  <si>
    <t>(ห้อง)</t>
  </si>
  <si>
    <t>P</t>
  </si>
  <si>
    <t>Q</t>
  </si>
  <si>
    <t>สามัญ</t>
  </si>
  <si>
    <t>พิเศษ</t>
  </si>
  <si>
    <t>เขตสุขภาพที่ 6</t>
  </si>
  <si>
    <t>เป้าหมายรวม</t>
  </si>
  <si>
    <t>(ลบ)</t>
  </si>
  <si>
    <t>จันทบุรี</t>
  </si>
  <si>
    <t>ฉะเชิงเทรา</t>
  </si>
  <si>
    <t>ชลบุรี</t>
  </si>
  <si>
    <t>ปราจีนบุรี</t>
  </si>
  <si>
    <t>ระยอง</t>
  </si>
  <si>
    <t>สมุทรปราการ</t>
  </si>
  <si>
    <t>ตราด</t>
  </si>
  <si>
    <t>สระแก้ว</t>
  </si>
  <si>
    <t xml:space="preserve">ใบงานที่ 7     Basic Facilities – ไฟฟ้า ประปา Fill Gap จำนวน 83  ล้านบาท </t>
  </si>
  <si>
    <t xml:space="preserve">ใบงานที่ 1     Basic Facilities – IPD  Fill Gap  1,798 เตียง </t>
  </si>
  <si>
    <t>ใบงานที่ 2     Basic Facilities –ICU  Fill Gap จำนวน 397 เตียง</t>
  </si>
  <si>
    <t>ใบงานที่ 3     Basic Facilities –OR  Fill Gap</t>
  </si>
  <si>
    <t>ใบงานที่ 4     Basic Facilities –OPD  Fill Gap จำนวน 434 ล้านบาท</t>
  </si>
  <si>
    <t>ใบงานที่ 6     Basic Facilities –ระบบบำบัดน้ำเสีย</t>
  </si>
  <si>
    <t xml:space="preserve">ใบงานที่ 8     Basic Facilities – อาคารที่พักอาศัย Fill Gap จำนวน 390  ล้านบาท </t>
  </si>
  <si>
    <t xml:space="preserve">ใบงานที่ 9     Basic Facilities – อาคารจอดรถ Fill Gap จำนวน 125  ล้านบาท </t>
  </si>
  <si>
    <t xml:space="preserve">ใบงานที่ 10     Basic Facilities – อาคารสนับสนุน Fill Gap จำนวน 375  ล้านบาท </t>
  </si>
  <si>
    <t xml:space="preserve">ใบงานที่ 11     Basic Facilities – อาคารสำนักงาน Fill Gap จำนวน 125  ล้านบาท </t>
  </si>
  <si>
    <t xml:space="preserve">Rx </t>
  </si>
  <si>
    <t>ใบงานที่ 5     Basic Facilities ครุภัณฑ์ Fill Gap 1,000 ล้านบาท</t>
  </si>
  <si>
    <t>ลำดับ</t>
  </si>
  <si>
    <t>ประเภทครุภัณฑ์</t>
  </si>
  <si>
    <t>รายการครุภัณฑ์</t>
  </si>
  <si>
    <t>ราคา (ล้านบาท)</t>
  </si>
  <si>
    <t>โรงพยาบาล</t>
  </si>
  <si>
    <t>ระดับ</t>
  </si>
  <si>
    <t>จังหวัด</t>
  </si>
  <si>
    <t>ปีงบประมาณ</t>
  </si>
  <si>
    <t>Life</t>
  </si>
  <si>
    <t>Amb</t>
  </si>
  <si>
    <t xml:space="preserve">DxRx </t>
  </si>
  <si>
    <t>Dx</t>
  </si>
  <si>
    <t>Supp</t>
  </si>
  <si>
    <t>Car</t>
  </si>
  <si>
    <t>Off</t>
  </si>
  <si>
    <t>/</t>
  </si>
  <si>
    <t>ตู้ผสมยาเคมีบำบัด</t>
  </si>
  <si>
    <t>แกลง</t>
  </si>
  <si>
    <t>เครื่องล้างกล้องส่องตรวจ 2 หัว</t>
  </si>
  <si>
    <t>รถโดยสารขนาด 12 ที่นั่ง (ดีเซล) ปริมาณกระบอกสูบไม่ต่ำกว่า 2400 ซีซี</t>
  </si>
  <si>
    <t>เขาฃะเมา</t>
  </si>
  <si>
    <t>รถบรรทุก (ดีเซล) ขนาด 1 ตัน ปริมาตรกระบอกสูบไม่ต่ำกว่า 2400 ซีซี ขับเคลื่อน 2 ล้อ แบบดับเบิ้ลแค็บ</t>
  </si>
  <si>
    <t>รพ.สต.บ้านสามแยกน้ำเป็น</t>
  </si>
  <si>
    <t>รถบรรทุก(ดีเซล)ขนาด1ตัน ปริมาตรกระบอกสูบไม่ต่ำกว่า 2400 ซีซี ขับเคลื่อน 2 ล้อ แบบดับเบิ้ลแค็บ</t>
  </si>
  <si>
    <t>รพช.นิคมพัฒนา</t>
  </si>
  <si>
    <t>กล้องถ่ายภาพจอประสาทตาดิจิตอล</t>
  </si>
  <si>
    <t>เครื่องตรวจสมรรถภาพปอด</t>
  </si>
  <si>
    <t>เครื่องเอกซเรย์เคลื่อนที่ ขนาดไม่น้อยกว่า 300mA.ขับเคลื่อนด้วยมอเตอร์ไฟฟ้า</t>
  </si>
  <si>
    <t>เครื่องเอกซเรย์ทั่วไปขนาด ขนาดไม่น้อยกว่า500mA.แบบแขวนเพดาน</t>
  </si>
  <si>
    <t>เครื่องกระตุกไฟฟ้าหัวใจชนิดไบเฟสิค แบบจอสี พร้อมภาควัดคาร์บอนไดออกไซด์และออกซิเจน</t>
  </si>
  <si>
    <t>เตียงผู้ป่วยชนิดสามไกราวปีกนกพร้อมเบาะเสาน้ำเกลือตู้ข้างเตียงและถามคร่อมเตียง จำนวน 25 ชุดๆละ 40,000บาท</t>
  </si>
  <si>
    <t>รพ.วังจันทร์</t>
  </si>
  <si>
    <t>เครื่องเอ็กซเรย์ทั่วไปขนาดไม่น้อยกว่า 500mAแบบแขวนเพดาน</t>
  </si>
  <si>
    <t>รพ.บ้านค่าย</t>
  </si>
  <si>
    <t>เครื่องจี้ห้ามเลือดและตัดเนื้อเยื่อด้วยไฟฟ้าขนาดไม่น้อยกว่า 300 วัตน์</t>
  </si>
  <si>
    <t>เครื่องปรับอากาศแบบแยกส่วนชนิดตั้งพื้นหรือชนิดแขวน(มีระบบฟอกอากาศ)ขนาดไม่ต่ำกว่า 40000 บีทียู จำนวน2เครื่อง</t>
  </si>
  <si>
    <t>รถบรรทุก(ดีเซล)2400 ซีซี มีCAB</t>
  </si>
  <si>
    <t>บ้านฉาง</t>
  </si>
  <si>
    <t>เครื่องบริหารข้อเข่าและสะโพกแบบต่อเนื่อง</t>
  </si>
  <si>
    <t>เครื่องบริหารข้อไหล่แบบต่อเนื่อง</t>
  </si>
  <si>
    <t>รถเข็นชุดอุปกรณ์ช่วยชีวิตฉุกเฉิน</t>
  </si>
  <si>
    <t>ตู้อบเด็ก</t>
  </si>
  <si>
    <t>เครื่องซักผ้าขนาดไม่น้อยกว่า 200 ปอนด์</t>
  </si>
  <si>
    <t>เครื่องพ่นหมอกควัน</t>
  </si>
  <si>
    <t>เครื่องช่วยพยุงตัวแบบมีรางเลื่อน</t>
  </si>
  <si>
    <t>รถยนต์ตรวจการดีเซลแบบขับเคลื่อน 2ล้อ</t>
  </si>
  <si>
    <t>เครื่องช่วยหายใจควบคุมด้วบปริมาตรและความดันพร้อมเครื่องอัดอากาศ</t>
  </si>
  <si>
    <t>เครื่องอบฆ่าเชื้ออัตโนมัติชนิดอุณภูมิต่ำด้วยแก๊สเอทธิลีนออกไซด์ 100% แบบเจาะแก๊ซอัตโนมัติขนาดไม่น้อยกว่า 150 ลิตร</t>
  </si>
  <si>
    <t>เครื่องดมยาสลบชนิด 3 แก๊ซพร้อมเครื่องหายใจและเครื่องติดตามการทำงานของหัวใจ</t>
  </si>
  <si>
    <t>เครื่องวัดความดันโลหิตแบบสอดแขนอัตโนมัติ 2 เครื่อง</t>
  </si>
  <si>
    <t>เครื่องตรวจสมรรถภาพทารกในครรภ์สำหรับตรวจเด็กแฝด</t>
  </si>
  <si>
    <t>เครื่องตรวจอวัยวะภายในด้วยคลื่นเสี่ยงความถี่สูงอชนิดสี 2 หัวตรวจ</t>
  </si>
  <si>
    <t>เครื่องควบคุมการให้สารละลายโดยกระบอกฉีดยา 2 เครื่อง</t>
  </si>
  <si>
    <t>เครื่องควบคุมการให้สารละลายทางเส้นเลือด 4 เครื่อง</t>
  </si>
  <si>
    <t xml:space="preserve"> /</t>
  </si>
  <si>
    <t>เครื่องกระตุกไฟฟ้าหัวใจชนิดไบเฟสิคแบบจอสีพร้อมภาควัดคาร์บอนไดออกไซด์และออกซิเจน</t>
  </si>
  <si>
    <t>ปลวกแดง</t>
  </si>
  <si>
    <r>
      <t>เครื่องติดตามการทำงานของหัวใจและสัญญาณชีพอัติโนมัติพร้อมวัด IBP CO</t>
    </r>
    <r>
      <rPr>
        <vertAlign val="subscript"/>
        <sz val="14"/>
        <rFont val="TH SarabunPSK"/>
        <family val="2"/>
      </rPr>
      <t xml:space="preserve">2 </t>
    </r>
    <r>
      <rPr>
        <sz val="14"/>
        <rFont val="TH SarabunPSK"/>
        <family val="2"/>
      </rPr>
      <t>(M1)</t>
    </r>
  </si>
  <si>
    <t>เตียงผู้ป่วยสำหรับไอซียู ปรับด้วยไฟฟ้าชนิด 4 motor</t>
  </si>
  <si>
    <t>เครื่องติดตามการทำงานของหัวใจและสัญญาชีพอัตโนมัติ(F3)</t>
  </si>
  <si>
    <t>รถบรรทุก(ดีเซล) ขนาด 1 ตัน ปริมาตรกระบอกสูบไม่ต่ำกว่า 2400  ซีซี ขับเคลื่อน 2 ล้อ แบบธรรมดา</t>
  </si>
  <si>
    <t>สสอ.ปลวกแดง</t>
  </si>
  <si>
    <t>เครื่องติดตามการทำงานของหัวใจและสัญญาณชีพอัตโนมัติพร้อมวัดIBP CO2</t>
  </si>
  <si>
    <t>รพ.เฉลิมพระเกียรติสมเด็จพระเทพฯ</t>
  </si>
  <si>
    <t>เครื่องวัดความดันอัตโนมัติสำหรับทารกแรกคลอด</t>
  </si>
  <si>
    <t>เครื่องตรวจตาส่วนหน้า</t>
  </si>
  <si>
    <t>เครื่องตรวจวัดลานสายตา</t>
  </si>
  <si>
    <t>เครื่องวัดความดันลูกตาแบบไม่สัมผัสกระจกตา</t>
  </si>
  <si>
    <t>เครื่องวัดความยาวลูกตาและตรวจตาส่วนหลังด้วยคลื่นเสียงความถี่สูง</t>
  </si>
  <si>
    <t>เครื่องวัดความหนากระจกตา</t>
  </si>
  <si>
    <t>เครื่องวัดสายตาสั้น ยาว เอียง</t>
  </si>
  <si>
    <t>เครื่องวัดความดันโลหิตแบบสอดแขนอัตโนมัติ</t>
  </si>
  <si>
    <t>เครื่องวัดความดันอัตโนมัติชนิดตั้งโต๊ะ</t>
  </si>
  <si>
    <t>เครื่องวัดออกซิเจนชนิดพกพา</t>
  </si>
  <si>
    <t>กล้องส่องตรวจและผ่าตัดภายในช่องท้องและลำไส้ใหญ่พร้อมระบบวิดีทัศน์</t>
  </si>
  <si>
    <t>เครื่องควบคุมการให้สารละลายทางหลอดเลือดดำชนิด3สาย</t>
  </si>
  <si>
    <t>เครื่องตัดปากมดลูกและเครื้องจี้เย็น</t>
  </si>
  <si>
    <t>กล้องจุลทรรศน์สำหรับผ่าตัดตาไมโครสโคป</t>
  </si>
  <si>
    <t>เครื่องผ่าตัดตาต้อกระจกด้วยคลื่นความถี่สูง</t>
  </si>
  <si>
    <t>เครื่องมือผ่าตัดตาพื้นฐาน</t>
  </si>
  <si>
    <t>เครื่องมือผ่าตัดจุลศัลยกรรมเด็ก</t>
  </si>
  <si>
    <t>เครื่องช่วยหายใจชนิดปริมาตร (Volume Respirator)</t>
  </si>
  <si>
    <t>เครื่องกระตุ้นหัวใจชนิดชั่วคราว (Temporary transvenous pacemaker)</t>
  </si>
  <si>
    <t>เครื่องพยุงการทำงานของปอดและหัวใจ (ECMO)</t>
  </si>
  <si>
    <t>เครื่องปอดและหัวใจเทียม (Heart lung machine)</t>
  </si>
  <si>
    <t>ชุดผ่าตัดหัวใจและหลอดเลือด (Coronary artery bypass surgery set)</t>
  </si>
  <si>
    <t>รถบรรทุก(ดีเซล)ขนาด ๑ ตัน ปริมาตรกระบอกสูบไม่ต่ำกว่า ๒,๔๐๐ ซีซี ขับเคลื่อน ๔ ล้อ แบบดับเบิ้ลแค็บ</t>
  </si>
  <si>
    <t>รพ.สต.ทับมา</t>
  </si>
  <si>
    <t>รถบรรทุก(ดีเซล)ขนาด ๑ ตัน ปริมาตรกระบอกสูบไม่ต่ำกว่า ๒,๐๐๐ ซีซี ขับเคลื่อน ๒ ล้อ แบบดับเบิ้ลแค็บ</t>
  </si>
  <si>
    <t>รพ.สต.เพ</t>
  </si>
  <si>
    <t>รพ.สต.แกลง</t>
  </si>
  <si>
    <t>รพ.สต.หนองจอก</t>
  </si>
  <si>
    <t>รพ.สต.ยายจั่น</t>
  </si>
  <si>
    <t>รพ.สต.นาตาขวัญ</t>
  </si>
  <si>
    <t>แผนคำขอตั้งงบประมาณรายจ่ายประจำปีงบประมาณ พ.ศ.2561-2565 สำหรับ รพช./รพ.สต.</t>
  </si>
  <si>
    <t>งบลงทุน รายการค่าครุภัณฑ์</t>
  </si>
  <si>
    <t>บันทึกผ่านระบบโปรแกรมคำขอตั้งงบประมาณ</t>
  </si>
  <si>
    <t>BASIC FACILITY</t>
  </si>
  <si>
    <t>เมื่อเป็นส่งเอกสาร สามารถซ่อน 3  Column นี้ไว้ได้</t>
  </si>
  <si>
    <t>เขต</t>
  </si>
  <si>
    <t xml:space="preserve">ราคาต่อหน่วย(บาท)
</t>
  </si>
  <si>
    <t>จำนวน(หน่วย)</t>
  </si>
  <si>
    <t>งบประมาณ
 ปี 61</t>
  </si>
  <si>
    <t>งบประมาณ ปี 62</t>
  </si>
  <si>
    <t>งบประมาณ ปี 63</t>
  </si>
  <si>
    <t>งบประมาณ ปี 64</t>
  </si>
  <si>
    <t>งบประมาณ ปี 65</t>
  </si>
  <si>
    <t>รวมเงินทั้งสิ้น</t>
  </si>
  <si>
    <t>สถานที่ ระบุชื่อ</t>
  </si>
  <si>
    <t>อำเภอ</t>
  </si>
  <si>
    <t>ตำบล</t>
  </si>
  <si>
    <t>ระดับ
บริการ</t>
  </si>
  <si>
    <t>ประเภท
ครุภัณฑ์</t>
  </si>
  <si>
    <t>เหตุผล คำชี้แจง
(อธิบายพอสังเขบไม่เกิน 5 บรรทัด ต่อ 1 เซลล์)</t>
  </si>
  <si>
    <t>สภาพปัจจุบัน
(ครุภัณฑ์ และบุคลากรใช้งาน)</t>
  </si>
  <si>
    <t>ความสอดคล้องกับ
 Service Plan</t>
  </si>
  <si>
    <t>ข้อมูลประกอบ
เชิงปริมาณ</t>
  </si>
  <si>
    <t>ประโยชน์ที่คาดว่าจะได้รับ</t>
  </si>
  <si>
    <t>หมายเหตุ</t>
  </si>
  <si>
    <t xml:space="preserve">5.ครุภัณฑ์ </t>
  </si>
  <si>
    <t>เครื่องติดตามการทำงานของหัวใจและสัญญาณชีพระบบรวมศูนย์ไม่น้อยกว่า 8 เตียง</t>
  </si>
  <si>
    <t>รพ.ชลบุรี</t>
  </si>
  <si>
    <t>เมือง</t>
  </si>
  <si>
    <t>บ้านสวน</t>
  </si>
  <si>
    <t>รถพยาบาลเคลือบสารต้านจุลชีพ พร้อมระบบการแพทย์ฉุกเฉินทางไกล และเครื่องมือตรวจหัวใจ สมอง และเครื่องพยุงชีพชั้นสูง</t>
  </si>
  <si>
    <t>รพ.บางละมุง.</t>
  </si>
  <si>
    <t>บางละมุง</t>
  </si>
  <si>
    <t>นาเกลือ</t>
  </si>
  <si>
    <t>เครื่องเอกซเรย์เต้านมระบบอนาล็อกพร้อมเครื่องแปลงสัญญาณภาพดิจิตอล</t>
  </si>
  <si>
    <t>เครื่องเอกซเรย์ทั่วไปขนาดไม่น้อยกว่า 1000 mA. แบบแขวนเพดานดิจิตอล2จอรับภาพ</t>
  </si>
  <si>
    <t>เตียงผ่าตัดกระดูกสันหลังชนิดเอกซเรย์ผ่านได้</t>
  </si>
  <si>
    <t>เครื่องสลายนิ่วด้วยคลื่นความถี่สูงจากภายนอก</t>
  </si>
  <si>
    <t>รถเอกซเรย์เคลื่อนที่แบบภาพดิจิตอล</t>
  </si>
  <si>
    <t xml:space="preserve"> เครื่องกระตุกไฟฟ้าหัวใจชนิดไบเฟสิคแบบจอสีพร้อมภาควัดคาร์บอนไดออกไซด์และออกซิเจน </t>
  </si>
  <si>
    <t>รพ.บ่อทอง</t>
  </si>
  <si>
    <t>บ่อทอง</t>
  </si>
  <si>
    <t>F2</t>
  </si>
  <si>
    <t xml:space="preserve"> เตียงคลอดปรับระดับด้วยไฟฟ้า </t>
  </si>
  <si>
    <t xml:space="preserve"> เครื่องส่องรักษาทารกตัวเหลืองแบบสองด้าน </t>
  </si>
  <si>
    <t xml:space="preserve"> โคมไฟผ่าตัดเล็กขนาดไม่น้อยกว่า 60,000 ลักซ์ ชนิดแขวนเพดาน </t>
  </si>
  <si>
    <t xml:space="preserve"> เครื่องจี้ห้ามเลือดและตัดเนื้อเยื่อด้วยไฟฟ้าขนาดไม่น้อยกว่า 300 วัตต์ </t>
  </si>
  <si>
    <t>เครื่องอบฆ่าเชื้ออัตโนมัติชนิดอุณหภูมิต่ำด้วยแก๊สเอทธิลีนออกไซด์ 100 %แบบเจาะแก๊ซอัตโนมัติขนาดความจุไม่น้อยกว่า 150 ลิตร</t>
  </si>
  <si>
    <t>รพ.นายายอาม</t>
  </si>
  <si>
    <t>นายายอาม</t>
  </si>
  <si>
    <t>F1</t>
  </si>
  <si>
    <t>ครุภัณฑ์การแพทย์สนับสนุน</t>
  </si>
  <si>
    <t>รถพยาบาลขั้นพื้นฐาน (รถตู้)</t>
  </si>
  <si>
    <t>รพ.ขลุง</t>
  </si>
  <si>
    <t>ขลุง</t>
  </si>
  <si>
    <t>ยานพาหนะและขนส่ง</t>
  </si>
  <si>
    <t>รพ.แหลมสิงห์</t>
  </si>
  <si>
    <t>แหลมสิงห์</t>
  </si>
  <si>
    <t>เกาะเปริด</t>
  </si>
  <si>
    <t>รถพยาบาลฉุกเฉิน (รถกระบะ) ปริมาตรกระบอกสูบไม่ต่ำกว่า 2,400 ซีซี.</t>
  </si>
  <si>
    <t>รพ.สต.บ้านวังอีแอ่น</t>
  </si>
  <si>
    <t>แก่งหางแมว</t>
  </si>
  <si>
    <t>พวา</t>
  </si>
  <si>
    <t>รพ.สต.บ่อไฟไหม้</t>
  </si>
  <si>
    <t>รถพยาบาล(รถตู้) ปริมาตรกระบอกสูบไม่ต่ำกว่า 2,400 ซีซี.</t>
  </si>
  <si>
    <t>พระปกเกล้า</t>
  </si>
  <si>
    <t>วัดใหม่</t>
  </si>
  <si>
    <t xml:space="preserve"> เครื่องดมยาสลบชนิดซับซ้อน 3 แก๊ซพร้อมเครื่องช่วยหายใจและเครื่องติดตามการทำงานของหัวใจและวิเคราะห์แก๊ซระหว่างดมยาสลบ </t>
  </si>
  <si>
    <t>กล้องส่องตรวจทางเดินหายใจพร้อมระบบวีดีทัศน์</t>
  </si>
  <si>
    <t xml:space="preserve">เครื่องช่วยหายใจสำหรับทารกแรกเกิดชนิดความถี่สูง </t>
  </si>
  <si>
    <t>เครื่องจี้ห้ามเลือดและตัดเนื้อเยื่อด้วยไฟฟ้าขนาดไม่น้อยกว่า 200 วัตต์</t>
  </si>
  <si>
    <t>รพ.สอยดาว</t>
  </si>
  <si>
    <t>สอยดาว</t>
  </si>
  <si>
    <t>ปะตง</t>
  </si>
  <si>
    <t>เครื่องวัดสายตาสั้นยาวเอียง</t>
  </si>
  <si>
    <t>ชุดเครื่องมือคว้านโพรงกระดูก</t>
  </si>
  <si>
    <t>รพ.แก่งหางแมว</t>
  </si>
  <si>
    <t>รพ.เขาคิชฌกูฏ</t>
  </si>
  <si>
    <t>เขาคิชฌกูฏ</t>
  </si>
  <si>
    <t>พลวง</t>
  </si>
  <si>
    <t>รพ.สองพี่น้อง</t>
  </si>
  <si>
    <t>ท่าใหม่</t>
  </si>
  <si>
    <t>สองพี่น้อง</t>
  </si>
  <si>
    <t>รพ.ท่าใหม่</t>
  </si>
  <si>
    <t>เครื่องตัดน้ำวุ้นลูกตาส่วนหลังพร้อมเลเซอร์</t>
  </si>
  <si>
    <t xml:space="preserve">กล้องจุลทรรศน์ ชนิด 3 ตา พร้อมชุดถ่ายภาพระบบดิจิตอล </t>
  </si>
  <si>
    <t xml:space="preserve">เครื่องเอกซเรย์ฟลูโอโรสโคปเคลื่อนที่แบบซีอาร์มกำลังไม่น้อยกว่า15 kw </t>
  </si>
  <si>
    <t xml:space="preserve"> เครื่องตรวจอวัยวะภายในด้วยคลื่นเสียงความถี่สูง ระดับความคมชัดสูง 3 หัวตรวจ </t>
  </si>
  <si>
    <t>เครื่องนึ่งฆ่าเชื้อจุลินทรีย์ด้วยไอน้ำระบบอัตโนมัติขนาดไม่น้อยกว่า 850ลิตร(Pre-Post Vac)ห้องนึ่งทรงสี่เหลี่ยม ชนิด 1 ประตู</t>
  </si>
  <si>
    <t>เครื่องล้างเครื่องมืออัตโนมัติขนาดไม่น้อยกว่า 250 ลิตร</t>
  </si>
  <si>
    <t>เครื่องช่วยหายใจชนิดควบคุมด้วยปริมาตรและความดันพร้อมเครื่องอัดอากาศ</t>
  </si>
  <si>
    <t>เตียงผู้ป่วยสำหรับไอซียูปรับด้วยไฟฟ้าชนิด 4 motor</t>
  </si>
  <si>
    <t xml:space="preserve"> เครื่องช่วยหายใจชนิดควบคุมด้วยปริมาตรและความดัน </t>
  </si>
  <si>
    <t>เครื่องวัดเลนส์แก้วตาเทียมด้วยเลเซอร์</t>
  </si>
  <si>
    <t>เครื่องเอกซเรย์เต้านมระบบดิจิตัล</t>
  </si>
  <si>
    <t>รถโดยสารขนาด12ที่นั่ง (ดีเซล) ปริมาตรกระบอกสูบไม่ต่ำกว่า 2400 ซีซี.</t>
  </si>
  <si>
    <t>รพ.มะขาม</t>
  </si>
  <si>
    <t>มะขาม</t>
  </si>
  <si>
    <t>รพ.เขาสุกิม</t>
  </si>
  <si>
    <t>เขาบายศรี</t>
  </si>
  <si>
    <t>รพ.โป่งน้ำร้อน</t>
  </si>
  <si>
    <t>โป่งน้ำร้อน</t>
  </si>
  <si>
    <t>ทับไทร</t>
  </si>
  <si>
    <t xml:space="preserve">เครื่องติดตามการทำงานของหัวใจและสัญญาณชีพระบบรวมศูนย์ไม่น้อยกว่า 8 เตียง </t>
  </si>
  <si>
    <t>รถพยาบาลโครงสร้างปลอดภัยเคลือบสารต้านจุลชีพขนาดกลาง พร้อมระบบการแพทย์ฉุกเฉินทางไกล และเครื่องมือตรวจหัวใจ สมอง และเครื่องพยุงชีพชั้นสูง</t>
  </si>
  <si>
    <t>รวม 5.ครุภัณฑ์</t>
  </si>
  <si>
    <t>รพ.บ้านฉาง</t>
  </si>
  <si>
    <t>รพ.ปลวกแดง</t>
  </si>
  <si>
    <t>มาบตาพุด</t>
  </si>
  <si>
    <t>รพ.ระยอง</t>
  </si>
  <si>
    <t>ท่าประดู่</t>
  </si>
  <si>
    <t>ทับมา</t>
  </si>
  <si>
    <t xml:space="preserve"> </t>
  </si>
  <si>
    <t>รถพยาบาล(รถตู้)ปริมาตรกระบอกสูบไม่ต่ำกว่า 24000 cc</t>
  </si>
  <si>
    <t>พุทธโสธร</t>
  </si>
  <si>
    <t>ฉช.</t>
  </si>
  <si>
    <t>เครื่องควบคุมการให้สารน้ำทางหลอดลือดดำ</t>
  </si>
  <si>
    <t>เครื่องช่วยหายใจชนิดควบคุมด้วยปริมาตรและความดันพร้อมระบบจ่ายอากาศตามสภาพปอด</t>
  </si>
  <si>
    <t>เครื่องช่วยหายใจชนิดควบคุมด้วยปริมาตรและความดันเคลื่อนย้ายได้</t>
  </si>
  <si>
    <t>ชุดเครื่องมือเจาะตัดกระดูกความเร็วสูงด้วยไฟฟ้า</t>
  </si>
  <si>
    <t>โคมไฟผ่าตัดโคมคู่ขนาดไม่น้อยกว่า 130,000 ลักซ์หลอดฮาโลเจน</t>
  </si>
  <si>
    <t>บางน้ำเปรี้ยว</t>
  </si>
  <si>
    <t>รถบรรทุก (ดีเซล) ขนาด 1 ตัน ปริมาตรกระบอกสูบไม่ต่ำกกว่า 2400 ซีซี. ขับเคลื่อน 2 ล้อ แบบดับเบิ้ลแค็บ</t>
  </si>
  <si>
    <t>เครื่องติดตามการทำงานของหัวใจและสัญญาณชีพอัติโนมัติ</t>
  </si>
  <si>
    <t>เครื่องติดตามการทำงานของหัวใจชนิดรวมศูนย์พร้อมตัวลูก 12 จุด</t>
  </si>
  <si>
    <t>เครื่องติดตามการทำงานของหัวใจ</t>
  </si>
  <si>
    <t>เครื่องดูดเสมหะ</t>
  </si>
  <si>
    <t>ตู้อบเด็กสำหรับลำเลียงทารกแรกคลอด</t>
  </si>
  <si>
    <t>รพ.บางปะกง</t>
  </si>
  <si>
    <t>ชุดอุปกรณ์ช่วยชีวิตทารกแรกเกิด</t>
  </si>
  <si>
    <t>เครื่องเอกซเรย์ทั่วไปขนาดไม่น้อยกว่า500mA.แบบแขวนเพดาน</t>
  </si>
  <si>
    <t>รพ.บางคล้า</t>
  </si>
  <si>
    <t>เครื่องนึ่งฆ่าเชื้อจุลินทรีย์ด้วยไอน้ำระบบอัตโนมัติขนาดไม่น้อยกว่า ๗๐๐ ลิตร(Pre - Post - Vac) ห้องนึ่งทรงกระบอกชนิด ๑ประตู</t>
  </si>
  <si>
    <t xml:space="preserve"> / </t>
  </si>
  <si>
    <t>ยูนิตทำฟัน</t>
  </si>
  <si>
    <t>รพ.สนามชัยเขต</t>
  </si>
  <si>
    <t>เครื่องวัดความดันโลหิตตั้งโต๊ะ</t>
  </si>
  <si>
    <t>เครื่องเอกซเรย์ฟลูโอโรสโคปเคลื่อนที่แบบซีอาร์มกำลังไม่น้อยกว่า 2.2 kw</t>
  </si>
  <si>
    <t>รพ.พนมสารคาม</t>
  </si>
  <si>
    <t>เครื่องเอกเรย์ฟัน</t>
  </si>
  <si>
    <t>รพ.บ้านโพธิ์</t>
  </si>
  <si>
    <t>เครื่องแปลงสัญญานภาพเอกเรย์เป็นดิจิตอล ในปาก</t>
  </si>
  <si>
    <t>ชุดสว่านเจาะและเลื่อยตัดกระดูกมาตรฐาน</t>
  </si>
  <si>
    <t>เครื่องตรวจคลื่นหัวใจพร้อมระบบประมวลผลขนาดกระดาษบันทึกแบบ THERmat</t>
  </si>
  <si>
    <t>เครื่องวัดความดันชนิดตั้งโต๊ะ</t>
  </si>
  <si>
    <t>เครื่องดึงคอและหลังอัตโนมัติพร้อมเตียงปรับระดับได้</t>
  </si>
  <si>
    <t>รพ.แปลงยาว</t>
  </si>
  <si>
    <t>โคมไฟผ่าตัดเล็กขนาดไม่น้อยกว่า 60,000 ลักษ์ ชนิดตั้งพื้น</t>
  </si>
  <si>
    <t>เครื่องกระตุ้นกล้ามเนื้อด้วยไฟฟ้าพร้อมอัลตร้าซาวด์</t>
  </si>
  <si>
    <t>ท่าตะเกียบ</t>
  </si>
  <si>
    <t>เครื่องตรวจสมรรถภาพทารกในครรภ์</t>
  </si>
  <si>
    <t>ชุดทันตกรรมเคลื่อนที่พร้อมเครื่องกรอฟันแบบเคลื่อนที่ได้</t>
  </si>
  <si>
    <t>เครื่องกระตุ้นกล้ามเนื้อด้วยไฟฟ้า</t>
  </si>
  <si>
    <t>หม้อต้มแผงความร้อน</t>
  </si>
  <si>
    <t>เครื่องหัดยืนพร้อมเตียงไฟฟ้า</t>
  </si>
  <si>
    <t>ระบบผลิตน้ำบริสุทธิ์แบบจ่ายตรงขนาดไม่น้อยกว่า 5 หัวจ่าย</t>
  </si>
  <si>
    <t>ราชสาส์น</t>
  </si>
  <si>
    <t>หม้อแช่พาราฟิน</t>
  </si>
  <si>
    <t>ชุดทันตกรรมเคลื่อนที่พร้อมเก้าอี้สนามและโคมไฟ 1ชุด</t>
  </si>
  <si>
    <t>เครื่องเอ็กซเรย์ฟัน</t>
  </si>
  <si>
    <t>เครื่องตรวจคลื่นไฟฟ้าหัวใจพร้อมระบบประมวลผลจัดเก็บภาพ dicom หรือส่งเข้าระบบ Pacs 2 เครื่อง150,000×2</t>
  </si>
  <si>
    <t>เครื่องติดตามการทำงานของหัวใจและสัญญาณชีพอัตโนมัติ</t>
  </si>
  <si>
    <t>รถบรรทุก(ดีเซล)ขนาด 1 ตัน ปริมาตรกระบอกสูบไม่ต่ำกว่า 2400 cc ขับเคลื่อนสองล้อแบบดับเบิ้ลแค็ป</t>
  </si>
  <si>
    <t>รพ.คลองเขื่อน</t>
  </si>
  <si>
    <t>เครื่องวัดความดันโลหิตอัตโนมัติชนิดตั้งโต๊ะ</t>
  </si>
  <si>
    <t>เครื่องกระตุ๊กหัวใจไฟฟ้าชนิด ไบเฟสิคพร้อมภาควัดคาร์บอนไดออคไซต์</t>
  </si>
  <si>
    <t>เครื่องบันทึกคลื่นไฟฟ้าหัวใจ</t>
  </si>
  <si>
    <t>รถบรรทุก (ดีเซล) ขนาด 1 ตัน ปริมาตรกระบอกสูบไม่ต่ำกว่า 2400 ซีซี. ขับเคลื่อน 2 ล้อ แบบมีช่องว่างด้านหลังคนขับ (CAB)</t>
  </si>
  <si>
    <t>เครื่องอบผ้า ขนาดไม่น้อยกว่า 200 ปอนด์</t>
  </si>
  <si>
    <t>เครื่องกระตุ้นกล้ามเนื้อด้วยไฟฟ้า พร้อมอัลต้าซาว</t>
  </si>
  <si>
    <t>เครื่องช่วยหายใจสำหรับทารกแรกเกิด</t>
  </si>
  <si>
    <t>กล้องส่องตรวจกระเพาะอาหาร ลำไส้</t>
  </si>
  <si>
    <t>เครื่องช่วยหายใจสำหรับทารกแรกเกิดชนิดความถี่สูง</t>
  </si>
  <si>
    <t>เครื่องดมยาสลบชนิดซับซ้อน 3 แก๊สพร้อมเครื่องช่วยหายใจและเครื่องติดตามการทำงานของหัวใจและวิเคราะห์แก๊สระหว่างดมยาสลบ</t>
  </si>
  <si>
    <t>เครื่องควบคุมการให้สารน้ำทางหลอดลือดดำชนิดกระบอกฉีดยา</t>
  </si>
  <si>
    <t>เครื่องซักผ้าขนาดไม่น้อยกว่า ๒๐๐ ปอนด์</t>
  </si>
  <si>
    <t>เครื่องแปลงสัญญานภาพเอ็กซเรย์เป็นดิจิตอลในช่องปาก</t>
  </si>
  <si>
    <t>เครื่องส่องเด็กตัวเหลืองแบบสองด้าน</t>
  </si>
  <si>
    <t>เครื่องช่วยหายใจชนิดเคลื่อนย้ายได้สำหรับรถพยาบาล</t>
  </si>
  <si>
    <t>รถโดยสารขนาด 12 ที่นั่ง (ดีเซล) ปริมาตรกระบอกสูบไม่ต่ำกว่า 2400 ซีซี</t>
  </si>
  <si>
    <t>เคร่องวัดความดันโลหิตแบบสอดแขนอัตโนมัติ</t>
  </si>
  <si>
    <t>เครื่องวัดออกซิเจนในเลือดชนิดพกพา</t>
  </si>
  <si>
    <t>เครื่องฟังเสียงหัวใจทารกในครรภ์</t>
  </si>
  <si>
    <t>เครื่องกระตุกหัวใจไฟฟ้าชนิดไบเฟสิคพร่อมภาควัดออกซิเจนในเลือด</t>
  </si>
  <si>
    <t>เครื่องอบผ้าขนาดไม่น้อยกว่า100ปอนด์</t>
  </si>
  <si>
    <t xml:space="preserve">เครื่องวัดความดันโลหิตชนิดสอดแขน   จำนวน 4 เครื่องๆละ 70,000× 4 </t>
  </si>
  <si>
    <t>เครื่องช่วยหายใจชนิดเคลื่อนย้ายได้ในรถRefer</t>
  </si>
  <si>
    <t>เครื่องส่องรักษาทารกตัวเหลืองแบบ  2 ด้าน</t>
  </si>
  <si>
    <t>รถยนต์ตรวจการดีเซลแบบขับเคลื่อน 4 ล้อ</t>
  </si>
  <si>
    <t>รถจักรยานยนต์ขนาด 110 ซีซีแบบเกียร์อัตโนมัติ</t>
  </si>
  <si>
    <t>เครื่องวัดความดันโลหิตแบบสอดแขนชนิดอัตโนมัติ</t>
  </si>
  <si>
    <t>เครื่องทำน้ำร้อน - น้ำเย็น แบบต่อท่อ ขนาด 2 ก๊อก</t>
  </si>
  <si>
    <t>ตู้เย็นขนาดความจุไม่น้อยกว่า 13 คิวบิกฟุต</t>
  </si>
  <si>
    <t>เครื่องควบคุมการให้สารละลายทางหลอดเลือดดำ</t>
  </si>
  <si>
    <t>เตียงคลอดปรับระดับไฟฟ้า</t>
  </si>
  <si>
    <t>เครื่องดูดเสมหะ  2 เครื่อง</t>
  </si>
  <si>
    <t>เคริ่องติดตามการทำงานของหัวใจและสัญญาณชีพอัตโนมัติ</t>
  </si>
  <si>
    <t>เครื่องตรวจอวัยวะภายในด้วยคลื่นเสียงความถี่สูงชนิดหิ้วถือ 2 หัวตรวจ</t>
  </si>
  <si>
    <t>เครื่องควบคุมการให้สารน้ำทางหลอดเลือด 4 เครื่อง</t>
  </si>
  <si>
    <t>เครื่องทำลายเอกสาร</t>
  </si>
  <si>
    <t>เครื่องดูดฝุ่นขนาด 25 ลิตร</t>
  </si>
  <si>
    <t>เครื่องฟอกอากาศแบบผังใต้เพดาน ขนาดความเร็วของแรงลมระดับสูง500 CFM</t>
  </si>
  <si>
    <t>เตียงเคลื่อนย้ายผู้ป่วยปรับระดับไฮโดรลิค</t>
  </si>
  <si>
    <t xml:space="preserve">เตียงตรวจโรคทั่วไป  </t>
  </si>
  <si>
    <t>เครื่องแสกนนิ้วมือ ชนิดบันทึกเวลาเข้าออก</t>
  </si>
  <si>
    <t>ถังน้ำแบบไฟเบอร์กลาสขนาดที่จุน้ำ ไม่น้อยกว่า2000 ลิตร</t>
  </si>
  <si>
    <t>เครื่องกระตุกไฟฟ้าหัวใจชนิดอัตโนมัติ ( AED )</t>
  </si>
  <si>
    <t>เครื่องพิมพ์สำเนาระบบดิจิตอล ความละเอียด 400*400จุดตางรางนิ้ว</t>
  </si>
  <si>
    <t>ชุดอุปกรณ์ช่วยชีวิตทารกแรกคลอด</t>
  </si>
  <si>
    <t>เครื่องล้างเครื่องมืออัตโนมัติขนาดไม่น้อยกว่า ๒๕๐ ลิตร</t>
  </si>
  <si>
    <t>กล้องถ่ายจอประสาทตาดิจิตอล</t>
  </si>
  <si>
    <t>เครื่องควบคุมการให้สารน้ำทางหลอดเลือดดำ 1 สาย</t>
  </si>
  <si>
    <t>เครื่องทดสอบการได้ยิน OAE</t>
  </si>
  <si>
    <t>เครื่องตรวจคลื่นไฟฟ้าหัวใจพร้อมระบบประมวลผลขนาดกระดาษบันทึกแบบThermalไม่น้อยกว่าA4</t>
  </si>
  <si>
    <t>รถโดยสาร12 ที่นั่งดีเซล ปริมาตรกระบอกสูบไม่ต่ำกว่า2400ซีซี</t>
  </si>
  <si>
    <t>เครื่องนึ่งฆ่าเชื้อจุลินทรีย์ด้วยไอน้ำระบบอัตโนมัติขนาดไม่น้อยกว่า700ลิตร(Pre-Post Vac) ชนิด 2 ประตู</t>
  </si>
  <si>
    <r>
      <t>เครื่องซักผ้าขนาดไม่น้อยกว่า</t>
    </r>
    <r>
      <rPr>
        <sz val="13"/>
        <rFont val="TH SarabunIT๙"/>
        <family val="2"/>
      </rPr>
      <t xml:space="preserve"> 125ปอนด์</t>
    </r>
  </si>
  <si>
    <t xml:space="preserve">เครื่องส่องรักษาทารกตัวเหลืองแบบด้านเดียว </t>
  </si>
  <si>
    <t>รถเข็นจ่ายหอผู้ป่วยผู้ป่วย</t>
  </si>
  <si>
    <t>เครื่องตรวจ ABG</t>
  </si>
  <si>
    <t>เครื่องสูบน้ำแบบหอยโข่ง เครื่องยนต์ดีเซลสูบน้ำได้ไม่น้อยกว่า 1750 ลิตรต่อนาที</t>
  </si>
  <si>
    <t>เครื่องทำน้ำเย็นแบบต่อท่อขนาด 2 ก็อก</t>
  </si>
  <si>
    <t>ตู้เย็นขนาดความจุไม่น้อยกว่า 16 คิวบิกฟุต</t>
  </si>
  <si>
    <t>เครื่องปรับอากาศชนิดแยกส่วน ชนิดแขวน มีระบบฟอกอากาศขนาดไม่ต่ำกว่า 30000 BTU</t>
  </si>
  <si>
    <t xml:space="preserve">โทรทัศน์แอลอีดี ระดับความละเอียดจอภาพ 1920*1080 พิกเซล 46 นิ้ว </t>
  </si>
  <si>
    <t>เครื่องวัดออกซิเจนในเลือดอัตโนมัติชนิดพกพา</t>
  </si>
  <si>
    <t>เครื่องพ่นยาแบบใช้แรงดันของเหลวชนิดตั้ง ขนาดไม่ต่ำกว่า 3.5 แรงม้า</t>
  </si>
  <si>
    <t>เครื่องขัดพื้น</t>
  </si>
  <si>
    <t>เครื่องจี้ห้ามเลือดและตัดเนื่อเยื่อด้วยไฟฟ้า ขนาดไม่น้อยกว่า 60 วัตต์</t>
  </si>
  <si>
    <t>รถเข็นอุปกรณ์</t>
  </si>
  <si>
    <t>ชุดจ่ายลมสำหรับสว่านลม</t>
  </si>
  <si>
    <t>เครื่องสลายต้อกระจกด้วยคลื่นความถี่สูง</t>
  </si>
  <si>
    <t>เครื่องกระตุกไฟฟ้าหัวใจชนิดไบเฟสิคแบบจอสีพร้อมภาควัดคาร์บอนไดออกไซด์</t>
  </si>
  <si>
    <t>เครื่องอบความร้อนคลื่นสั้น</t>
  </si>
  <si>
    <t>เครื่องจี้ห้ามเลือดและตัดเนื้อเยื่อด้วยไฟฟ้าขนาดไม่น้อยกว่า ๓๐๐ วัตต์</t>
  </si>
  <si>
    <t>รถพยาบาล(ตู้)</t>
  </si>
  <si>
    <t>เครื่องอบผ้าขนาดไม่น้อยกว่า ๒๐๐ ปอนด์</t>
  </si>
  <si>
    <t>โคมไฟผ่าตัดใหญ่โคมคู่ขนาดไม่น้อยกว่า ๑๓๐๐๐๐ ลักซ์หลอดฮาโลเจน</t>
  </si>
  <si>
    <t>เครื่องตรวจคลื่นไฟฟ้าหัวใจพร้อมระบบประมวลผล จัดเก็บภาพ dicom หรือส่งเข้าระบบ Pacs</t>
  </si>
  <si>
    <t>รถยนต์ตรวจการเบนซินแบบขับเคลื่อน 4 ล้อ</t>
  </si>
  <si>
    <t>เครื่องช่วยกระบวนการปั๊มและฟื้นคืนชีพ</t>
  </si>
  <si>
    <t>เครื่องถ่ายเอกสารระบบดิจิตอล(ขาว-ดำ-สี)ความเร็วในการจ่ายไม่ต่ำกว่า50 แผ่นต่อนาที</t>
  </si>
  <si>
    <t>เครื่องแปลงสัญญานภาพเอกซเรย์เป็นดิจิตอลในช่องปาก</t>
  </si>
  <si>
    <t>รถยนต์ตรวจการดีเซลแบบขับเคลื่อน 2 ล้อ</t>
  </si>
  <si>
    <t>รพ.ท่าตะเกียบ</t>
  </si>
  <si>
    <t>เครื่องควบคุมการให้สารน้ำทางหลอดเลือดดำชนิด 1 สาย รวม 2เครื่อง</t>
  </si>
  <si>
    <t>เครื่องกระตุกไฟฟ้าหัวใจชนิดไบเฟติกพร้อมภาควัดออกซิเจนในเลือด</t>
  </si>
  <si>
    <t>เครื่องล้างเครื่องมืออัตโนมัติขนาดไม่น้อยกว่า 150 ลิตร</t>
  </si>
  <si>
    <t>ตู้เย็นขนาดความจุไม่น้อยกว่า 9 คิวบิกฟุต</t>
  </si>
  <si>
    <t>เตาอบไมโครเวฟ</t>
  </si>
  <si>
    <t>เครื่องปรับอากาศชนิดแยกส่วน ชนิดแขวน มีระบบฟอกอากาศขนาดไม่ต่ำกว่า 18000 BTU</t>
  </si>
  <si>
    <t>ถังน้ำแบบไฟเบอร์กลาสขนาดที่จุน้ำ ไม่น้อยกว่า2500 ลิตร</t>
  </si>
  <si>
    <t>เครื่องเอกซเรย์ฟัน</t>
  </si>
  <si>
    <t>เครื่องซักผ้า</t>
  </si>
  <si>
    <t>เครื่องเอกซเรย์ฟลูโอโรโสคปเครื่องที่แบบซีอาร์มกำลังไม่น้อยกว่า 15 kw</t>
  </si>
  <si>
    <t xml:space="preserve"> เครื่องตรวจ  ABG</t>
  </si>
  <si>
    <t>หุ่นจำลองฝึกทำคลอดและฝึกตัดเย็บพร้อมทารกและอุปกรณ์ดันศรีษะแบบเต็มตัว</t>
  </si>
  <si>
    <t>ระบบผลิดน้ำบริสุทธิ์แบบจ่ายตรงขนาดไม่น้อยกว่า 10 หัวจ่าย</t>
  </si>
  <si>
    <t>เครื่องวัดความดันแบบสอดแขนอัตโนมัติ</t>
  </si>
  <si>
    <t>เครื่องตรวจอวัยวะภายในด้วยคลื่นเสียงความถี่สูงชนิดสี 2หัวตรวจ</t>
  </si>
  <si>
    <t>เครื่องมัลติมีเดียโปรเจคเตอร์ระดับXGA ขนาดไม่น้อยกว่า 3,500 ANSI  Lumens</t>
  </si>
  <si>
    <t>รพ.ราชสาส์น</t>
  </si>
  <si>
    <t>หม้อต้มแผ่นความร้อน</t>
  </si>
  <si>
    <t>เครื่องซักผ้าขนาดไม่น้อยกว่า 125 ปอนด์</t>
  </si>
  <si>
    <t>รถพยาบาลฉุกเฉิน (รถกระบะ)ปริมาตรกระบอกสูบไม่ต่ำกว่า 2400 ซีซี             ขับเคลื่อน  4 ล้อ</t>
  </si>
  <si>
    <t>เครื่องตรวจอวัยวะภายในด้วยคลื่นเสียงความถี่สูง ชนิด 2 หัวตรวจ</t>
  </si>
  <si>
    <t>เตียงผ่าตัดผู้ป่วยทั่วไป</t>
  </si>
  <si>
    <t>เครื่องตัดหญ้าแบบข้ออ่อน</t>
  </si>
  <si>
    <t>เครื่องชั่งน้ำหนัก</t>
  </si>
  <si>
    <t>ชุดช่วยเหลือเด็ก</t>
  </si>
  <si>
    <t>รถเข็นนอน</t>
  </si>
  <si>
    <t xml:space="preserve">เครื่องดมยาสลบชนิด ๓แก๊ส พร้อมเครื่องช่วยหายใจและเครื่องติดตามการทำงานของหัวใจ </t>
  </si>
  <si>
    <t>Defibrillator (เครื่องกระตุกไฟฟ้าหัวใจชนิดไบเฟสิคพร้อมภาควัดออกซิเจนในเลือด)</t>
  </si>
  <si>
    <t>เครื่องส่องรักษาทารกตัวเหลืองแบบสองด้าน</t>
  </si>
  <si>
    <t>โคมไฟฟ้าผ่าตัดใหญ่โคมคู่ขนาดไม่น้อยกว่า 130000 ลักซ์ฮาโลเจน</t>
  </si>
  <si>
    <t>รถบรรทุก(ดีเซล)ขนาด1 ตัน แบบดับเบิ้ลแค็บ</t>
  </si>
  <si>
    <t>สสอ.พนมสารคาม</t>
  </si>
  <si>
    <t>สสอ.บ้านโพธิ์</t>
  </si>
  <si>
    <t>สสอ.ท่าตะเกียบ</t>
  </si>
  <si>
    <t>รพ.สต.บ้านไทรทอง</t>
  </si>
  <si>
    <t>รพ.สต.เมืองใหม่</t>
  </si>
  <si>
    <t>รพ.สต.ดอนทราย</t>
  </si>
  <si>
    <t>รพ.สต.บ้านห้วยพลู</t>
  </si>
  <si>
    <t>สอ.ต.สองคลอง</t>
  </si>
  <si>
    <t>รพ.สต.คลองประเวศ</t>
  </si>
  <si>
    <t>สอ.ต.พิมพา</t>
  </si>
  <si>
    <t>สอ.แสมขาว</t>
  </si>
  <si>
    <t>สอ.ต.เขาดิน</t>
  </si>
  <si>
    <t>สอ.ต.บางผึ้ง</t>
  </si>
  <si>
    <t>รพ.สต.บางกรูด</t>
  </si>
  <si>
    <t>ยูนิดทำฟันสำหรับงานพื้นฐาน</t>
  </si>
  <si>
    <t>รพ.สต.บ้านนาโพธิ์</t>
  </si>
  <si>
    <t>รพ.สต.บ้านกระบกเตี้ย</t>
  </si>
  <si>
    <t>ยูนิตทำฟันเคลื่อนย้ายได้</t>
  </si>
  <si>
    <t>รพ.สต.บ้านนายาว</t>
  </si>
  <si>
    <t>รพ.สต.บ้านโปร่งเจริญ</t>
  </si>
  <si>
    <t>รพ.สต.ทุ่งพระยา</t>
  </si>
  <si>
    <t>รพ.สต.บ้านโปร่งเกตุ</t>
  </si>
  <si>
    <t>รพ.สต.บ้านกม.7</t>
  </si>
  <si>
    <t>รพ.สต.ก้อนแก้ว</t>
  </si>
  <si>
    <t>รพ.สต.คลองเขื่อน หมู่ที่ 3</t>
  </si>
  <si>
    <t>รพ.สต.บางตลาด</t>
  </si>
  <si>
    <t>เครื่องนึ่ง/อบ/ฆ่าเชื้อ (ออโต้เครป)</t>
  </si>
  <si>
    <t>รพ.สต.บางสวน</t>
  </si>
  <si>
    <t>รพ.สต.บ้านโคกตะเคียนงาม</t>
  </si>
  <si>
    <t>รพ.สต.บ้านชำป่างาม</t>
  </si>
  <si>
    <t>รพ.สต.บ้านสระไม้แดง</t>
  </si>
  <si>
    <t>รพ.สต.แหลมประดู่</t>
  </si>
  <si>
    <t>รพ.สต.ลาดขวาง</t>
  </si>
  <si>
    <t>รพ.สต.เทพราช</t>
  </si>
  <si>
    <t>รพ.สต.คลองอุดม</t>
  </si>
  <si>
    <t>รพ.พุทธโสธร</t>
  </si>
  <si>
    <t>รพ.บางน้ำเปรี้ยว</t>
  </si>
  <si>
    <t>เครื่องติดตามการทำงานของหัวใจชนิดรวมศูนย์
พร้อมตัวลูก 12 จุด</t>
  </si>
  <si>
    <t xml:space="preserve">เขตสุขภาพ ที่ 6 </t>
  </si>
  <si>
    <t>เป้าหมายทั้งเขต 5 ปี ขยาย 1,800 เตียง</t>
  </si>
  <si>
    <t>ส่วนขาด</t>
  </si>
  <si>
    <t>Bed/ปี</t>
  </si>
  <si>
    <t>5 ปี</t>
  </si>
  <si>
    <t>สป</t>
  </si>
  <si>
    <t>รพ</t>
  </si>
  <si>
    <t>ขยาย</t>
  </si>
  <si>
    <t>บางพลี</t>
  </si>
  <si>
    <t>บางบ่อ</t>
  </si>
  <si>
    <t>บางจาก</t>
  </si>
  <si>
    <t>พสม.</t>
  </si>
  <si>
    <t xml:space="preserve">วิธีคิด  : พิจารณาจากอัตราการครองเตียง </t>
  </si>
  <si>
    <t>จำนวนเตียงไม่เกิน</t>
  </si>
  <si>
    <t xml:space="preserve"> 1 ปี</t>
  </si>
  <si>
    <t xml:space="preserve"> 5 ปี</t>
  </si>
  <si>
    <t>F(1-3)</t>
  </si>
  <si>
    <t>ปี 2561- 2565</t>
  </si>
  <si>
    <t xml:space="preserve">เพิ่มจำนวนเตียง ICU  ตามเกณฑ์ร้อยละ 10 ของเตียงIPDทั้งหมด  โดยพิจารณาเฉพาะ A/ S/M1/M2  ตามมติที่ประชุม  </t>
  </si>
  <si>
    <t>ขนาด
600=1</t>
  </si>
  <si>
    <t>หมายเหตุ : มติที่ประชุม ให้พิจารณาเป็นการปรับปรุงสถานที่ / ขออาคารใหม่  ให้ระบุความจำเป็นพร้อมเหตุผลประกอบ</t>
  </si>
  <si>
    <t>โดย เน้นให้M1  /M2 / ศสม.เขตเมือง สามารถดูแลผู้รับบริการในพื้นที่ลดความแออัดในรพศ./รพท.</t>
  </si>
  <si>
    <t>พร้อมระบุชื่ออาคาร ตามบัญชีรายการสบรส.ประกอบ</t>
  </si>
  <si>
    <t>เครื่องช่วยหายใจสำหรับทารก   แรกเกิด</t>
  </si>
  <si>
    <t>แหลมฉบัง</t>
  </si>
  <si>
    <t>ศรีราชา</t>
  </si>
  <si>
    <t>ทุ่งสุชลา</t>
  </si>
  <si>
    <t>เครื่องอบฆ่าเชื้ออัตโนมัติ  ชนิดอุณหภูมิต่ำด้วยแก๊สแอทธิลีนออกไซด์ 100 % แบบเจาะแก๊สอัตโนมัติขนาดความจุ  ไม่น้อยกว่า 450 ลิตร</t>
  </si>
  <si>
    <t>โคมไฟผ่าตัดใหญ่  โคมคู่ขนาดไม่น้อยกว่า 130,000 ลักซ์  หลอดแอลอีดี 1,450,000*จำนวน 2 อัน</t>
  </si>
  <si>
    <t>เตียงผ่าตัดทั่วไป  ระบบไฟฟ้าพร้อมรีโมทคอนโทรล</t>
  </si>
  <si>
    <t>เครื่องช่วยหายใจชนิดควบคุมด้วยปริมาตรและความดันพร้อมเครื่องอัดอากาศ (เครื่องละ850,000บาท)*2เครื่อง</t>
  </si>
  <si>
    <t>พนัสนิคม</t>
  </si>
  <si>
    <t>กุฎโง้ง</t>
  </si>
  <si>
    <t>เครื่องควบคุมอุณหภูมิในร่างกาย Hyperthemia</t>
  </si>
  <si>
    <t xml:space="preserve"> เครื่องติดตามการทำงานของหัวใจและสัญญาณชีพระบบรวมศูนย์ไม่น้อยกว่า 8 เตียง </t>
  </si>
  <si>
    <t xml:space="preserve"> ตู้อบเด็ก </t>
  </si>
  <si>
    <t xml:space="preserve"> เครื่องส่องรักษาทารกตัวเหลืองแบบสองด้าน (เครื่องละ160,000บาท*3เครื่อง)</t>
  </si>
  <si>
    <t>เครื่องให้ความอบอุ่นพร้อมอุปกรณ์ช่วยชีวิตทารกแรกเกิด(Rediant Warmer)</t>
  </si>
  <si>
    <t>เครื่องบันทึกการบีบตัวของมดลูกและการเต้นของหัวใจทารกในครรภ์(NST) เครื่องละ 400,000บาท*2เครื่อง</t>
  </si>
  <si>
    <t xml:space="preserve"> เครื่องวัดความดันอัตโนมัติสำหรับทารกแรกคลอด </t>
  </si>
  <si>
    <t xml:space="preserve"> เครื่องเลเซอร์เบาหวานจอตาแบบแพทเทิน </t>
  </si>
  <si>
    <t xml:space="preserve"> เครื่องตรวจวัดลานสายตาดิจิตอล </t>
  </si>
  <si>
    <t xml:space="preserve"> เครื่องวิเคราะห์ขั้วประสาทตา </t>
  </si>
  <si>
    <t xml:space="preserve"> เครื่องควบคุมการให้สารน้ำทางหลอดเลือดดำชนิด 1 สาย (เครื่องละ 60,000บาท)*3เครื่อง*4ปี</t>
  </si>
  <si>
    <t xml:space="preserve"> เครื่องควบคุมการให้สารละลายโดยใช้กระบอกฉีด (เครื่องละ 60,000บาท)*1เครื่อง*4ปี</t>
  </si>
  <si>
    <t>เครื่องช่วยหายใจทารกแบบเคลื่อนที่ขณะRefer</t>
  </si>
  <si>
    <t xml:space="preserve"> เครื่องรับสัญญาณภาพเอกซเรย์เป็นดิจิตอล ชนิดชุดรับภาพแฟลตพาแนลมีสาย </t>
  </si>
  <si>
    <t>กล้องส่องตรวจลำไส้ใหญ่แบบคมชัดพร้อมชุดควบคุมสัญญาณภาพ</t>
  </si>
  <si>
    <t>บ้านบึง</t>
  </si>
  <si>
    <t>กล้องส่องตรวจและผ่าตัดภายในช่องท้องและลำไส้ใหญ่พร้อมระบบวีดีทัศน์</t>
  </si>
  <si>
    <t>เตียงตรวจภายในไฟฟ้า</t>
  </si>
  <si>
    <t>เครื่องติดตามการทำงานของหัวใจและสัญญาณชีพ  ระบบรวมศูนย์ไม่น้อยกว่า 8 เตียง</t>
  </si>
  <si>
    <t>เครื่องช่วยหายใจชนิดควบคุมด้วยปริมาณ  และความดัน</t>
  </si>
  <si>
    <t>เครื่องช่วยหายใจชนิดควบคุมด้วยปริมาณ  และความดัน  เคลื่อนย้ายได้</t>
  </si>
  <si>
    <t>เครื่องควบคุมอุณหภูมิร่างกาย Hypo-Hyperthermia สำหรับผู้ใหญ่</t>
  </si>
  <si>
    <t>เตียงผู้ป่วยสำหรับ ICU  ปรับด้วยไฟฟ้า  ชนิด 4 moter  จำนวน 4 เตียง ราคา 520,000 บาท * 3 ปี</t>
  </si>
  <si>
    <t xml:space="preserve"> เครื่องเอกซเรย์เคลื่อนที่ขนาดไม่น้อยกว่า 300 mA.ขับเคลื่อนด้วยมอเตอร์ไฟฟ้า </t>
  </si>
  <si>
    <t>เครื่องเอกซเรย์เคลื่อนที่ขนาดไม่น้อยกว่า300  MA ขับเคลื่อนด้วยมอเตอร์ไฟฟ้า</t>
  </si>
  <si>
    <t>เครื่องเอกซเรย์ฟลูออโรสโคปเคลื่อนที่แบบซีอาร์มกำลังไม่น้อยกว่า 15 KW</t>
  </si>
  <si>
    <t>เครื่องช่วยหายใจชนิดควบคุมปริมาตรและความดัน จำนวน  3 เครื่อง ๆ ละ800,000  บาท</t>
  </si>
  <si>
    <t>ตู้อบเด็ก  จำนวน  2 ตู้  ๆ  ละ  550,000 บาท</t>
  </si>
  <si>
    <t>เครื่องนึ่งฆ่าเชื้อจุลินทรีย์ด้วยไอน้ำระบบอัตโนมัติ ขนาดไม่น้อยกว่า 560 ลิตร(Pre-Post Vac) ห้องนึ่งทรงสี่เหลี่ยมชนิด 1 ประตู</t>
  </si>
  <si>
    <t>เครื่องอบฆ่าเชื้ออัตโนมัติชนิดอุณหภูมิต่ำด้วยแก๊สเอทธิลีนออกไซด์ 100%  แบบเจาะแก๊ซอัตโนมัติ ขนาดความจุไม่น้อยกว่า 240 ลิตร</t>
  </si>
  <si>
    <t>เครื่องล้างเครื่องมืออัตโนมัติขนาดไม่น้อยกว่า 350 ลิตร</t>
  </si>
  <si>
    <t>สัตหีบ กม.10</t>
  </si>
  <si>
    <t xml:space="preserve">สัตหีบ </t>
  </si>
  <si>
    <t>พลูตาหลวง</t>
  </si>
  <si>
    <t>รถโดยสารขนาด 12 ที่นั่ง(ดีเซล)ปริมาตรกระบอกสูบ ไม่ต่ำกว่า 2400 ซีซี</t>
  </si>
  <si>
    <t>พานทอง</t>
  </si>
  <si>
    <t>เตียงผ่าตัดทั่วไประบบไฟฟ้าพร้อมมีรีโมทคอนโทล</t>
  </si>
  <si>
    <t>เครื่องล้างเครื่องมืออัติโนมัติขนาดไม่น้อยกว่า350 ลิตร</t>
  </si>
  <si>
    <t>ตู้อบเด็ก Radient Warmmer</t>
  </si>
  <si>
    <t>รพ.วัดญาณฯ</t>
  </si>
  <si>
    <t>ห้วยใหญ่</t>
  </si>
  <si>
    <t>เครื่องซักผ้า 50 ปอนด์</t>
  </si>
  <si>
    <t>เครื่องอบผ้า 50 ปอนด์</t>
  </si>
  <si>
    <t xml:space="preserve"> เครื่องนึ่งฆ่าเชื้อจุลินทรีย์ด้วยไอน้ำระบบอัตโนมัติขนาดไม่น้อยกว่า 560 ลิตร</t>
  </si>
  <si>
    <t xml:space="preserve"> เครื่องล้างเครื่องมืออัตโนมัติขนาดไม่น้อยกว่า 250 ลิตร </t>
  </si>
  <si>
    <t>เกาะจันทร์</t>
  </si>
  <si>
    <t>รถเข็นจ่ายยาหอผู้ป่วยใน</t>
  </si>
  <si>
    <t>กบไฟฟ้าขนาด 8 นิ้ว</t>
  </si>
  <si>
    <t>เครื่องตัดหญ้าแบบเข็น</t>
  </si>
  <si>
    <t>กล้องถ่ายภาพจอประสาทตาdigital</t>
  </si>
  <si>
    <t>รพ.หนองใหญ่</t>
  </si>
  <si>
    <t>หนองใหญ่</t>
  </si>
  <si>
    <t>เครื่องตรวจอวัยวะภายในด้วยคลื่นเสียง
ความถี่สูงชนิดสี 2หัวตรวจ</t>
  </si>
  <si>
    <t>เครื่องกระตุกหัวใจชนิดไบเฟสิกแบบจอสีพร้อมภาควัดคาร์บอนไดออกไซค์และออกซิเจน</t>
  </si>
  <si>
    <t>รถพยาบาล(รถตู้)ปริมาตรกระบอกสูบไม่ต่ำกว่า2,400ซีซี</t>
  </si>
  <si>
    <t>เครื่องติดตามการทำงานของหัวใจและสัญญาณชีพการทำงานของหัวใจอัตโนมัติระดับกลาง</t>
  </si>
  <si>
    <t>เครื่องกระตุ้นกล้ามเนื้อดด้วยไฟฟ้าพร้อมอัลตราซาวด์</t>
  </si>
  <si>
    <t>ตู้เย็นเก็บเลือดขนาดไม่น้อยกว่า20 คิว</t>
  </si>
  <si>
    <t>เครื่องนึ่งฆ่าเชื้อจุลินทรีย์ด้วยไอน้ำระบบอัตโนมัติขนาดไม่น้อยกว่า700ลิตร ห้องนึ่งทรงกกระบอกชนิด 1 ประตู</t>
  </si>
  <si>
    <t>เครื่องอบผ้าขนาดไม่น้อยกว่า200ปอนด์</t>
  </si>
  <si>
    <t>เครื่องเอกซเรย์เคลื่อนที่ขนาดไม่น้อยกว่า300mA ขับเคลื่อนด้วยมอเตอร์ไฟฟ้า</t>
  </si>
  <si>
    <t>รถบรรทุก(ดีเซล)ขนาด1ตันปริมาตรกระบอกสูบไม่ต่ำกว่า2,400ซีซีขับเคลื่อน2ล้อแบบดับเบิ้ลแค็บ พร้อมหลังคาไฟเบอร์กลาสหรือเหล็ก</t>
  </si>
  <si>
    <t>จักรอุตสาหกรรมแบบเย็บผ้า</t>
  </si>
  <si>
    <t>เครื่องซักผ้าขนาดไม่น้อยกว่า125ปอนด์</t>
  </si>
  <si>
    <t>รถยนต์ตรวจการดีเซลแบบขับเคลื่อน2ล้อ</t>
  </si>
  <si>
    <t>รถโดยสารขนาด12ที่นั่ง(ดีเซล)ปริมาตรกระบอกสูบไม่ต่ำกว่า2,400ซีซี</t>
  </si>
  <si>
    <t>รถพยาบาล(รถตู้)ปริมาตรกระบอกสูบไม่ต่ำกว่า2400ซีซี</t>
  </si>
  <si>
    <t>รถพยาบาลโครงสร้างปลอดภัย เคลือบสารต้านจุลชีพ ขนาดกลาง</t>
  </si>
  <si>
    <t>เครื่องวัดแรงบีบมือ</t>
  </si>
  <si>
    <t xml:space="preserve"> รถพยาบาล(รถตู้) ปริมาตรกระบอกสูบไม่ต่ำกว่า 2,400 ซีซี. </t>
  </si>
  <si>
    <t>รถเข็นขนิดนอน</t>
  </si>
  <si>
    <t>รถเข็นชนิดนั่ง</t>
  </si>
  <si>
    <t>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</t>
  </si>
  <si>
    <t>เครื่องควบคุมการให้สารนำทางหลอดเลือดดำชนิด1สาย</t>
  </si>
  <si>
    <t>เครื่องควบคุมการให้สารละลายโดยใช้กระบอกฉีด</t>
  </si>
  <si>
    <t xml:space="preserve">ภาพรวมทั้งเขต </t>
  </si>
  <si>
    <t>สรุปวงเงินครุภัณฑ์ เขตสุขภาพที่ 6  ปี 2561-2565</t>
  </si>
  <si>
    <t xml:space="preserve">1000ล้าน 5ปี  </t>
  </si>
  <si>
    <t>200ล้าน/ปี</t>
  </si>
  <si>
    <t>ปี 2561</t>
  </si>
  <si>
    <t>ปี 2562</t>
  </si>
  <si>
    <t>ปี 2563</t>
  </si>
  <si>
    <t>ปี 2564</t>
  </si>
  <si>
    <t>ปี 2565</t>
  </si>
  <si>
    <t>1. จัดสรรให้ตามความจำเป็นเบื้องต้นจังหวัดละ 10 ล้าน / ปี</t>
  </si>
  <si>
    <t>2. วงเงิน 120 ล้านบาท/ ปี คิดตามสัดส่วนประชากรโดยใช้ข้อมูลประชากรกลางปี 2557 (ตามข้อมูลสบรส.) ดังนี้</t>
  </si>
  <si>
    <t>ปชก.กลางปี 57 (สบรส.)</t>
  </si>
  <si>
    <t>วงเงินจัดสรร</t>
  </si>
  <si>
    <t>รวมเขต 6</t>
  </si>
  <si>
    <t>เท่ากันจว.ละ10 ล้าน</t>
  </si>
  <si>
    <t>รวมวงเงิน</t>
  </si>
  <si>
    <t xml:space="preserve"> รวม 5 ปี</t>
  </si>
  <si>
    <t>เครื่องช่วยหายใจชนิดควบคุมด้วยปริมาตรและความดันพร้อมระบบการจ่ายอากาศตามสภาพปอด</t>
  </si>
  <si>
    <t>รพร.สระแก้ว</t>
  </si>
  <si>
    <t>เครื่องเอ๊กซเรย์ที่ใช้ในห้องผ่าตัดแบบตัว C (C-ARM)สำหรับห้องผ่าตัด</t>
  </si>
  <si>
    <t>เครื่องตรวจคลื่นไฟฟ้ากล้ามเนื้อและระบบประสาท   (Electromyography: EMG)</t>
  </si>
  <si>
    <t>on line HDF</t>
  </si>
  <si>
    <t>เครื่องช่วยหายใจทารกและเด็กชนิดปริมาตรและความดัน</t>
  </si>
  <si>
    <t>เครื่องดมยาสลบ อุปกรณ์</t>
  </si>
  <si>
    <t>เตียงผ่าตัดทั่วไประบบไฟฟ้าพร้อมรีโมทคอลโทล</t>
  </si>
  <si>
    <t>เครื่องตรวจวินิจฉัยโรคด้วยคลื่นความถี่สูง</t>
  </si>
  <si>
    <t>ชุดแก๊ส Troscope พร้อมสาย</t>
  </si>
  <si>
    <t>เครื่องตรวจคลื่นไฟฟ้าวินิฉัย(EMG)(PM&amp;R)</t>
  </si>
  <si>
    <t>เครื่องแปลงสัญญาณภาพรังสีดิจิตอล(CR) พร้อมอุปกรณ์ Console และ IP plate 3 ขนาด ขนาดละ 2 แผ่น</t>
  </si>
  <si>
    <t>อุปกรณ์ผ่าตัดกระดูกสันหลังอุบัติเหตุ</t>
  </si>
  <si>
    <t>อุปกรณ์ผ่าตัดสมองและไขสันหลังจุลศัลยกรรม</t>
  </si>
  <si>
    <t>เครื่องกระตุกไฟฟ้าหัวใจชนิดไบเฟสิคพร้อมภาควัดออกซิเจนในเลือด</t>
  </si>
  <si>
    <t>เครื่องซักผ้าขนาด 200 ปอนด์</t>
  </si>
  <si>
    <t>เครื่องอบผ้าขนาดไม่น้อยกว่า  200 ปอนด์</t>
  </si>
  <si>
    <t>รถพยาบาล(รถตู้)ปริมาตรกระบอกสูบไม่ต่ำกว่า 2400 ซีซี</t>
  </si>
  <si>
    <t>เครื่องฆ่าเชื้อจุลินทรีย์ระดับพลาสเจอร์ไลท์ Pastex 280</t>
  </si>
  <si>
    <t>รพ.อรัญประเทศ</t>
  </si>
  <si>
    <t>เครื่องอบฆ่าเชื้ออัตโนมัติชนิดอุณหภูมิต่ำด้วยไฮโดรเจนเปอร์ออกไซด์ขนาดความจุไม่น้อยกว่า 130  ลิตร</t>
  </si>
  <si>
    <t>เครื่องช่วยหายใจชนิดควบคุมด้วยปริมาตรและความดัน</t>
  </si>
  <si>
    <t>ตู้เย็นเก็บเลือด 1 ประตู</t>
  </si>
  <si>
    <t>เครื่องแปลงสัญญาณภาพเอกซเรย์ดิจิตอล (เครื่องแปลงสัญญาณภาพ เอกซเรย์ เป็นดิจิตอล ในช่องปาก )</t>
  </si>
  <si>
    <t>เครื่องเอกซเรย์(เครื่องเอกซเรย์ทั้งปากและกระโหลกศีรษะระบบดิจิตอล แบบ 2 เซ็นเซอร์)</t>
  </si>
  <si>
    <t>เครื่องปั่นแยกส่วนประกอบโลหิต ขนาดความจุไม่น้อยกว่า6 ยูนิต</t>
  </si>
  <si>
    <t>เครื่องช่วยกระบวนการปั๊มและฟื้นคืนชีพผู้ป่วย</t>
  </si>
  <si>
    <t>เครื่องดมยาสลบ ชนิด 3 แก๊ซ พร้อมเครื่องช่วยหายใจ และเครื่องติดตามการทำงานของหัวใจและวิเคราะห์แก๊ซ ระหว่างดมยาสลบ</t>
  </si>
  <si>
    <t>เครื่องอัลตร้าซาวด์ 4 มิติ</t>
  </si>
  <si>
    <t>เครื่องแปลงสัญญาณภาพเอกซเรย์ดิจิตอล(เครื่องรับสัญญาณภาพเป็นดิจิตอลชนิดชุดรับภาพแฟลตพาแนลไร้สาย)</t>
  </si>
  <si>
    <t>เครื่องเอกซเรย์ (เครื่องเอกซเรย์เคลื่อนที่ดิจิตอล)</t>
  </si>
  <si>
    <t>เครื่องนึ่งอุปกรณ์ปราศจากเชื้อ</t>
  </si>
  <si>
    <t>เครื่องเป่าลมสำหรับวัดความดันลูกตา</t>
  </si>
  <si>
    <t xml:space="preserve">รถตู้โดยสาร 12 ที่นั่ง (2,900 ซีซี) เกียร์ออโต้ ดีเซล </t>
  </si>
  <si>
    <t xml:space="preserve">รถปิคอัพ 4 ประตู ขับเคลื่อน 4 ล้อ (2,800  ซีซี) เกียร์ออโต้ ดีเซล </t>
  </si>
  <si>
    <t xml:space="preserve">รถตู้โดยสาร 7 ที่นั่ง ดีเซล รุ่นท็อป เกียร์ออโต้  </t>
  </si>
  <si>
    <t>รถบริจาคโลหิต</t>
  </si>
  <si>
    <t>ชุดอุปกณ์รช่วยชีวิตทารกแรกคลอด</t>
  </si>
  <si>
    <t>รพ.วังน้ำเย็น</t>
  </si>
  <si>
    <t>เตียงคลอดปรับระดับด้วยไฟฟ้า</t>
  </si>
  <si>
    <t>เตียงผู้ป่วยชนิดสามไก ปรับด้วยไฟฟ้า ราวปีกนก พร้อมเบาะและเสาน้ำเกลือ</t>
  </si>
  <si>
    <t>ระบบผลิตน้ำบริสุทธิ์แบบพักน้ำขนาดไม่น้อยกว่า 5 หัวจ่าย</t>
  </si>
  <si>
    <t>รถเข็นอุปกรณ์ช่วยชีวิตฉุกเฉิน</t>
  </si>
  <si>
    <t>เครื่องตรวจอวัยวะภายในดวยคลื่นความถี่สูงชนิด 2 หัวตรวจ</t>
  </si>
  <si>
    <t>รพ.คลองหาด</t>
  </si>
  <si>
    <t>เครื่องปรับอากาศแบบแยกส่วยชนิดติดผนัง(มีระบบฟอกอากาศ)</t>
  </si>
  <si>
    <t>รถบรรทุก(ดีเซล)ขนาด1 ตัน ปริมาตรกระบอกสูบไม่ต่ำกว่า2400 ซีซี ขับเคลื่อน 2 ล้อ แบบดับเบิลแคป</t>
  </si>
  <si>
    <t>เครื่องตรวตคลี่นไฟฟ้าหัวใจพร้อมระบบประมวลผลขนาดกระดาษบันทึกแบบ Thermal ไม่น้อยกว่า A4</t>
  </si>
  <si>
    <t>รพ.วัฒนานคร</t>
  </si>
  <si>
    <t>เครื่องติดตามการทำงานของสัญญาณชีพอัตโนมัติระดับกลาง</t>
  </si>
  <si>
    <t>เครื่องปรับอากาศแบบแยกส่วยชนิดติดผนัง(มีระบบฟอกอากาศ)ขนาดไม่ต่ำกว่า16000 บีทียู</t>
  </si>
  <si>
    <t>เครื่องปรับอากาศแบบแยกส่วยชนิดติดผนัง(มีระบบฟอกอากาศ)ขนาดไม่ต่ำกว่า18000 บีทียู</t>
  </si>
  <si>
    <t>เครื่องควบคุมการให้สารน้ำทางหลอดเลือดดำชนิด 1 สาย</t>
  </si>
  <si>
    <t>เตียงผู้ป่วยชนิดสามไกราวปีกนกพร้อมเบาะเสาน้ำเกลือ</t>
  </si>
  <si>
    <t>เตียงผู้ป่วยชนิดสามไกราวปีกนกพร้อมเบาะเสาน้ำเกลือตู้ข้างเตียงและถาดคล่อมเตียง</t>
  </si>
  <si>
    <t>เครื่องนึ่งฆ่าเชื้อจุลินทรีย์ด้วยไอน้ำระบบอัตโนมัติขนาดไม่น้อยกว่า 890 ลิตร (pre-post vac) ชนิด 2 ประตู</t>
  </si>
  <si>
    <t>รถเข็นจ่ายยาหอผู้ป่วย</t>
  </si>
  <si>
    <t>รพ.โคกสูง</t>
  </si>
  <si>
    <t xml:space="preserve">รถโดยสารขนาด12 ที่นั่ง(ดีเซล)ปริมาตรกระบอกสูบต่ำกว่า 2400 ซีซี </t>
  </si>
  <si>
    <t>โคกสูง</t>
  </si>
  <si>
    <t>เตียงผู้ป่วยชนิด 3 ราวสไลด์ไก พร้อมเบาะ สาน้ำเกลือตู้ข้างเตียง และถาดคล่อมเตียง</t>
  </si>
  <si>
    <t>เครื่องซักผ้าขนาดไม่น้อยกว่า   50 ปอนด์</t>
  </si>
  <si>
    <t>รถเข็นชนิดนอน</t>
  </si>
  <si>
    <t>ตู้แช่อาหาร ขนาดไม่ต่ำกว่า 20 คิวบิกฟุต</t>
  </si>
  <si>
    <t>ตู้เย็น ขนาดความจุไม่น้อยกว่า 16 คิวบิกฟุต</t>
  </si>
  <si>
    <t>เครื่องถ่ายเอกสารระบบดิจิตอล (ขาว-ดำ สี) ความเร็วในการถ่ายไม่ต่ำกว่า 20 แผ่นต่อนาที</t>
  </si>
  <si>
    <t>เครื่องปรับอากาศแบบแยกส่วน ชนิดตั้งพื้นหรือชนิดแขวน (มีระบบฟอกอากาศ) ขนาดไม่ต่ำกว่า 50000 บีทียู</t>
  </si>
  <si>
    <t>เครื่องวัดความดันโลหิต แบบสอดแขนชนิดอัตโนมัติ</t>
  </si>
  <si>
    <t>เครื่องฉายภาพ 3 มิติ</t>
  </si>
  <si>
    <t>จอรับภาพ ชนิดมอเตอร์ไฟฟ้าขนาดเส้นทะแยงมุม ขนาด 200 นิ้ว</t>
  </si>
  <si>
    <t>เครื่องจี้ห้ามเลือดและตัดเนื้อเยื่อด้วยไฟฟ้าขนาดไม่น้อยกว่า 60  วัตต์</t>
  </si>
  <si>
    <t>เครื่องตัดหญ้า แบบนั่งขับ</t>
  </si>
  <si>
    <t>เครื่องซักผ้าขนาดไม่น้อยกว่า  125 ปอนด์</t>
  </si>
  <si>
    <t>เครื่องตรวจคลื่นไฟฟ้าหัวใจพร้อมระบบประมวลผล จัดเก็บภาพ dicom  หรือส่งเข้าระบบ Pacs</t>
  </si>
  <si>
    <t xml:space="preserve">เครื่องกระตุกไฟฟ้าหัวใจชนิดอัตโนมัติ(AED) </t>
  </si>
  <si>
    <t>เครื่องติดตามการทำงานของหัวใจและสัญญาณชีพอัตโนมัติระดับกลาง</t>
  </si>
  <si>
    <t>เครื่องตรวจอวัยวะภายในด้วยคลื่นเสียงความถี่สูง ชนิดหิ้วถือ 2 หัวตรวจ</t>
  </si>
  <si>
    <t xml:space="preserve">เครื่องตรวจอวัยวะภายในด้วยคลื่นเสียงความถี่สูง ชนิดหิ้วถือ 2 หัวตรวจ  </t>
  </si>
  <si>
    <t>รพ.วังสมบูรณ์</t>
  </si>
  <si>
    <t>เครื่องกระตุกไฟฟ้าหัวใจชนิดไบเฟสิคพร้อมภาควัดออกซิเจนในเลือดDefib+AED+ECG+SpO2</t>
  </si>
  <si>
    <t>เครื่องดูดสูญญากาศช่วยคลอด</t>
  </si>
  <si>
    <t>ตู้อบเด็กสำหรับลำเลียงทารกแรกคลอดพร้อมรถเข็นที่สามารถเข็นขึ้นรถพยาบาลได้</t>
  </si>
  <si>
    <t>โคมไฟผ่าตัดเล็กขนาดไม่น้อยกว่า 60000 ลักซ์ ชนิดตั้งพื้นสำหรับห้องคลอด/ผ่าตัดเล็ก</t>
  </si>
  <si>
    <t>เตียงผู้ป่วยชนิดสองไกราวสไลด์พร้อมเบาะเสาน้ำเกลือตู้ข้างเตียงและถาดคร่อมเตียง</t>
  </si>
  <si>
    <t>รถเข็นชุดอุปกรณ์ช่วยชีวิตฉุกเฉินEmergency Cart</t>
  </si>
  <si>
    <t>เครื่องปรับอากาศแบบแยกส่วน ชนิดติดผนัง (มีระบบฟอกอากาศ) ขนาดไม่ต่ำกว่า 24000 บีทียู</t>
  </si>
  <si>
    <t>เครื่องปรับอากาศแบบแยกส่วน ชนิดติดผนัง (มีระบบฟอกอากาศ) ขนาดไม่ต่ำกว่า 18000 บีทียู</t>
  </si>
  <si>
    <t>รถบรรทุก (ดีเซล) ขนาด 1 ตัน ปริมาตรกระบอกสูบไม่ต่ำกว่า 2400 ซีซี. ขับเคลื่อน 2 ล้อ แบบดับเบิ้ลแค็บ พร้อมหลังคาไฟเบอร์กลาสหรือเหล็ก</t>
  </si>
  <si>
    <t>รถพยาบาล(รถตู้) ปริมาตรกระบอกสูบไม่ต่ำกว่า 2,400 ซีซีมีเครื่องช่วยหายใจและเครื่องกระตุกหัวใจ.</t>
  </si>
  <si>
    <t>ตู้แช่อาหาร ขนาดไม่ต่ำกว่า 45 คิวบิกฟุต</t>
  </si>
  <si>
    <t>เตียงเคลื่อนย้ายผู้ป่วยปรับระดับมือหมุน</t>
  </si>
  <si>
    <t>เตียงเคลื่อนย้ายผู้ป่วยปรับระดับไฮโดรลิคพร้อมเอกซเรย์ผ่านได้</t>
  </si>
  <si>
    <t>เครื่องฟอกอากาศแบบผังใต้เพดาน ขนาดความเร็วของแรงลมระดับสูง 1000 CFM</t>
  </si>
  <si>
    <t>เครื่องฟอกอากาศแบบผังใต้เพดาน ขนาดความเร็วของแรงลมระดับสูง 500 CFM</t>
  </si>
  <si>
    <t>เครื่องถ่ายเอกสารระบบดิจิตอล (ขาว-ดำ) ความเร็วในการถ่ายไม่ต่ำกว่า 50 แผ่นต่อนาที</t>
  </si>
  <si>
    <t>โทรทัศน์ แอล อี ดี (LED TV) ระดับความละเอียดจอภาพ1920x1080 พิกเซล ขนาด 60 นิ้ว</t>
  </si>
  <si>
    <t>โทรทัศน์ แอล อี ดี (LED TV) ระดับความละเอียดจอภาพ1920x1080 พิกเซล ขนาด 46 นิ้ว</t>
  </si>
  <si>
    <t>โทรทัศน์ แอล อี ดี (LED TV) ระดับความละเอียดจอภาพ1920x1080 พิกเซล ขนาด 55 นิ้ว</t>
  </si>
  <si>
    <t>โทรทัศน์ แอล อี ดี (LED TV) ระดับความละเอียดจอภาพ1920x1080 พิกเซล ขนาด 50 นิ้ว</t>
  </si>
  <si>
    <t>เครื่องตัดหญ้า แบบเข็น</t>
  </si>
  <si>
    <t xml:space="preserve">เครื่องติดตามการทำงานของหัวใจและสัญญาณชีพอัตโนมัติ </t>
  </si>
  <si>
    <t>รพ.ตาพระยา</t>
  </si>
  <si>
    <t xml:space="preserve"> เครื่องตรวจสมรรถภาพปอด </t>
  </si>
  <si>
    <t xml:space="preserve">เครื่องส่องรักษาทารกตัวเหลืองแบบสองด้าน </t>
  </si>
  <si>
    <t xml:space="preserve"> เครื่องตรวจสมรรถภาพทารกในครรภ์ </t>
  </si>
  <si>
    <t xml:space="preserve"> เครื่องซักผ้าขนาดไม่น้อยกว่า  125 ปอนด์ </t>
  </si>
  <si>
    <t xml:space="preserve"> เครื่องอบผ้าขนาดไม่น้อยกว่า  100 ปอนด์ </t>
  </si>
  <si>
    <t xml:space="preserve"> เครื่องควบคุมการให้สารน้ำทางหลอดเลือดดำชนิด 1 สาย </t>
  </si>
  <si>
    <t xml:space="preserve"> เครื่องตรวจอวัยวะภายในด้วยคลื่นเสียงความถี่สูง ชนิดหิ้วถือ 2 หัวตรวจ </t>
  </si>
  <si>
    <t xml:space="preserve"> เครื่องตรวจอวัยวะภายในด้วยคลื่นเสียงความถี่สูง ชนิดสี 2 หัวตรวจ </t>
  </si>
  <si>
    <t xml:space="preserve">เครื่องตรวจคลื่นไฟฟ้าหัวใจพร้อมระบบประมวลผล จัดเก็บภาพ dicom หรือส่งเข้าระบบ Pacs </t>
  </si>
  <si>
    <t xml:space="preserve"> เครื่องวัดออกซิเจนในเลือดอัตโนมัติชนิดพกพา </t>
  </si>
  <si>
    <t xml:space="preserve"> เครื่องดูดเสมหะ </t>
  </si>
  <si>
    <t>เครื่องนึ่งฆ่าเชื้อจุลินทรีย์ด้วยไอน้ำระบบอัตโนมัติขนาดไม่น้อยกว่า 560 ลิตร(Pre-Post Vac) ห้องนึ่งทรงสี่เหลี่ยม ชนิด 1 ประตู</t>
  </si>
  <si>
    <t xml:space="preserve">เครื่องวัดความดันโลหิต แบบสอดแขนชนิดอัตโนมัติ </t>
  </si>
  <si>
    <t xml:space="preserve">เครื่องอบผ้า ขนาด 50 ปอนด์  </t>
  </si>
  <si>
    <t>รพ.เขาฉกรรจ์</t>
  </si>
  <si>
    <t>เครื่อง x-ray ขนาด 500 MA แบบแขวนเพดาน</t>
  </si>
  <si>
    <t>เครื่องปั่นเม็ดเลือดแดงอัดแน่น (Hematocrit Centrifuge)</t>
  </si>
  <si>
    <t>Ultrasound Combine</t>
  </si>
  <si>
    <t>รถกระบะ 4 ประตู ประเภทรถยนต์นั่งส่วนบุคคลไม่เกิน 7 คน ลักษณะนั่ง 2 ตอน    ท้ายบรรทุก</t>
  </si>
  <si>
    <t>รถบรรทุก(ดีเซล)ขนาด 1 ตัน ขับเคลื่อน 2 ล้อ แบบมีช่องว่างด้านหลังคนขับ (CAB)พร้อมหลังคาสำเร็จรูปชนิดทำด้วยไฟเบอร์กลาส ปริมาณกระบอกสูบไม่ต่ำกว่า 2400 ซีซี พร้อมอุปกรณ์</t>
  </si>
  <si>
    <t>รพ.สต.ผ่านศึก</t>
  </si>
  <si>
    <t xml:space="preserve">รพสต.นวมินทราชินี
</t>
  </si>
  <si>
    <t xml:space="preserve">รพสต. ราชันย์
</t>
  </si>
  <si>
    <t xml:space="preserve">รพสต. บ้านถวายเฉลิมพระเกียรติ
</t>
  </si>
  <si>
    <t xml:space="preserve">รพสต.คลองผักขม
</t>
  </si>
  <si>
    <t xml:space="preserve">รพสต. คลองเจริญสุข </t>
  </si>
  <si>
    <t>รพสต.โคกสูง
ต. โคกสูง</t>
  </si>
  <si>
    <t>รพสต.แซร์ออ
ต. แซร์ออ</t>
  </si>
  <si>
    <t xml:space="preserve">รพสต เขาฉกรรจ์
</t>
  </si>
  <si>
    <t xml:space="preserve">รพสต. คลองจระเข้ 
</t>
  </si>
  <si>
    <t xml:space="preserve">รพสต. คลองมะละกอ 
</t>
  </si>
  <si>
    <t xml:space="preserve">รพสต. เขาตะง๊อก 
</t>
  </si>
  <si>
    <t xml:space="preserve">รพสต. ห้วยเดื่อ 
</t>
  </si>
  <si>
    <t xml:space="preserve">รพสต. หนอม่วง
</t>
  </si>
  <si>
    <t xml:space="preserve">รพสต. นาดี
</t>
  </si>
  <si>
    <t>รถบรรทุก (ดีเซล) ขนาด 1 ตัน ปริมาตรกระบอกสูบไม่ต่ำกว่า 2400 ซีซี ขับเคลื่อน 4 ล้อ แบบดับเบิ้ลแคป</t>
  </si>
  <si>
    <t>วงเงินจัดสรร 5 ปี</t>
  </si>
  <si>
    <t xml:space="preserve"> งบลงทุน รายการค่าสิ่งก่อสร้าง </t>
  </si>
  <si>
    <t>จัดทำเป็น Excel File ส่งพลางก่อนในเบื้องต้น</t>
  </si>
  <si>
    <t>เขตสุขภาพ ที่ 6 จังหวัดจันทบุรี</t>
  </si>
  <si>
    <t>ลำดับความสำคัญ</t>
  </si>
  <si>
    <t>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</si>
  <si>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</si>
  <si>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ราคาต่อหน่วย(บาท)</t>
  </si>
  <si>
    <t>จำนวนหน่วย</t>
  </si>
  <si>
    <t>ตั้ง
งบประมาณ
ปี 61</t>
  </si>
  <si>
    <t>ตั้ง
งบประมาณ
ปี 62</t>
  </si>
  <si>
    <t>ตั้ง
งบประมาณ
ปี 63</t>
  </si>
  <si>
    <t>ตั้ง
งบประมาณ
ปี 64</t>
  </si>
  <si>
    <t>ตั้งงบประมาณ
ปี 65</t>
  </si>
  <si>
    <t>รวมเงิน
ทั้งสิ้น</t>
  </si>
  <si>
    <t>ประเภทอาคาร/สิ่งก่อสร้าง</t>
  </si>
  <si>
    <t>จำนวนเตียงปัจจุบัน</t>
  </si>
  <si>
    <t>อัตราครองเตียง</t>
  </si>
  <si>
    <t>เหตุผล คำชี้แจง
(อธิบายพอสังเขปไม่เกิน 5 บรรทัด ต่อ 1 เซลล์)</t>
  </si>
  <si>
    <t>สภาพปัจจุบันที่มีอยู่</t>
  </si>
  <si>
    <t>ประโยชน์ที่คาดว่า
จะได้รับ</t>
  </si>
  <si>
    <t>1.IPD</t>
  </si>
  <si>
    <t>อาคารผู้ป่วยใน 60 เตียง
เป็นอาคารคสล. 3 ชั้น
พื้นที่ใช้สอย 2,927 ตร.ม.
ระยะเวลาก่อสร้าง 425 วัน(10งวด)</t>
  </si>
  <si>
    <t>อาคารผู้ป่วยใน</t>
  </si>
  <si>
    <t xml:space="preserve">หนาแน่ไม่เพียงพอกับความต้องการของประชาชน </t>
  </si>
  <si>
    <t>รองรับการเป็น Node CAPD ในอนาคต</t>
  </si>
  <si>
    <t>มีพื้นที่เพียงพอในการให้บริการประชาชน</t>
  </si>
  <si>
    <t>อาคารผู้ป่วย 60 เตียง
เป็นอาคารคสล. 2 ชั้น
พื้นที่ใช้สอย 1,320 ตร.ม.
ระยะเวลาก่อสร้าง 360 วัน(8งวด)</t>
  </si>
  <si>
    <t>รองรับการเป็น Node จักษุ รองรับการผ่าตัดตาต้อกระจก</t>
  </si>
  <si>
    <t>หนาแน่ไม่เพียงพอกับความต้องการของประชาชน ต้องส่งต่อไป รพ.ข้างเป็นบางครั้ง</t>
  </si>
  <si>
    <t>รวม 1.IPD</t>
  </si>
  <si>
    <t>2.ICU</t>
  </si>
  <si>
    <t>ค่าปรับปรุงซ่อมแซมหอผู้ป่วยหนัก(ICU)</t>
  </si>
  <si>
    <t>อาคารบำบัดรักษา</t>
  </si>
  <si>
    <t>เป้าหมายพัฒนาM2</t>
  </si>
  <si>
    <t>รวม 2.ICU</t>
  </si>
  <si>
    <t>3.OR</t>
  </si>
  <si>
    <t>ค่าปรับปรุงซ่อมแซมห้องผ่าตัด(OR)</t>
  </si>
  <si>
    <t>รวม 3.OR</t>
  </si>
  <si>
    <t>ตั้ง
งบประมาณ
ปี 65</t>
  </si>
  <si>
    <t>10.อาคารสนับสนุนบริการ</t>
  </si>
  <si>
    <t>อาคารโรงซ่อมบำรุง พัสดุ
เป็นอาคารคสล. 2 ชั้น
พื้นที่ใช้สอย 450 ตร.ม.
ระยะเวลาก่อสร้าง 320 วัน (6งวด)</t>
  </si>
  <si>
    <t>อาคารสนับสนุน</t>
  </si>
  <si>
    <t>อาคารพัสดุ เป็นอาคารคสล. 2 ชั้น
พื้นที่ใช้สอย 288 ตร.ม.
ระยะเวลาก่อสร้าง 300 วัน(5งวด)</t>
  </si>
  <si>
    <t>6901/1</t>
  </si>
  <si>
    <t>อาคารซักฟอก-นึ่งกลาง
เป็นอาคารคสล. 2 ชั้น
พื้นที่ใช้สอย 1,130 ตร.ม.
ระยะเวลาก่อสร้าง 3,606 ตร.ม.</t>
  </si>
  <si>
    <t>อาคารโรงครัว โรงอาหาร
เป็นอาคารคสล. 2 ชั้น
พื้นที่ใช้สอย 1,330 ตร.ม.</t>
  </si>
  <si>
    <t>รพ.พระปกเกล้า</t>
  </si>
  <si>
    <t>มีสภาพเก่าทรุดโทรมอายุการใช้งานมากกว่า ๔๐ ปี พื้นที่คับแคบไม่เพียงพอต่อการให้บริการระดับรพศ.</t>
  </si>
  <si>
    <t>สนับสนุนบริการทุกสาขาในการพัฒนาService plan</t>
  </si>
  <si>
    <t>จัดบริการได้ตามมาตรฐานและเพียงพอต่อการบริการผู้ป่วยทุกหน่วยบริการ</t>
  </si>
  <si>
    <t>รวม 10.อาคารสนับสนุนบริการ</t>
  </si>
  <si>
    <t>11.อาคารสำนักงาน</t>
  </si>
  <si>
    <t>อาคารอำนวยการ เป็นอาคาร คสล. 3 ชั้น</t>
  </si>
  <si>
    <t>อาคารสำนักงาน</t>
  </si>
  <si>
    <t>ค่าปรับปรุงซ่อมแซมห้องประชุม 3 ห้อง สำนักงานสาธารณสุขจังหวัดจันทบุรี</t>
  </si>
  <si>
    <t>สสจ.จันทบุรี</t>
  </si>
  <si>
    <t>ตลาด</t>
  </si>
  <si>
    <t>ค่าปรับปรุงซ่อมแซมถนน ลานจอดรถ สำนักงานสาธารณสุขอำเภอเมือง</t>
  </si>
  <si>
    <t>สสอ.เมือง</t>
  </si>
  <si>
    <t>สนับสนุน</t>
  </si>
  <si>
    <t>ค่าปรับปรุงซ่อมแซมถนน ลานจอดรถ สำนักงานสาธารณสุขอำเภอแหลมสิงห์</t>
  </si>
  <si>
    <t>สสอ.แหลมสิงห์</t>
  </si>
  <si>
    <t>ปากน้ำแหลมสิงห์</t>
  </si>
  <si>
    <t>รวม 11.อาคารสำนักงาน</t>
  </si>
  <si>
    <t>รอปรับ</t>
  </si>
  <si>
    <t>รพ.พุทธโสธร 13/รพ.สนามชัยเขต 24/พนมสารคาม 30</t>
  </si>
  <si>
    <t xml:space="preserve"> รพ.สนามชัยเขต 8</t>
  </si>
  <si>
    <t xml:space="preserve">รพ.คลองเขื่อน 30 / </t>
  </si>
  <si>
    <t>รพ.พุทธโสธร 15</t>
  </si>
  <si>
    <t xml:space="preserve">รพ.พุทธโสธร 28 </t>
  </si>
  <si>
    <t>รพ.พุทธโสธร 5  / รพ.แปลงยาว 30 / รพ.บางคล้า 30</t>
  </si>
  <si>
    <t xml:space="preserve"> รพ.สนามชัยเขต 24</t>
  </si>
  <si>
    <t>รพ.พนมสารคาม 30/ รพ.สนามชัยเขต 10</t>
  </si>
  <si>
    <t xml:space="preserve"> รพ.พุทธโสธร เพิ่ม 12</t>
  </si>
  <si>
    <t xml:space="preserve"> รพ.พนมสารคาม เพิ่ม 4/รพ.สนามชัยเขต เพิ่ม 4</t>
  </si>
  <si>
    <t xml:space="preserve"> รพ.พุทธโสธร เพิ่ม 12 / รพ.สนามชัยเขต เพิ่ม 4</t>
  </si>
  <si>
    <t>รพ.บางปะกง เพิ่ม 4</t>
  </si>
  <si>
    <t xml:space="preserve"> - </t>
  </si>
  <si>
    <t>-</t>
  </si>
  <si>
    <t>รพ.พนมสารคาม 1 ห้อง 
/ รพ.สนามชัยเขต 1 ห้อง</t>
  </si>
  <si>
    <t>4.OPD</t>
  </si>
  <si>
    <t>อาคารส่งเสริมสุขภาพ และเอนกประสงค์
เป็นอาคารคสล. 2 ชั้น
พื้นที่ใช้สอย 678 ตร.ม.
ระยะเวลาก่อสร้าง 360 วัน(7งวด)</t>
  </si>
  <si>
    <t>อาคารผู้ป่วยนอก</t>
  </si>
  <si>
    <t>อาคารสถานีอนามัย 3 ชั้น
(อาคารบริการปฐมภูมิ)
พื้นที่ใช้สอย 288 ตร.ม.
ระยะเวลาก่อสร้าง 360 วัน(6งวด)</t>
  </si>
  <si>
    <t>ทดแทนอาคารบริการปฐมภูมิเดิม ที่เป็นอาคารผู้ป่วยใน</t>
  </si>
  <si>
    <t>ตึกคนไข้นอก (O.P.D.) รพ. 30 เตียง
เป็นอาคาร คสล. 2 ชั้น
พื้นที่ใช้สอย 1,125 ตร.ม.
ระยะเวลาก่อสร้าง 360 วัน (8งวด)</t>
  </si>
  <si>
    <t>3130/
2536</t>
  </si>
  <si>
    <t>อาคารแพทย์แผนไทยครบวงจร</t>
  </si>
  <si>
    <t>อาคารผู้ป่วยนอก รพ. 30 เตียง 
เป็นอาคาร คสล. 2 ชั้น
พื้นที่ใช้สอย 1,360 ตร.ม.
ระยะเวลาก่อสร้าง 360 วัน (8งวด)</t>
  </si>
  <si>
    <t>เป็นอาคารเก่าที่มีการปรับปรุงเป็นพื้นที่ให้บริการของ ศสม.รพ.พระปกเกล้า มีพื้นที่คับแคบ ไม่เพียงพอในการพัฒนาขยายบริการผู้ป่วยนอกเพื่อลดความแออัดผป.นอกของรพศ.</t>
  </si>
  <si>
    <t>พัฒนา SP ระดับปฐมภูมิ และ สนับสนุน SP ในสาขาอื่นๆ</t>
  </si>
  <si>
    <t>ขยายบริการผู้ป่วยนอกเพื่อเพิ่มความสะดวกในการเข้าถึงบริการของผป.และลดความแออัดผป.ของรพศ.</t>
  </si>
  <si>
    <t>รวม 4.OPD</t>
  </si>
  <si>
    <t>รพ.พุทธโสธร เปิด OPD 12 ห้องตรวจ จำนวนเงิน 6ล้านบาท</t>
  </si>
  <si>
    <t>รพ.บางปะกง เปิด OPD 4ห้องตรวจ  จำนวนเงิน 2ล้านบาท</t>
  </si>
  <si>
    <t xml:space="preserve"> -</t>
  </si>
  <si>
    <t>เครื่องนึ่งฆ่าเชื้อจุลินทรีย์ด้วยไอน้ำระบบอัตโนมัติขนาดไม่น้อยกว่า 50 ลิตร (Pre-Post Vac)</t>
  </si>
  <si>
    <t>รถกระบะ รับ-ส่ง ผู้ป่วย</t>
  </si>
  <si>
    <t>รพ.สตบึงน้ำรัก</t>
  </si>
  <si>
    <t>รถยนต์กะบะสองตอน</t>
  </si>
  <si>
    <t>เครื่องวัดแรงเหยียดขาและหลังแบบดิจิตัล</t>
  </si>
  <si>
    <t>ชุดคอมพิวเตอร์สำหรับผู้ใช้งานจอไม่น้อยกว่า18นิ้ว</t>
  </si>
  <si>
    <t>เครื่องคอมพิวเตอร์ สำหรับงานประมวลผล แบบที่ 2</t>
  </si>
  <si>
    <t>รพ.สตสาวชะโงก</t>
  </si>
  <si>
    <t>รพ.สต.หัวงไทร</t>
  </si>
  <si>
    <t>รพ.สต.เสม็ดใต้</t>
  </si>
  <si>
    <t>จักรยานไฟฟ้าออกกำลังกาย</t>
  </si>
  <si>
    <t>เครื่องปรับอากาศชนิดตั้งพื้นหรือชนิดแขวน (มีระบบฟอกอากาศ) ขนาด 30,000 BTU</t>
  </si>
  <si>
    <t>6.บำบัดน้ำเสีย</t>
  </si>
  <si>
    <t>ระบบบำบัดน้ำเสีย</t>
  </si>
  <si>
    <t>บำบัดน้ำเสีย</t>
  </si>
  <si>
    <t>รวม 6.บำบัดน้ำเสีย</t>
  </si>
  <si>
    <t xml:space="preserve">รพ.พนมสารคาม ขอซ่อมแซม ราคาตามแบบ 10 ล้านบาท / รพ.สนามชัยเขต(ขอสร้างใหม่) / รพ.บ้านโพธิ์ ขอซ่อมแซมระบบ/รพ.บางคล้า ขอซ่อมแซมระบบ </t>
  </si>
  <si>
    <t xml:space="preserve">รพ.ท่าตะเกียบ ขอซ่อมระบบ / รพ.บางน้ำเปรี้ยว ขอสร้างทดแทน </t>
  </si>
  <si>
    <t>รพ.พนมสารคาม(90 เตียง) ซ่อมแซมและปรับปรุง ตามแบบ ราคา 10 ล้านบาท</t>
  </si>
  <si>
    <t>รพ.สนามชัยเขต(90 เตียง) ขอสร้างใหม่ ประมาณราคาตามแบบ 15 ล้านบาท</t>
  </si>
  <si>
    <t>รพ.บ้านโพธิ์ ขอซ่อมแซม ปริมาตร(คำนวณจากเตียงPT 30เตียง) 30 ลูกบาตร์เมตร</t>
  </si>
  <si>
    <t>รพ.บางคล้า ขอซ่อมแซม ปริมาตร(คำนวณจากเตียงPT 30เตียง) 30 ลูกบาตร์เมตร</t>
  </si>
  <si>
    <t>รพ.ท่าตะเกียบ ขอซ่อมแซม ปริมาตร(คำนวณจากเตียงPT 30เตียง) 30 ลูกบาตร์เมตร</t>
  </si>
  <si>
    <t>รพ.บางน้ำเปรี้ยว ขอสร้างทดแทน(คำนวณจากเตียงPT 60เตียง) 60 ลูกบาตร์เมตร</t>
  </si>
  <si>
    <t>7.ไฟฟ้า ประปา  2 ล้าน/ปี</t>
  </si>
  <si>
    <t>เครื่องกำเนิดไฟฟ้า ขนาดไม่น้อยกว่า 300 กิโลวัตต์</t>
  </si>
  <si>
    <t>ครุภัณฑ์ไฟฟ้าและวิทยุ</t>
  </si>
  <si>
    <t>หม้อแปลงไฟฟ้าขนาดไม่น้อยกว่า 500 เควีเอ.</t>
  </si>
  <si>
    <t>รวม 7.ไฟฟ้า ประปา</t>
  </si>
  <si>
    <t>รวม (ลบ)</t>
  </si>
  <si>
    <t>รพ.คลองเขื่อน ระบบประปา 7 ล้านบาทและระบบไฟฟ้า0.5ล้านบาท/รพ.ท่าตะเกียบ ระบบไฟฟ้า จำนวน 1.7 ล้านบาท/รพแปลงยาว ระบบไฟฟ้า 0.856 ล้านบาท / รพ.สนามชัยเขต ระบบไฟฟ้า 3.1 ล้านบาท</t>
  </si>
  <si>
    <t>8.ที่พัก</t>
  </si>
  <si>
    <t>อาคารพักพยาบาล 24 ห้อง (12 ครอบครัว)
เป็นอาคาร คสล. 3 ชั้น
พื้นที่ใช้สอย 745 ตร.ม.
ระยะเวลาก่อสร้าง 360 วัน (8งวด)</t>
  </si>
  <si>
    <t>อาคารที่พัก</t>
  </si>
  <si>
    <t>ไม่เพียงพอ</t>
  </si>
  <si>
    <t>% ขาด 5 กลุ่มวิชาชีพ</t>
  </si>
  <si>
    <t>บ้านพักข้าราชการ ระดับ 5-6
2 ชั้น พื้นที่ใช้สอย 98 ตร.ม.
ระยะเวลาก่อสร้าง 180 วัน (5 งวด)</t>
  </si>
  <si>
    <t>5337/32</t>
  </si>
  <si>
    <t>รพ.สต.จันทเขลม</t>
  </si>
  <si>
    <t>จันทเขลม</t>
  </si>
  <si>
    <t>ไมมีที่พัก</t>
  </si>
  <si>
    <t>รพ.สต.บ้านคลองใหญ่</t>
  </si>
  <si>
    <t>คลองใหญ่</t>
  </si>
  <si>
    <t>รพ.สต.บ้านสวนส้ม</t>
  </si>
  <si>
    <t>สะตอน</t>
  </si>
  <si>
    <t>บ้านพักข้าราชการ ระดับ 7-8
2 ชั้น พื้นที่ใช้สอย 92 ตร.ม.
ระยะเวลาก่อสร้าง 180 วัน (5 งวด)</t>
  </si>
  <si>
    <t>5338/32</t>
  </si>
  <si>
    <t>สสอ.เขาคิชฌกูฏ</t>
  </si>
  <si>
    <t>รพ.สต.บ้านเขาสะท้อน</t>
  </si>
  <si>
    <t>ทุ่งขนาน</t>
  </si>
  <si>
    <t>รพ.สต.บ้านหนองบัวทอง</t>
  </si>
  <si>
    <t>รพ.สต.ตกพรม</t>
  </si>
  <si>
    <t>ตกพรม</t>
  </si>
  <si>
    <t>รพ.สต.มะขาม</t>
  </si>
  <si>
    <t>รพ.สต.บ้านแยกสะท้อน</t>
  </si>
  <si>
    <t>รพ.สต.หนองตาคง</t>
  </si>
  <si>
    <t>หนองตาคง</t>
  </si>
  <si>
    <t>รพ.สต.บ้านปะตง</t>
  </si>
  <si>
    <t>ทรายขาว</t>
  </si>
  <si>
    <t>รพ.สต.บ้านเนินจำปา</t>
  </si>
  <si>
    <t>รพ.สต.ฉมัน</t>
  </si>
  <si>
    <t>ฉมัน</t>
  </si>
  <si>
    <t>5337/33</t>
  </si>
  <si>
    <t>ที่พักไม่เพียงพอ
ไม่มีบ้านพักแพทย์</t>
  </si>
  <si>
    <t xml:space="preserve">อาคารพักพยาบาล 100 ห้อง
เป็นอาคาร คสล. 6 ชั้น
พื้นที่ใช้สอย 3,450 ตร.ม.
</t>
  </si>
  <si>
    <t>ปัจจุบันขาดแคลนที่พักสำหรับเจ้าหน้าที่ต้องขึ้นเวรบ่าย-ดึกและมีปัญหาสำหรับเจ้าหน้าที่ เมื่อเกิดเหตุฉุกเฉินต้องการระดมอัตรากำลังขึ้นปฏิบัติงานนอกเวลาราชการ</t>
  </si>
  <si>
    <t>สนับสนุนSP ทุกสาขา</t>
  </si>
  <si>
    <t>พยาบาลที่ยังขาดแคลนบ้านพักจำนวน 448 คน ตามเกณฑ์ร้อยละ 80 ของบุคลากร</t>
  </si>
  <si>
    <t>มีที่พักเพียงพอสำหรับบุคลากรที่ให้บริการด้านการดูแลรักษาผู้ป่วยรวมถึงอัตรากำลังด้านบุคลากรที่เพิ่มขึ้นตามแผนการพัมนาService plan</t>
  </si>
  <si>
    <t>รวม 8.ที่พัก</t>
  </si>
  <si>
    <t xml:space="preserve"> รพ.คลองเขื่อน อาคารพักพยาบาล 32 ยูนิต แบบเลขที่ 8813 จำนวนเงิน 11,508,800 บาท </t>
  </si>
  <si>
    <t xml:space="preserve"> รพ.บางคล้า อาคารพักพยาบาล 32 ยูนิต แบบเลขที่ 8813 จำนวนเงิน 11,508,800 บาท </t>
  </si>
  <si>
    <t xml:space="preserve"> รพ.พนมสารคาม อาคารพักพยาบาล 32 ยูนิต แบบเลขที่ 8813 จำนวนเงิน 11,508,800 บาท </t>
  </si>
  <si>
    <t>รพ.พุทธโสธร อาคารพักพยาบาล 100 ยูนิต แบบเลขที่10135 จำนวนเงิน 60,000,000 บาท</t>
  </si>
  <si>
    <t>บ้านพักข้าราชการ ระดับ 5-6แบบ 5337/2532 ของรพ.สต. 16 แห่ง</t>
  </si>
  <si>
    <t>บ้านพักข้าราชการ ระดับ 5-6แบบ 5337/2532 ของรพ.สต. 23 แห่ง</t>
  </si>
  <si>
    <t>รพ.พนมสารคาม อาคารจ่ายกลาง 3ชั้น แบบ 7129+7129/1 ราคา 12.57 ลบ. / รพ.บางปะกง อาคารซักฟอก จ่ายกลาง โรงอาหาร พัสดุ แบบ10124 ราคา 27.91 ล้านบาท /รพ.แปลงยาว อาคารสถานบริการสาธารณสุขชุมชน แบบ10830 ราคา 16.5ล้านบาท</t>
  </si>
  <si>
    <t>รพ.แปลงยาว อาคารพัสดุ 1 ชั้น แบบ3444 ราคา 1.5 ล้านบาท</t>
  </si>
  <si>
    <t>จังหวัด.ชลบุรี</t>
  </si>
  <si>
    <t>รพ.บางละมุง</t>
  </si>
  <si>
    <t>รพ.พนัสนิคม</t>
  </si>
  <si>
    <t>รพ.แหลมฉบัง</t>
  </si>
  <si>
    <t>รพ.บ้านบึง</t>
  </si>
  <si>
    <t>รพ.พานทอง</t>
  </si>
  <si>
    <t>รพ.สัตหีบกม.10</t>
  </si>
  <si>
    <t>รพ.เกาะสีชัง</t>
  </si>
  <si>
    <t>รพ.เกาะจันทร์</t>
  </si>
  <si>
    <t>รวมเฉพาะM2</t>
  </si>
  <si>
    <t>F3</t>
  </si>
  <si>
    <t>รวม F</t>
  </si>
  <si>
    <t>ตึกใหม่</t>
  </si>
  <si>
    <t>ตึกใหม่114เตียง</t>
  </si>
  <si>
    <t>ใช้ตึกเก่าปรับปรุงใหม่</t>
  </si>
  <si>
    <t>แบบเลขที่ 8605</t>
  </si>
  <si>
    <t>ราคา 58ล้าน</t>
  </si>
  <si>
    <t>ข้อมูลปัจจุบัน</t>
  </si>
  <si>
    <t>ปี 61</t>
  </si>
  <si>
    <t>ปี 62</t>
  </si>
  <si>
    <t>ปี 63</t>
  </si>
  <si>
    <t>ปี 64</t>
  </si>
  <si>
    <t>ปี 65</t>
  </si>
  <si>
    <t>ตึก 6 ชั้น</t>
  </si>
  <si>
    <t>เพิ่มเตียงจากตึกเดิมที่ย้ายแผนก ปรับเป็น ward</t>
  </si>
  <si>
    <t>ตึก10ชั้นใหม่</t>
  </si>
  <si>
    <t>จังหวัดชลบุรี</t>
  </si>
  <si>
    <t>จำนวนเตียงรวมปัจจุบัน</t>
  </si>
  <si>
    <t>ICU ปัจจุบันมี...เตียง</t>
  </si>
  <si>
    <t>ไม่มี ICU</t>
  </si>
  <si>
    <t>ไม่มีICU  จะเปิดปี63  (ใช้ในward 1-2เตียง)</t>
  </si>
  <si>
    <t>*เพิ่มจาก 8 เตียง เป็น 16 เตียง</t>
  </si>
  <si>
    <t>ICU CVT</t>
  </si>
  <si>
    <t xml:space="preserve"> ICU  6 เป็น ICU รวม CCU 4 NICU 2 PICU1</t>
  </si>
  <si>
    <t>ICU trauma*</t>
  </si>
  <si>
    <t>**เพิ่มจาก 12 เตียงเป็น 16 เตียง</t>
  </si>
  <si>
    <t>NICU**</t>
  </si>
  <si>
    <t>NCIU 1 PICU 1</t>
  </si>
  <si>
    <t xml:space="preserve">ICU 14  เป็น ICU ศัลย์และอื่น ๆ 10 ICU med 4 </t>
  </si>
  <si>
    <t>ICU 4</t>
  </si>
  <si>
    <t xml:space="preserve"> NICU 1</t>
  </si>
  <si>
    <t>OR ที่มีอยู่ปัจจุบัน</t>
  </si>
  <si>
    <t>เพิ่มเตียง61-65</t>
  </si>
  <si>
    <t>1 OR ต่อ 50 IPD</t>
  </si>
  <si>
    <t>3*</t>
  </si>
  <si>
    <t>* เดิมมี 15 ห้อง ตามเกณฑ์ 850 เตียงต้องมี 18 ห้อง</t>
  </si>
  <si>
    <t>รายการ</t>
  </si>
  <si>
    <t>จังหวัด..........ชลบุรี...............</t>
  </si>
  <si>
    <t>อาคารผู้ป่วยนอกและอุบัติเหตุ 9 ชั้น เลขที่แบบ 10838</t>
  </si>
  <si>
    <t xml:space="preserve"> ปรับปรุง OPD 5,000,000 บาท</t>
  </si>
  <si>
    <t xml:space="preserve"> ปรับปรุง  OPD 10,000,000 บาท  ตามแปลนอาคาร 5708 สร้างมาแล้ว 18 ปี สภาพชำรุดมาก รั่ว</t>
  </si>
  <si>
    <t>ปรับปรุงสถานที่  10,000,000บาท</t>
  </si>
  <si>
    <t>ปรับปรุงห้อง OPD 5,000,000บาท</t>
  </si>
  <si>
    <t>ประเภท</t>
  </si>
  <si>
    <t>จำนวน OPDทั่วไป</t>
  </si>
  <si>
    <t>OPDพิเศษ</t>
  </si>
  <si>
    <t>รวมOPD</t>
  </si>
  <si>
    <t>รพศ.</t>
  </si>
  <si>
    <t>รพท.</t>
  </si>
  <si>
    <t>รพช.</t>
  </si>
  <si>
    <t>รพ.สัตหีบกม10</t>
  </si>
  <si>
    <t>รพ.วัดญาณสังวราราม</t>
  </si>
  <si>
    <t>ปชกปี57</t>
  </si>
  <si>
    <t>OP visit57</t>
  </si>
  <si>
    <t>จำนวน OPD</t>
  </si>
  <si>
    <t>วิธีคิด  OP visit รพ. หาร จำนวนห้องOPD</t>
  </si>
  <si>
    <t>จำนวน รพสต</t>
  </si>
  <si>
    <t xml:space="preserve"> OPD+รพสต</t>
  </si>
  <si>
    <t>วิธีคิด  OP visit รพ.+รพ.สต.หาร จำนวนห้องOPD</t>
  </si>
  <si>
    <t xml:space="preserve"> รวม</t>
  </si>
  <si>
    <t>ถ้ามี147557 มีงบ 434 ล้าน คิดสัดส่วน   คือ จำนวนที่มีแต่ละจังหวัด*434หาร147557</t>
  </si>
  <si>
    <t>ฐาน</t>
  </si>
  <si>
    <t>ถ้ามี62391 มีงบ 434 ล้าน คิดสัดส่วน   คือ จำนวนที่มีแต่ละจังหวัด*434หาร62391</t>
  </si>
  <si>
    <t>รพ+รพสต</t>
  </si>
  <si>
    <t xml:space="preserve">   </t>
  </si>
  <si>
    <t>√</t>
  </si>
  <si>
    <t>โคมไฟผ่าตัดใหญ่  โคมคู่ขนาดไม่น้อยกว่า 130,000 ลักซ์  หลอดแอลอีดี (1,450,000บาท*จำนวน 2 อัน)</t>
  </si>
  <si>
    <t xml:space="preserve"> ตู้อบเด็ก 550,000 บาท * 2 ตู้</t>
  </si>
  <si>
    <t xml:space="preserve"> เครื่องส่องรักษาทารกตัวเหลืองแบบสองด้าน (เครื่องละ160,000บาท)</t>
  </si>
  <si>
    <t>เครื่องบันทึกการบีบตัวของมดลูกและการเต้นของหัวใจทารกในครรภ์(NST)เครืองละ400,000บาท</t>
  </si>
  <si>
    <t>เครื่องปั่นเหวี่ยง (centrifuge) สำหรับหลอด 50 cc จำนวน 1 เครื่อง</t>
  </si>
  <si>
    <t>เครื่องชั่งน้ำหนักผู้ป่วยแบบชั่งพร้อมเปลนั่งได้ จำนวน 1 เครื่อง</t>
  </si>
  <si>
    <t xml:space="preserve">เครื่องแปลงสัญญาณภาพ เอกซเรย์ เป็นดิจิตอลในช่องปาก (เครื่อง) จำนวน 1 เครื่อง </t>
  </si>
  <si>
    <t xml:space="preserve">เครื่องเอกซเรย์ทั้งปากและกะโหลกศีรษะระบบดิจิตอล   แบบ 3 เซ็นเซอร์ (3 Digital Sensors Panoramic and Cephalometric Dental  Radiography) หรือ  เครื่องเอกซเรย์ ทั้งปากและกะโหลกศีรษะระบบดิจิตอลแบบ ๒ เซ็นเซอร์ (2 Digital  Sensors Panoramic and  Cephalometric Dental Radiography) (เครื่อง) จำนวน 1 เครื่อง               </t>
  </si>
  <si>
    <t>เครื่องตรวจอวัยวะภายในด้วยคลื่นเสียงความถี่สูง ระดับความคมชัดสูง 3 หัวตรวจ (2,500,000บาท)*2เครื่อง</t>
  </si>
  <si>
    <t>เครื่องตรวจอวัยวะภายในด้วยคลื่นเสียง ความถี่สูง ชนิดสี  2  หัวตรวจ</t>
  </si>
  <si>
    <t>เครื่องจี้และตัดพร้อมระบบเชื่อมปิดหลอดเลือดด้วยระบบไฟฟ้า</t>
  </si>
  <si>
    <t>เครื่องกระตุกไฟฟ้าหัวใจ ชนิดไบเฟสิคแบบจอสีพร้อมภาควัดคาร์บอนไดออกไซด์และออกซิเจน</t>
  </si>
  <si>
    <t>เกาะสีชัง</t>
  </si>
  <si>
    <t>วัดญาณสังวราราม</t>
  </si>
  <si>
    <t>เครื่องควบคุมการให้สารน้ำทางหลอดเลือดดำ ชนิด 1 สาย*5เครื่อง</t>
  </si>
  <si>
    <t>เครื่องตรวจอวัยวะภายในด้วยคลื่นเสียงความถี่สูงชนิดสี 2หัวตรวจ(เครื่องละ 930,000บาท)*2เครื่อง</t>
  </si>
  <si>
    <t>เครื่องกระตุกหัวใจชนิดไบเฟสิกแบบจอสีพร้อมภาควัดคาร์บอนไดออกไซค์และออกซิเจน(เครื่องละ480,000บาท)</t>
  </si>
  <si>
    <t>รถพยาบาล(รถตู้)ปริมาตรกระบอกสูบไม่ต่ำกว่า2,400ซีซี(คันละ2,000,000บาท)</t>
  </si>
  <si>
    <t>เครื่องติดตามการทำงานของหัวใจและสัญญาณชีพการทำงานของหัวใจอัตโนมัติระดับกลาง(เครื่องละ280,000บาท)</t>
  </si>
  <si>
    <t>ยูนิตทำฟัน(เครื่องละ460,000บาท)</t>
  </si>
  <si>
    <t>เครื่องนึ่งฆ่าเชื้อจุลินทรีย์ด้วยไอน้ำระบบอัตโนมัติขนาดไม่น้อยกว่า700ลิตร ห้องนึ่งทรงกกระบอกชนิด 1 ประตู(เครื่องละ840,000บาท)</t>
  </si>
  <si>
    <t xml:space="preserve"> เครื่องกระตุกไฟฟ้าหัวใจชนิดไบเฟสิคแบบจอสีพร้อมภาควัดคาร์บอนไดออกไซด์และออกซิเจน (เครื่องละ 480,000บาท*2เครื่อง)</t>
  </si>
  <si>
    <t>รถเข็นขนิดนอน 20000*4</t>
  </si>
  <si>
    <t>รถเข็นชนิดนั่ง 6900*6</t>
  </si>
  <si>
    <t>เครื่องควบคุมการให้สารน้ำทางหลอดเลือดดำชนิด1สาย</t>
  </si>
  <si>
    <t>เครื่องชั่งน้ำหนักผู้ป่วยแบบชั่งพร้อมเปลนั่งได้</t>
  </si>
  <si>
    <t>เครื่องปั่นเหวี่ยง (centrifuge) สำหรับหลอด 50 cc</t>
  </si>
  <si>
    <t>กล้องวงจรปิด 24 จุด * 120,000บาท*12 แห่ง</t>
  </si>
  <si>
    <t>สสจ.ชบ.</t>
  </si>
  <si>
    <t>off</t>
  </si>
  <si>
    <t>คอมพิวเตอร์พร้อมอุปกรณ์และสำรองไฟ 50 ชุด *20,000 บาท+สสอ.11แห่ง*3เครื่อง*20,000บ.</t>
  </si>
  <si>
    <t>รภตู้ คันละ 1,300,000 บาท *10คัน</t>
  </si>
  <si>
    <t>รถปิคอัพ 4 ประตู คันละ 722,000 บาท*10คัน</t>
  </si>
  <si>
    <t>รถยนต์ตรวจการดีเซลแบบขับเคลื่อน4ล้อ*1,500,000บาท*3คัน</t>
  </si>
  <si>
    <t>ท่าเทววงษ์</t>
  </si>
  <si>
    <t>เครื่องควบคุมการให้สารน้ำทางหลอดเลือดดำ ชนิด 1 สาย * 5 เครื่อง</t>
  </si>
  <si>
    <t>car</t>
  </si>
  <si>
    <t>รถปิคอัพ 4 ประตู คันละ 722,000 บาท*10แห่ง</t>
  </si>
  <si>
    <t>รอคิดรายปี</t>
  </si>
  <si>
    <t>เขตสุขภาพ ที่ 6 จังหวัดชลบุรี</t>
  </si>
  <si>
    <t>ตั้งงบประมาณ
ปี 61</t>
  </si>
  <si>
    <t>ตั้งงบประมาณ
ปี 62</t>
  </si>
  <si>
    <t>ตั้งงบประมาณ
ปี 63</t>
  </si>
  <si>
    <t>ตั้งงบประมาณ
ปี 64</t>
  </si>
  <si>
    <t>ปรับปรุง/ซ่อมแซม (เกาะจันทร์)</t>
  </si>
  <si>
    <t>รวมชลบุรี</t>
  </si>
  <si>
    <t>รพ..แหลมฉบัง.....</t>
  </si>
  <si>
    <t>รพ....บ้านบึง....</t>
  </si>
  <si>
    <t>รพ....พนัสนิคม......</t>
  </si>
  <si>
    <t>รพ..............................</t>
  </si>
  <si>
    <t>เครื่องปั่นกำเนิดไฟฟ้าขนาดไม่น้อยกว่า 300 กิโลวัตต์ ทดแทนเครื่องเก่าที่ใช้มาเป็นเวลายาวนาน</t>
  </si>
  <si>
    <t>รพ.เหลมฉบัง</t>
  </si>
  <si>
    <t>เปลี่ยนมิเตอร์น้ำประปาและวางท่อเมนใหม่ เปลี่ยนขนาดท่อ เป็น กว้าง 85 มิลลิเมตร รอบรพ.ทั้งหมด</t>
  </si>
  <si>
    <t>เครื่องกำเนิดไฟฟ้า ขนาดไม่น้อยกว่า300 กิโลวัตต์</t>
  </si>
  <si>
    <t xml:space="preserve"> เครื่องกำเนิดไฟฟ้า ขนาดไม่น้อยกว่า 500 กิโลวัตต์ </t>
  </si>
  <si>
    <t xml:space="preserve">ปรับปรุงระบบไฟฟ้า สายส่งไฟฟ้า และตู้ควบคุมแรงดันไฟฟ้า MDB </t>
  </si>
  <si>
    <t>รพ.สต.บ้านห้างสูง</t>
  </si>
  <si>
    <t>รพสต.บ้านชากแง้ว</t>
  </si>
  <si>
    <t>รพ.สต.หนองเหียง(บ้านไร่เสธ์)</t>
  </si>
  <si>
    <t>รพ.สต.บ้านหัวกุญแจ</t>
  </si>
  <si>
    <t>รพ.สต.บ้านท่าจาม</t>
  </si>
  <si>
    <t>รพสต.หนองกะขะ</t>
  </si>
  <si>
    <t>รพสต.หน้าประดู่</t>
  </si>
  <si>
    <t>รพสต.มาบโป่ง</t>
  </si>
  <si>
    <t xml:space="preserve"> รพ.สต.บ้านป่ายุบ</t>
  </si>
  <si>
    <t>รพ.สต.ทับเจริญ</t>
  </si>
  <si>
    <t>รพสต.สำนักบก</t>
  </si>
  <si>
    <t>สนง.เขต</t>
  </si>
  <si>
    <t>สสจ.ชลบุรี</t>
  </si>
  <si>
    <t>หอพักพยาบาล 7 ชั้น 96  unit เลขที่แบบ 10725</t>
  </si>
  <si>
    <t xml:space="preserve">แบบอาคารเลขที่แบบ9556 ชื่ออาคารแฟลตพักแพทย์ 12 ยูนิต  4 ชั้น </t>
  </si>
  <si>
    <t>รพช.หนองใหญ่</t>
  </si>
  <si>
    <t>บ้านพักข้าราชการ ระดับ 7-8</t>
  </si>
  <si>
    <t>อาคารแฟล็ตพยาบาล 32 ห้อง แบบเลขที่ 8813</t>
  </si>
  <si>
    <t>อาคารพักเจ้าหน้าที่ 7 ชั้น 96 ห้อง แบบเลขที่ 10725 ราคา 70,733,200 บ</t>
  </si>
  <si>
    <t>บ้านพักข้าราชการระดับ1-2ใต้ถุนสูง(2ครอบครัว)เลขที่แบบ5335/2532 ราคาต่อหน่วย1,304,900 บาท(ต้องการ 4 หน่วย รวมเป็นเงิน5,219,600)</t>
  </si>
  <si>
    <t>อาคารพักแพทย์ 6 ชั้น 20 unit แบบเลขที่ 8440</t>
  </si>
  <si>
    <t xml:space="preserve">แบบอาคารเลขที่แบบ8813 ชื่ออาคารแฟลตพยาบาล 32 ห้อง16 ครอบครัว 4 ชั้น </t>
  </si>
  <si>
    <t>อาคารพักแพทย์ 12 ครอบครัว แบบ8079</t>
  </si>
  <si>
    <t>บ้านพักข้าราชการ 8-9 แบบ 9926/2553 ราคา 2,420,300 บาท</t>
  </si>
  <si>
    <t>อาคารที่พัก 4 ชั้น แบบเลขที่ 8057  ราคา  17,336,900 บาท</t>
  </si>
  <si>
    <t>ราคา</t>
  </si>
  <si>
    <t>อาคารสถานีอนามัย</t>
  </si>
  <si>
    <t xml:space="preserve">บ้านพักข้าราชการระดับ 5-6 </t>
  </si>
  <si>
    <t>บ้านพักข้าราชการระดับ 7-8</t>
  </si>
  <si>
    <t xml:space="preserve">บ้านพักข้าราชการ ระดับ 7-8 รพ.สต.บ้านหัวกุญแจ สำนักงานสาธารณสุขอำเภอบ้านบึง จังหวัดชลบุรี </t>
  </si>
  <si>
    <t>บ้านพักข้าราชการ ระดับ 5-6  2 ชั้น พื้นที่ 98 ตารางเมตร</t>
  </si>
  <si>
    <t>แบบเลขที่ 5337/32</t>
  </si>
  <si>
    <t xml:space="preserve">บ้านพักข้าราชการ ระดับ 7-8 รพ.สต.บ้านป่ายุบ สำนักงานสาธารณสุขอำเภอบ้านบึง จังหวัดชลบุรี </t>
  </si>
  <si>
    <t>5338/33</t>
  </si>
  <si>
    <t xml:space="preserve">บ้านพักข้าราชการ ระดับ 7-8 รพ.สต.ทับเจริญ สำนักงานสาธารณสุขอำเภอบ่อทอง จังหวัดชลบุรี </t>
  </si>
  <si>
    <t xml:space="preserve">บ้านพักข้าราชการระดับ 7-8    </t>
  </si>
  <si>
    <t>สรุปลการจัดลำดับอาคารจอดรถ</t>
  </si>
  <si>
    <t>วงเงิน</t>
  </si>
  <si>
    <t>สถานที่</t>
  </si>
  <si>
    <t>สรุปลการจัดลำดับอาคารที่พัก</t>
  </si>
  <si>
    <t>ร้อยละส่วนขาด</t>
  </si>
  <si>
    <t>สรุปการจัดลำดับ OPD  ตามวงเงินที่กำหนดเรียงตามสัดส่วนOP visit/จำนวนห้องOPD</t>
  </si>
  <si>
    <t>หมายเหตุ : ,มติที่ประชุมให้พิจารณาเฉพาะรพ.A/S/M  เนื่องจากมีความแออัด</t>
  </si>
  <si>
    <t>และกรุณาระบุชื่ออาคาร ตามบัญชีรายการสบรส.ประกอบ</t>
  </si>
  <si>
    <t>อาคารบริการและจอดรถ แบบเลขที่ 9034 ราคา 193,437,600 บาท</t>
  </si>
  <si>
    <t>อาคารจอดรถ แบบเลขที่ 8894  ราคา  86,577,300 บาท</t>
  </si>
  <si>
    <t>อาคาร(229คัน)แบบ10966 ราคาประมาณการ 40,000,000บาท</t>
  </si>
  <si>
    <t>รพ.สต.หนองตาอุ่น</t>
  </si>
  <si>
    <t>รพ.สต.บ้านหนองบอนแดง</t>
  </si>
  <si>
    <t>อาคารไตเทียมและกายภาพบำบัด  แบบ 10673</t>
  </si>
  <si>
    <t xml:space="preserve">อาคารพัสดุ 2 ชั้น  </t>
  </si>
  <si>
    <t xml:space="preserve">อาคารแพทย์แผนไทย เลขที่แบบ จำนวน 1 อาคาร </t>
  </si>
  <si>
    <t>อาคารสถานีอนามัยทดแทน พื้นที่ 300 ตารางเมตร</t>
  </si>
  <si>
    <t xml:space="preserve">อาคารสถานีอนามัยบ้านหนองบอนแดง   เป็นอาคาร คสล.2 ชั้น พื้นที่ไม่น้อยกว่า 300 ตารางเมตร   สำนักงานสาธารณสุขอำเภอบ้านบึง จังหวัดชลบุรี </t>
  </si>
  <si>
    <t>อาคารสำนักงานสาธารณสุขอำเภอพนมสารคาม แบบ 8732 ราคา3.8 ล้านบาท /อาคารสำนักงานสาธารณสุขอำเภอท่าตะเกียบ แบบ 8732 ราคา3.8 ล้านบาท</t>
  </si>
  <si>
    <t>อาคารเภสัชกรรม 3 ชั้น</t>
  </si>
  <si>
    <t>supp</t>
  </si>
  <si>
    <t>กุฏโง้ง</t>
  </si>
  <si>
    <t xml:space="preserve">อาคาร 5 ชั้น </t>
  </si>
  <si>
    <t>ทุ่งสุขลา</t>
  </si>
  <si>
    <t xml:space="preserve">6901/1 </t>
  </si>
  <si>
    <t>อาคาร 5 ชั้น</t>
  </si>
  <si>
    <t xml:space="preserve">อาคาร โรงรถ พัสดุ ซักฟอก เลขที่แบบ6  </t>
  </si>
  <si>
    <t>5319/2536</t>
  </si>
  <si>
    <t>หน้าประดู่</t>
  </si>
  <si>
    <t>หนองบอนแดง</t>
  </si>
  <si>
    <t>รวมจังหวัดชลบุรี</t>
  </si>
  <si>
    <t xml:space="preserve">ปรับปรุงอาคารสถานีอนามัยตำบลแสนสุขอาคาร 3 ชั้นพื้นที่ 604 ตารางเมตร ราคา 5 ล้าน  อายุการใช้งาน  43  ปี อยู่ในเขตเมืองตำบลแสนสุข ประชากร  21,000 คน     </t>
  </si>
  <si>
    <t>รพ.สต.แสนสุข</t>
  </si>
  <si>
    <t>แสนสุข</t>
  </si>
  <si>
    <t xml:space="preserve">ชลบุรี </t>
  </si>
  <si>
    <t xml:space="preserve">ปรับปรุงห้องประชุม/ต่อเติมอาคารสำนักงานและโรงจอดรถสำนักงาน ราคา  1.5 ล้าน อายุการใช้งาน 30  ปี </t>
  </si>
  <si>
    <t>การจัดลำดับที่พัก ขรก.ของจังหวัดฉะเชิงเทรา</t>
  </si>
  <si>
    <t>สถานบริการ</t>
  </si>
  <si>
    <t>มีที่พัก (unit)</t>
  </si>
  <si>
    <t>จนท.7สาขาวิชาชีพ</t>
  </si>
  <si>
    <t>ร้อยละของที่พัก
เทียบกับจำนวนวิชาชีพ</t>
  </si>
  <si>
    <t>80%-ของ จนท.7สาขา</t>
  </si>
  <si>
    <t>สัดส่วน</t>
  </si>
  <si>
    <t>รพ.คลองเขื่อน(รพ.สร้างใหม่)</t>
  </si>
  <si>
    <t>การจัดลำดับที่พัก ขรก.ของจังหวัดชลบุรี</t>
  </si>
  <si>
    <t>จังหวัดปราจีนบุรี</t>
  </si>
  <si>
    <t xml:space="preserve">รพ.เจ้าพระยาอภัยภูเบศร </t>
  </si>
  <si>
    <t>รพ.กบินทร์บุรี</t>
  </si>
  <si>
    <t>รพ.นาดี</t>
  </si>
  <si>
    <t>รพ.ประจันตคาม</t>
  </si>
  <si>
    <t>รพ.ศรีมาโพธิ</t>
  </si>
  <si>
    <t>โรงพยาบาลเจ้าพระยาอภัยภูเบศร</t>
  </si>
  <si>
    <t>ปรับปรุงรายการOPD</t>
  </si>
  <si>
    <t xml:space="preserve">จังหวัดปราจีนบุรี </t>
  </si>
  <si>
    <t>รพ.ศรีมโหสถ</t>
  </si>
  <si>
    <t>รพ.บ้านสร้าง</t>
  </si>
  <si>
    <t>ปรับปรุงอาคาร OPD 8,000,000 บาท</t>
  </si>
  <si>
    <t>1. ปรับปรุงอาคาร OPD 2,000,000 บาท</t>
  </si>
  <si>
    <t xml:space="preserve"> ปรับปรุงอาคาร OPD 10,000,000 บาท</t>
  </si>
  <si>
    <t>ปรับปรุงอาคาร OPD 2,000,000 บาท</t>
  </si>
  <si>
    <t xml:space="preserve"> ปรับปรุงอาคาร OPD 5,000,000 บาท</t>
  </si>
  <si>
    <t>เครื่องผ่าตัดต้อกระจกด้วยคลื่นความถี่สูง</t>
  </si>
  <si>
    <t>กบินทร์บุรี</t>
  </si>
  <si>
    <t xml:space="preserve">ปราจีนบุรี </t>
  </si>
  <si>
    <t xml:space="preserve">รถพยาบาลโครงสร้างปลอดภัยเคลือบสารต้านจุลชีพขนาดกลาง </t>
  </si>
  <si>
    <t>เจ้าพระยาอภัยภูเบศร</t>
  </si>
  <si>
    <t xml:space="preserve">ตู้อบเด็กสำหรับลำเลียงทารกแรกคลอด </t>
  </si>
  <si>
    <t>ศรีมหาโพธิ</t>
  </si>
  <si>
    <t xml:space="preserve">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  </t>
  </si>
  <si>
    <t xml:space="preserve">กล้องถ่ายภาพจอประสาทตาดิจิตอล </t>
  </si>
  <si>
    <t>ประจันตคาม</t>
  </si>
  <si>
    <t xml:space="preserve">เครื่องจี้ห้ามเลือดในระบบทางเดินอาหารด้วยอากอน </t>
  </si>
  <si>
    <t>นาดี</t>
  </si>
  <si>
    <t>ศรีมโหสถ</t>
  </si>
  <si>
    <t>เครื่องดมยาสลบชนิด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</si>
  <si>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 xml:space="preserve">เครื่องตรวจสมรรถภาพทารกในครรภ์ภาวะวิกฤตรวมศูนย์ 8 เตียง </t>
  </si>
  <si>
    <t>เตียงผ่าตัดทั่วไประบบไฟฟ้าพร้อมรีโมทคอนโทล</t>
  </si>
  <si>
    <t>รถบรรทุก (ดีเซล) ขนาด 1 ตัน ปริมาตรกระบอกสูบไม่ต่ำกว่า 2400 ซีซี. ขับเคลื่อน 2 ล้อ แบบดับเบิ้ลแค็บ</t>
  </si>
  <si>
    <t xml:space="preserve">เครื่องส่องหลอดลมชนิดไฟเบอร์ออฟติก </t>
  </si>
  <si>
    <t>บ้านสร้าง</t>
  </si>
  <si>
    <t xml:space="preserve">เครื่องเอกซเรย์เคลื่อนที่ขนาดไม่น้อยกว่า 100 mA. </t>
  </si>
  <si>
    <t xml:space="preserve"> เครื่องรับสัญญาณภาพเอกซเรย์เป็นดิจิตอล ชนิดชุดรับภาพแฟลตพาแนลไร้สาย </t>
  </si>
  <si>
    <t xml:space="preserve">เครื่องเอกซเรย์ทั่วไปขนาดไม่น้อยกว่า 1000 mA. แบบแขวนเพดาน </t>
  </si>
  <si>
    <t>เครื่องตรวจหัวใจด้วยคลื่นเสียงความถี่สูงขนาดเล็ก</t>
  </si>
  <si>
    <t>รถส่วนกลาง รถนั่งส่วนกลางปริมาตรกระบอกสูบไม่เกิน 1600 ซีซี.</t>
  </si>
  <si>
    <t>รถโดยสารขนาด12ที่นั่ง(ดีเซล)</t>
  </si>
  <si>
    <t xml:space="preserve">เครื่องตรวจอวัยวะภายในด้วยคลื่นเสียงความถี่สูง สำหรับทำ Vascular access Regional nerve block </t>
  </si>
  <si>
    <t xml:space="preserve"> เครื่องติดตามการทำงานของหัวใจและสัญญาณชีพระบบรวมศูนย์ไม่น้อยกว่า  4 เตียง </t>
  </si>
  <si>
    <t xml:space="preserve"> เครื่องนึ่งฆ่าเชื้อจุลินทรีย์ด้วยไอน้ำระบบอัตโนมัติขนาดไม่น้อยกว่า 560 ลิตร
(Pre-Post Vac) ห้องนึ่งทรงสี่เหลี่ยม ชนิด 1 ประตู  
</t>
  </si>
  <si>
    <t xml:space="preserve"> ชุดอุปกรณ์ช่วยชีวิตทารกแรกคลอด </t>
  </si>
  <si>
    <t xml:space="preserve">เครื่องเอกซเรย์ทั่วไปขนาดไม่น้อยกว่า 1000 mA. แบบแขวนเพดานดิจิตอล 2 จอรับภาพ </t>
  </si>
  <si>
    <t xml:space="preserve">เครื่องเอกซเรย์เคลื่อนที่ดิจิตอลไม่น้อยกว่า 300 mA. </t>
  </si>
  <si>
    <t xml:space="preserve">กล้องจุลทรรศน์ผ่าตัด หูคอจมูก พร้อมระบบโฟกัสด้วยไฟฟ้า </t>
  </si>
  <si>
    <t>รถพยาบาลฉุกเฉิน (รถกระบะ) ปริมาตรกระบอกสูบไม่ต่ำกว่า 2,400 ซีซี.  (ทดแทนคันเดิม อายุการใช้งาน นานกว่า 23 ปี)</t>
  </si>
  <si>
    <t>รพ.สต.บ้าน กม.80</t>
  </si>
  <si>
    <t>รพ.สต.กรอกสมบูรณ์</t>
  </si>
  <si>
    <t>รถพยาบาลฉุกเฉิน (รถกระบะ) ปริมาตรกระบอกสูบไม่ต่ำกว่า 2,400 ซีซี.(ทดแทนคันเดิม อายุการใช้งาน นานกว่า 20 ปี)</t>
  </si>
  <si>
    <t>รพ.สต.บ้านปรือวายใหญ่</t>
  </si>
  <si>
    <t>รพ.สต.บ้านคลองรั้ง</t>
  </si>
  <si>
    <t>รพ.สต.ท่าตูม</t>
  </si>
  <si>
    <t>รพ.สต.ดงกระทงยาม</t>
  </si>
  <si>
    <t>รพ.ศรีมหาโพธิ</t>
  </si>
  <si>
    <t>5. ปรับปรุงขยายขีดความสามารถระบบบำบัดน้ำเสีย</t>
  </si>
  <si>
    <t>1. สร้างระบบบำบัดน้ำเสีย</t>
  </si>
  <si>
    <t>6. ปรับปรุงขยายขีดความสามารถระบบบำบัดน้ำเสีย</t>
  </si>
  <si>
    <t>2. สร้างระบบบำบัดน้ำเสีย</t>
  </si>
  <si>
    <t>4. ซ่อมแซมระบบบำบัดน้ำเสีย</t>
  </si>
  <si>
    <t>3. ซ่อมแซมระบบบำบัดน้ำเสีย</t>
  </si>
  <si>
    <t>รพ.สต.กม.80</t>
  </si>
  <si>
    <t>รพ.สต.ทุ่งโพธิ์</t>
  </si>
  <si>
    <t>อาคารพักพยาบาล 32 หน่วย 5 ชั้น 2380 ตร.ม แบบเลขที่ 8870 ราคา 37,148,700 บาท (เพือรองรรับการขยายขีดความสามารถของโรงพยาบาล และอาคารเก่าทรุดโทรมมาก)</t>
  </si>
  <si>
    <t>บ้านพักข้าราชการระดับ 5-6 แบบเลขที่ 5337/2532 ราคา 1,237,300 บาท 1 หลัง (พื้นที่กันดาล เป็นภูเขา ห่างไกล 100 กม. จากตัวจังหวัดการเดินทางไม่สะดวก )</t>
  </si>
  <si>
    <t>บ้านพักข้าราชการระดับ 1-2 ใต้ถุนสูง (2 ครอบครัว)แบบเลขที่ 5335/2532 ราคา 1,304,900 บาท (เป็น PCU ใหญ่ มี จนท. 8 คน ห่างจากตัวจังหวัด 80 กม. มีบ้านพัก 2 หลัง จนท.แออัด)</t>
  </si>
  <si>
    <t>บ้านพักข้าราชการระดับ 5-6 แบบเลขที่ 5337/2532 ราคา 1,237,300 บาท 2 หลัง (อาคารสำนักงานสาธารณสุขอำเภอสร้างใหม่ ยังไม่มีบ้านพัก)</t>
  </si>
  <si>
    <t>2. แฟลตพักพยาบาล 7 ชั้น 40 ยูนิต (80 ห้อง) แบบเลขที่ 10535 พื้นที่ 3336 ตรม. ราคา 59,742,700 บาท (แฟลตพักเดิมไม่เพียงพอต่อการเพิ่มขึ้นของพยาบาลซึ่งในปี 2562 จะมีพยาบาลจบใหม่ จำนวน 137 คน และรองรับการพัฒนาศูนย์ความเชี่ยวชาญเฉพาะด้าน)</t>
  </si>
  <si>
    <t>1. อาคารพักพยาบาล 24 ห้อง แบบเลขที่ 9555 3 ชั้น พื้นที่ 745 ตร.ม.ราคา 9,736,300 บาท (เพื่อรองรับการเปิดคลินิกพิเศษ และรองรับการขยายตัวของโรงพยาบาล)</t>
  </si>
  <si>
    <t>แฟลตพักแพทย์ 20 ยูนิต (6ชั้น) พื้นที่ 2366 ตร.ม. แบบเลขที่ 8400 ราคา 28,737,300 บาท  (ในปี 2563 เปิดบริการเป็นคลินิกพิเศษเฉพาะ จึงมีแพทย์เพิ่มขึ้น และมีแพทย์หมุนเข้ามาใช้ทุน)</t>
  </si>
  <si>
    <t>รพ.เจ้าพระยาอภัยภูเบศร</t>
  </si>
  <si>
    <t xml:space="preserve"> 1. อาคารพัสดุ และซ่อมบำรุง 2 ชั้น พื้นที่ 576 ตรม.  แบบเลขที่ 8709  ราคา 6,570,200 บาท (โรงพยาบาลไม่มีอาคารคลังพัสดุ ซึ่งปัจจุบันอาคารที่ใช้งานดัดแปลงมาจากอาคารทั่วไป สภาพอาคารไม่ได้มาฐานของคลังพัสดุทั่วไปด้านการรักษาความปลอดภัยของวัสดุครุภัณฑ์)</t>
  </si>
  <si>
    <t xml:space="preserve"> 2. อาคารพัสดุ และซ่อมบำรุง2 ชั้น พื้นที่ 576 ตรม.  แบบเลขที่ 8709  ราคา 6,570,200 บาท (ขยายฐานะเป็น M1)</t>
  </si>
  <si>
    <t>อาคารคลังยาและเวชภัณฑ์ 2ชั้น  พื้นที่ 1227 ตรม. แบบเลขที่ 9713  ราคา 14,006,100 บาท (เพื่อให้สามารถเก็บวัสดุที่เป็นยาและเวชภัณฑ์มิใช่ยาได้ ปัจจุบันอาคารหลังเก่ามีพื้นที่คับแคบ ไม่เพียงพอต่อการขยายตัวของโรงพยาบาลจึงมีความจำเป็นต้องขออาคารหลังใหม่เพีม เพื่อให้การเก็บรักษายาและเวชภัณฑ์เป็นไปตามมาตรฐานและปลอดภัย )</t>
  </si>
  <si>
    <t>1. อาคารซักฟอก และหน่วยจ่ายกลาง แบบเลขที่ 9916 ราคา 29,500,000</t>
  </si>
  <si>
    <t>2. ทางเดินเชื่อม Cover Way แบบเอกขน   ราคา 3,000,000 บาท</t>
  </si>
  <si>
    <t>1. โรงอาหาร โรงครัว ซักฟอก 1 ชั้น แบบเลขที่ 5321/2536 ราคา 2,119,900 บาท (เนื่องจากอาคารเดิม ชั้นเดียวสร้างมาประมาณ 30 ปีและ รพ.ได้ขยายเป็น 60 เตียง ทำให้พื้นที่ใช้สอยไม่เพียงพอ)</t>
  </si>
  <si>
    <t xml:space="preserve"> อาคารพัสดุ และซ่อมบำรุง 2 ชั้น พื้นที่ 576 ตรม.  แบบเลขที่ 8709  ราคา 6,570,200 บาท (เนื่องจากอาคารเดิมชั้นเดียว สร้างมาประมาณ 30 ปีและ รพ.ได้ขยายเป็น 60 เตียง ทำให้พื้นที่ใช้สอยไม่เพียงพอ)</t>
  </si>
  <si>
    <t>1. อาคารสถานีอนามัย 2 ชั้น แบบเลขที่ 10746 พื้นที่ประมาณ 300 ตร.ม. ราคา 3,140,800 บาท (ทดแทนหลังเก่า สร้างเมื่อปี 2527)</t>
  </si>
  <si>
    <t>รพ.สต.กระทุ่มแพ้ว</t>
  </si>
  <si>
    <t>รพ.สต.หนองแก้ว</t>
  </si>
  <si>
    <t>รพ.สต.บ้านหนองงูเหลือม</t>
  </si>
  <si>
    <t>อาคารสถานีอนามัย 2 ชั้น แบบเลขที่ 10746 พื้นที่ประมาณ 300 ตร.ม. ราคา 3,140,800 บาท (ทดแทนหลังเก่า สร้างเมื่อปี 2530)</t>
  </si>
  <si>
    <t>3,140,80</t>
  </si>
  <si>
    <t>2. อาคารสำนักงานสาธารณสุขอำเภอ  2 ชั้น แบบเลขที่ 8732 พื้นที่ประมาณ 285 ตร.ม. ราคา 3,819,000 บาท (ยังไม่มีสำนักงาน อาศัยที่ว่าการอำเภออยู่)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</si>
</sst>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87" formatCode="_-* #,##0_-;\-* #,##0_-;_-* &quot;-&quot;??_-;_-@_-"/>
    <numFmt numFmtId="188" formatCode="[$-D00041E]0"/>
    <numFmt numFmtId="189" formatCode="_(* #,##0_);_(* \(#,##0\);_(* &quot;-&quot;??_);_(@_)"/>
    <numFmt numFmtId="190" formatCode="#,##0;[Red]#,##0"/>
    <numFmt numFmtId="191" formatCode="_-* #,##0.00_-;\-* #,##0.00_-;_-* \-??_-;_-@_-"/>
    <numFmt numFmtId="192" formatCode="_-* #,##0_-;\-* #,##0_-;_-* \-??_-;_-@_-"/>
    <numFmt numFmtId="193" formatCode="#,##0.000"/>
    <numFmt numFmtId="194" formatCode="#,##0_ ;\-#,##0\ "/>
    <numFmt numFmtId="195" formatCode="0.000"/>
    <numFmt numFmtId="196" formatCode="_-* #,##0.0_-;\-* #,##0.0_-;_-* &quot;-&quot;??_-;_-@_-"/>
    <numFmt numFmtId="197" formatCode="_-* #,##0_-;\-* #,##0_-;_-* &quot;-&quot;?_-;_-@_-"/>
    <numFmt numFmtId="198" formatCode="_-* #,##0.0000_-;\-* #,##0.0000_-;_-* &quot;-&quot;??_-;_-@_-"/>
    <numFmt numFmtId="199" formatCode="0.0000000000000"/>
  </numFmts>
  <fonts count="94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0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H SarabunPSK"/>
      <family val="2"/>
    </font>
    <font>
      <sz val="10"/>
      <name val="Arial"/>
      <family val="2"/>
    </font>
    <font>
      <sz val="12"/>
      <color theme="1"/>
      <name val="TH SarabunIT๙"/>
      <family val="2"/>
    </font>
    <font>
      <vertAlign val="subscript"/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2"/>
      <name val="Times New Roman"/>
      <family val="1"/>
    </font>
    <font>
      <sz val="14"/>
      <color indexed="8"/>
      <name val="TH SarabunIT๙"/>
      <family val="2"/>
    </font>
    <font>
      <sz val="16"/>
      <name val="TH SarabunPSK"/>
      <family val="2"/>
    </font>
    <font>
      <sz val="14"/>
      <name val="TH SarabunIT๙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8"/>
      <color theme="1"/>
      <name val="TH SarabunIT๙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11"/>
      <name val="Wingdings 2"/>
      <family val="1"/>
      <charset val="2"/>
    </font>
    <font>
      <sz val="14"/>
      <name val="Wingdings 2"/>
      <family val="1"/>
      <charset val="2"/>
    </font>
    <font>
      <sz val="12"/>
      <name val="TH SarabunIT๙"/>
      <family val="2"/>
    </font>
    <font>
      <sz val="16"/>
      <name val="TH SarabunIT๙"/>
      <family val="2"/>
    </font>
    <font>
      <sz val="11"/>
      <name val="Tahoma"/>
      <family val="2"/>
      <charset val="222"/>
      <scheme val="minor"/>
    </font>
    <font>
      <sz val="16"/>
      <color theme="1"/>
      <name val="TH SarabunIT๙"/>
      <family val="2"/>
    </font>
    <font>
      <sz val="13"/>
      <name val="TH SarabunIT๙"/>
      <family val="2"/>
    </font>
    <font>
      <sz val="16"/>
      <name val="Times New Roman"/>
      <family val="1"/>
    </font>
    <font>
      <b/>
      <sz val="14"/>
      <color rgb="FF0000CC"/>
      <name val="TH SarabunIT๙"/>
      <family val="2"/>
    </font>
    <font>
      <sz val="10"/>
      <name val="TH SarabunIT๙"/>
      <family val="2"/>
    </font>
    <font>
      <sz val="10"/>
      <color theme="1"/>
      <name val="TH SarabunIT๙"/>
      <family val="2"/>
    </font>
    <font>
      <sz val="10"/>
      <color indexed="8"/>
      <name val="TH SarabunIT๙"/>
      <family val="2"/>
    </font>
    <font>
      <sz val="9"/>
      <color theme="1"/>
      <name val="TH SarabunIT๙"/>
      <family val="2"/>
    </font>
    <font>
      <b/>
      <sz val="14"/>
      <color rgb="FFFF0000"/>
      <name val="TH SarabunIT๙"/>
      <family val="2"/>
    </font>
    <font>
      <sz val="12"/>
      <color rgb="FFFF0000"/>
      <name val="TH SarabunIT๙"/>
      <family val="2"/>
    </font>
    <font>
      <sz val="11"/>
      <color theme="1"/>
      <name val="TH SarabunIT๙"/>
      <family val="2"/>
    </font>
    <font>
      <sz val="8"/>
      <color theme="1"/>
      <name val="TH SarabunPSK"/>
      <family val="2"/>
    </font>
    <font>
      <sz val="9"/>
      <name val="TH SarabunPSK"/>
      <family val="2"/>
    </font>
    <font>
      <b/>
      <sz val="9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b/>
      <sz val="14"/>
      <color rgb="FFC00000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9"/>
      <color indexed="81"/>
      <name val="Tahoma"/>
      <family val="2"/>
    </font>
    <font>
      <sz val="9"/>
      <name val="TH SarabunIT๙"/>
      <family val="2"/>
    </font>
    <font>
      <b/>
      <sz val="12"/>
      <name val="TH SarabunPSK"/>
      <family val="2"/>
    </font>
    <font>
      <b/>
      <sz val="16"/>
      <name val="TH SarabunIT๙"/>
      <family val="2"/>
    </font>
    <font>
      <b/>
      <sz val="14"/>
      <color rgb="FFFF0000"/>
      <name val="TH SarabunPSK"/>
      <family val="2"/>
    </font>
    <font>
      <b/>
      <sz val="13"/>
      <color theme="1"/>
      <name val="TH SarabunPSK"/>
      <family val="2"/>
    </font>
    <font>
      <b/>
      <sz val="16"/>
      <color rgb="FFFF0000"/>
      <name val="TH SarabunPSK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IT๙"/>
      <family val="2"/>
    </font>
    <font>
      <sz val="9"/>
      <color rgb="FF000000"/>
      <name val="TH SarabunPSK"/>
      <family val="2"/>
    </font>
    <font>
      <sz val="12"/>
      <color rgb="FF000000"/>
      <name val="TH SarabunPSK"/>
      <family val="2"/>
    </font>
    <font>
      <b/>
      <sz val="8"/>
      <color theme="1"/>
      <name val="TH SarabunIT๙"/>
      <family val="2"/>
    </font>
    <font>
      <sz val="14"/>
      <color theme="4"/>
      <name val="TH SarabunPSK"/>
      <family val="2"/>
    </font>
    <font>
      <b/>
      <sz val="14"/>
      <color theme="4"/>
      <name val="TH SarabunPSK"/>
      <family val="2"/>
    </font>
    <font>
      <sz val="12"/>
      <color theme="4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IT๙"/>
      <family val="2"/>
    </font>
    <font>
      <b/>
      <sz val="14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rgb="FF000000"/>
      <name val="TH SarabunPSK"/>
      <family val="2"/>
    </font>
    <font>
      <b/>
      <sz val="13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0"/>
      <color indexed="8"/>
      <name val="TH SarabunPSK"/>
      <family val="2"/>
    </font>
    <font>
      <sz val="11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9" fillId="0" borderId="0"/>
    <xf numFmtId="0" fontId="24" fillId="0" borderId="0"/>
    <xf numFmtId="43" fontId="22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24" fillId="0" borderId="0"/>
    <xf numFmtId="191" fontId="24" fillId="0" borderId="0" applyFill="0" applyBorder="0" applyAlignment="0" applyProtection="0"/>
    <xf numFmtId="0" fontId="58" fillId="0" borderId="0"/>
    <xf numFmtId="0" fontId="18" fillId="0" borderId="0" applyFill="0"/>
    <xf numFmtId="196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18" fillId="0" borderId="0"/>
  </cellStyleXfs>
  <cellXfs count="14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9" xfId="0" applyFont="1" applyBorder="1" applyAlignment="1">
      <alignment horizontal="center" shrinkToFit="1"/>
    </xf>
    <xf numFmtId="0" fontId="0" fillId="0" borderId="9" xfId="0" applyBorder="1" applyAlignment="1">
      <alignment shrinkToFit="1"/>
    </xf>
    <xf numFmtId="0" fontId="2" fillId="0" borderId="2" xfId="0" applyFont="1" applyBorder="1" applyAlignment="1">
      <alignment horizontal="center" shrinkToFit="1"/>
    </xf>
    <xf numFmtId="0" fontId="0" fillId="0" borderId="2" xfId="0" applyBorder="1" applyAlignment="1">
      <alignment shrinkToFit="1"/>
    </xf>
    <xf numFmtId="0" fontId="2" fillId="0" borderId="3" xfId="0" applyFont="1" applyBorder="1" applyAlignment="1">
      <alignment horizontal="center" shrinkToFit="1"/>
    </xf>
    <xf numFmtId="0" fontId="0" fillId="0" borderId="3" xfId="0" applyBorder="1" applyAlignment="1">
      <alignment shrinkToFit="1"/>
    </xf>
    <xf numFmtId="0" fontId="2" fillId="0" borderId="0" xfId="0" applyFont="1" applyAlignment="1">
      <alignment horizontal="center" shrinkToFit="1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/>
    <xf numFmtId="0" fontId="8" fillId="0" borderId="0" xfId="0" applyFont="1"/>
    <xf numFmtId="3" fontId="15" fillId="0" borderId="9" xfId="0" applyNumberFormat="1" applyFont="1" applyBorder="1" applyAlignment="1">
      <alignment horizontal="center" vertical="center" textRotation="90"/>
    </xf>
    <xf numFmtId="3" fontId="15" fillId="0" borderId="2" xfId="0" applyNumberFormat="1" applyFont="1" applyBorder="1" applyAlignment="1">
      <alignment horizontal="center" vertical="center" textRotation="90"/>
    </xf>
    <xf numFmtId="187" fontId="16" fillId="0" borderId="1" xfId="1" applyNumberFormat="1" applyFont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/>
    </xf>
    <xf numFmtId="187" fontId="13" fillId="0" borderId="9" xfId="1" applyNumberFormat="1" applyFont="1" applyFill="1" applyBorder="1" applyAlignment="1">
      <alignment horizontal="center" vertical="center" textRotation="90"/>
    </xf>
    <xf numFmtId="187" fontId="13" fillId="0" borderId="2" xfId="1" applyNumberFormat="1" applyFont="1" applyFill="1" applyBorder="1" applyAlignment="1">
      <alignment horizontal="center" vertical="center" textRotation="90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center" shrinkToFit="1"/>
    </xf>
    <xf numFmtId="0" fontId="17" fillId="0" borderId="9" xfId="0" applyFont="1" applyBorder="1" applyAlignment="1">
      <alignment shrinkToFit="1"/>
    </xf>
    <xf numFmtId="0" fontId="8" fillId="0" borderId="9" xfId="0" applyFont="1" applyBorder="1" applyAlignment="1">
      <alignment horizontal="left" vertical="center"/>
    </xf>
    <xf numFmtId="43" fontId="8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shrinkToFit="1"/>
    </xf>
    <xf numFmtId="0" fontId="17" fillId="0" borderId="2" xfId="0" applyFont="1" applyBorder="1" applyAlignment="1">
      <alignment shrinkToFit="1"/>
    </xf>
    <xf numFmtId="0" fontId="8" fillId="0" borderId="2" xfId="0" applyFont="1" applyBorder="1" applyAlignment="1">
      <alignment horizontal="left" vertical="center"/>
    </xf>
    <xf numFmtId="43" fontId="8" fillId="0" borderId="2" xfId="1" applyFont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top" wrapText="1"/>
    </xf>
    <xf numFmtId="187" fontId="10" fillId="2" borderId="2" xfId="1" applyNumberFormat="1" applyFont="1" applyFill="1" applyBorder="1" applyAlignment="1">
      <alignment horizontal="center" vertical="top"/>
    </xf>
    <xf numFmtId="0" fontId="10" fillId="2" borderId="2" xfId="3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shrinkToFit="1"/>
    </xf>
    <xf numFmtId="0" fontId="8" fillId="0" borderId="2" xfId="0" applyFont="1" applyBorder="1" applyAlignment="1">
      <alignment horizontal="center" vertical="top"/>
    </xf>
    <xf numFmtId="187" fontId="10" fillId="2" borderId="2" xfId="1" applyNumberFormat="1" applyFont="1" applyFill="1" applyBorder="1" applyAlignment="1">
      <alignment horizontal="left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shrinkToFit="1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/>
    </xf>
    <xf numFmtId="0" fontId="8" fillId="0" borderId="5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shrinkToFit="1"/>
    </xf>
    <xf numFmtId="0" fontId="17" fillId="0" borderId="2" xfId="0" applyFont="1" applyBorder="1" applyAlignment="1">
      <alignment vertical="top" shrinkToFit="1"/>
    </xf>
    <xf numFmtId="187" fontId="10" fillId="2" borderId="17" xfId="1" applyNumberFormat="1" applyFont="1" applyFill="1" applyBorder="1" applyAlignment="1">
      <alignment horizontal="center" vertical="top"/>
    </xf>
    <xf numFmtId="187" fontId="10" fillId="2" borderId="18" xfId="1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shrinkToFit="1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8" fillId="0" borderId="7" xfId="0" applyFont="1" applyFill="1" applyBorder="1" applyAlignment="1">
      <alignment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187" fontId="8" fillId="0" borderId="2" xfId="1" applyNumberFormat="1" applyFont="1" applyBorder="1" applyAlignment="1">
      <alignment horizontal="right" vertical="center"/>
    </xf>
    <xf numFmtId="0" fontId="17" fillId="0" borderId="2" xfId="0" applyFont="1" applyBorder="1" applyAlignment="1">
      <alignment vertical="center" shrinkToFit="1"/>
    </xf>
    <xf numFmtId="187" fontId="8" fillId="0" borderId="2" xfId="1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shrinkToFit="1"/>
    </xf>
    <xf numFmtId="187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0" fillId="0" borderId="0" xfId="3" applyFont="1" applyFill="1"/>
    <xf numFmtId="0" fontId="21" fillId="3" borderId="0" xfId="3" applyFont="1" applyFill="1" applyBorder="1" applyAlignment="1"/>
    <xf numFmtId="0" fontId="21" fillId="0" borderId="0" xfId="3" applyFont="1" applyFill="1" applyBorder="1" applyAlignment="1">
      <alignment horizontal="left"/>
    </xf>
    <xf numFmtId="0" fontId="21" fillId="0" borderId="20" xfId="3" applyFont="1" applyFill="1" applyBorder="1" applyAlignment="1"/>
    <xf numFmtId="0" fontId="21" fillId="4" borderId="20" xfId="3" applyFont="1" applyFill="1" applyBorder="1" applyAlignment="1"/>
    <xf numFmtId="187" fontId="21" fillId="0" borderId="20" xfId="2" applyNumberFormat="1" applyFont="1" applyFill="1" applyBorder="1" applyAlignment="1"/>
    <xf numFmtId="0" fontId="21" fillId="0" borderId="20" xfId="3" applyFont="1" applyFill="1" applyBorder="1" applyAlignment="1">
      <alignment horizontal="center"/>
    </xf>
    <xf numFmtId="0" fontId="21" fillId="5" borderId="20" xfId="3" applyFont="1" applyFill="1" applyBorder="1" applyAlignment="1">
      <alignment vertical="top"/>
    </xf>
    <xf numFmtId="0" fontId="21" fillId="2" borderId="6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0" borderId="0" xfId="3" applyFont="1" applyFill="1" applyAlignment="1">
      <alignment horizontal="center"/>
    </xf>
    <xf numFmtId="0" fontId="21" fillId="6" borderId="6" xfId="3" applyFont="1" applyFill="1" applyBorder="1" applyAlignment="1">
      <alignment horizontal="center" vertical="top" wrapText="1"/>
    </xf>
    <xf numFmtId="0" fontId="21" fillId="6" borderId="1" xfId="3" applyFont="1" applyFill="1" applyBorder="1" applyAlignment="1">
      <alignment horizontal="center" vertical="top" wrapText="1"/>
    </xf>
    <xf numFmtId="187" fontId="21" fillId="6" borderId="11" xfId="2" applyNumberFormat="1" applyFont="1" applyFill="1" applyBorder="1" applyAlignment="1">
      <alignment horizontal="center" vertical="top"/>
    </xf>
    <xf numFmtId="0" fontId="10" fillId="0" borderId="0" xfId="3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left" vertical="top" wrapText="1"/>
    </xf>
    <xf numFmtId="0" fontId="23" fillId="2" borderId="1" xfId="5" applyFont="1" applyFill="1" applyBorder="1" applyAlignment="1">
      <alignment horizontal="center" vertical="top" wrapText="1"/>
    </xf>
    <xf numFmtId="0" fontId="10" fillId="2" borderId="1" xfId="3" applyFont="1" applyFill="1" applyBorder="1" applyAlignment="1">
      <alignment horizontal="center" vertical="top" wrapText="1"/>
    </xf>
    <xf numFmtId="0" fontId="10" fillId="2" borderId="1" xfId="3" applyFont="1" applyFill="1" applyBorder="1" applyAlignment="1">
      <alignment horizontal="left" vertical="top" wrapText="1"/>
    </xf>
    <xf numFmtId="0" fontId="23" fillId="0" borderId="1" xfId="6" applyFont="1" applyFill="1" applyBorder="1" applyAlignment="1">
      <alignment horizontal="center" vertical="top" wrapText="1"/>
    </xf>
    <xf numFmtId="187" fontId="10" fillId="2" borderId="1" xfId="2" applyNumberFormat="1" applyFont="1" applyFill="1" applyBorder="1" applyAlignment="1">
      <alignment vertical="top" wrapText="1"/>
    </xf>
    <xf numFmtId="0" fontId="10" fillId="2" borderId="1" xfId="7" applyFont="1" applyFill="1" applyBorder="1" applyAlignment="1">
      <alignment vertical="top" wrapText="1"/>
    </xf>
    <xf numFmtId="0" fontId="25" fillId="2" borderId="1" xfId="5" applyFont="1" applyFill="1" applyBorder="1" applyAlignment="1">
      <alignment vertical="top" wrapText="1"/>
    </xf>
    <xf numFmtId="187" fontId="23" fillId="2" borderId="1" xfId="8" applyNumberFormat="1" applyFont="1" applyFill="1" applyBorder="1" applyAlignment="1">
      <alignment horizontal="center" vertical="top" wrapText="1"/>
    </xf>
    <xf numFmtId="187" fontId="23" fillId="2" borderId="1" xfId="8" applyNumberFormat="1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 vertical="top" wrapText="1"/>
    </xf>
    <xf numFmtId="0" fontId="10" fillId="2" borderId="0" xfId="3" applyFont="1" applyFill="1" applyAlignment="1">
      <alignment vertical="top"/>
    </xf>
    <xf numFmtId="0" fontId="10" fillId="2" borderId="6" xfId="3" applyFont="1" applyFill="1" applyBorder="1" applyAlignment="1">
      <alignment horizontal="center" vertical="top" wrapText="1"/>
    </xf>
    <xf numFmtId="187" fontId="23" fillId="2" borderId="6" xfId="8" applyNumberFormat="1" applyFont="1" applyFill="1" applyBorder="1" applyAlignment="1">
      <alignment vertical="top" wrapText="1"/>
    </xf>
    <xf numFmtId="0" fontId="10" fillId="7" borderId="6" xfId="3" applyFont="1" applyFill="1" applyBorder="1" applyAlignment="1">
      <alignment horizontal="center" vertical="top" wrapText="1"/>
    </xf>
    <xf numFmtId="0" fontId="23" fillId="7" borderId="6" xfId="5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vertical="center" wrapText="1"/>
    </xf>
    <xf numFmtId="3" fontId="8" fillId="7" borderId="11" xfId="0" applyNumberFormat="1" applyFont="1" applyFill="1" applyBorder="1" applyAlignment="1">
      <alignment horizontal="right" vertical="center"/>
    </xf>
    <xf numFmtId="187" fontId="10" fillId="7" borderId="1" xfId="2" applyNumberFormat="1" applyFont="1" applyFill="1" applyBorder="1" applyAlignment="1">
      <alignment vertical="top" wrapText="1"/>
    </xf>
    <xf numFmtId="43" fontId="10" fillId="7" borderId="1" xfId="1" applyFont="1" applyFill="1" applyBorder="1" applyAlignment="1">
      <alignment horizontal="center" vertical="top" wrapText="1"/>
    </xf>
    <xf numFmtId="187" fontId="23" fillId="7" borderId="1" xfId="8" applyNumberFormat="1" applyFont="1" applyFill="1" applyBorder="1" applyAlignment="1">
      <alignment vertical="top" wrapText="1"/>
    </xf>
    <xf numFmtId="187" fontId="23" fillId="7" borderId="6" xfId="8" applyNumberFormat="1" applyFont="1" applyFill="1" applyBorder="1" applyAlignment="1">
      <alignment vertical="top" wrapText="1"/>
    </xf>
    <xf numFmtId="0" fontId="10" fillId="7" borderId="1" xfId="3" applyFont="1" applyFill="1" applyBorder="1" applyAlignment="1">
      <alignment horizontal="left" vertical="top" wrapText="1"/>
    </xf>
    <xf numFmtId="0" fontId="10" fillId="7" borderId="0" xfId="3" applyFont="1" applyFill="1" applyBorder="1" applyAlignment="1">
      <alignment horizontal="center" vertical="top" wrapText="1"/>
    </xf>
    <xf numFmtId="0" fontId="10" fillId="7" borderId="0" xfId="3" applyFont="1" applyFill="1" applyBorder="1" applyAlignment="1">
      <alignment horizontal="left" vertical="top" wrapText="1"/>
    </xf>
    <xf numFmtId="0" fontId="10" fillId="7" borderId="0" xfId="3" applyFont="1" applyFill="1" applyAlignment="1">
      <alignment vertical="top"/>
    </xf>
    <xf numFmtId="0" fontId="23" fillId="3" borderId="6" xfId="5" applyFont="1" applyFill="1" applyBorder="1" applyAlignment="1">
      <alignment horizontal="center" vertical="top" wrapText="1"/>
    </xf>
    <xf numFmtId="0" fontId="10" fillId="3" borderId="6" xfId="3" applyFont="1" applyFill="1" applyBorder="1" applyAlignment="1">
      <alignment horizontal="center" vertical="top" wrapText="1"/>
    </xf>
    <xf numFmtId="0" fontId="10" fillId="3" borderId="1" xfId="3" applyFont="1" applyFill="1" applyBorder="1" applyAlignment="1">
      <alignment horizontal="left" vertical="top" wrapText="1"/>
    </xf>
    <xf numFmtId="0" fontId="23" fillId="3" borderId="11" xfId="6" applyFont="1" applyFill="1" applyBorder="1" applyAlignment="1">
      <alignment horizontal="center" vertical="top" wrapText="1"/>
    </xf>
    <xf numFmtId="187" fontId="10" fillId="3" borderId="1" xfId="2" applyNumberFormat="1" applyFont="1" applyFill="1" applyBorder="1" applyAlignment="1">
      <alignment vertical="top" wrapText="1"/>
    </xf>
    <xf numFmtId="0" fontId="10" fillId="3" borderId="1" xfId="3" applyFont="1" applyFill="1" applyBorder="1" applyAlignment="1">
      <alignment horizontal="center" vertical="top" wrapText="1"/>
    </xf>
    <xf numFmtId="0" fontId="10" fillId="3" borderId="1" xfId="7" applyFont="1" applyFill="1" applyBorder="1" applyAlignment="1">
      <alignment vertical="top" wrapText="1"/>
    </xf>
    <xf numFmtId="0" fontId="25" fillId="3" borderId="1" xfId="5" applyFont="1" applyFill="1" applyBorder="1" applyAlignment="1">
      <alignment vertical="top" wrapText="1"/>
    </xf>
    <xf numFmtId="187" fontId="23" fillId="3" borderId="1" xfId="8" applyNumberFormat="1" applyFont="1" applyFill="1" applyBorder="1" applyAlignment="1">
      <alignment horizontal="center" vertical="top" wrapText="1"/>
    </xf>
    <xf numFmtId="187" fontId="23" fillId="3" borderId="1" xfId="8" applyNumberFormat="1" applyFont="1" applyFill="1" applyBorder="1" applyAlignment="1">
      <alignment vertical="top" wrapText="1"/>
    </xf>
    <xf numFmtId="187" fontId="23" fillId="3" borderId="6" xfId="8" applyNumberFormat="1" applyFont="1" applyFill="1" applyBorder="1" applyAlignment="1">
      <alignment vertical="top" wrapText="1"/>
    </xf>
    <xf numFmtId="0" fontId="10" fillId="3" borderId="0" xfId="3" applyFont="1" applyFill="1" applyBorder="1" applyAlignment="1">
      <alignment horizontal="center" vertical="top" wrapText="1"/>
    </xf>
    <xf numFmtId="0" fontId="10" fillId="3" borderId="0" xfId="3" applyFont="1" applyFill="1" applyBorder="1" applyAlignment="1">
      <alignment horizontal="left" vertical="top" wrapText="1"/>
    </xf>
    <xf numFmtId="0" fontId="10" fillId="3" borderId="0" xfId="3" applyFont="1" applyFill="1" applyAlignment="1">
      <alignment vertical="top"/>
    </xf>
    <xf numFmtId="0" fontId="10" fillId="0" borderId="6" xfId="3" applyFont="1" applyFill="1" applyBorder="1" applyAlignment="1">
      <alignment horizontal="center" vertical="top" wrapText="1"/>
    </xf>
    <xf numFmtId="187" fontId="23" fillId="0" borderId="11" xfId="1" applyNumberFormat="1" applyFont="1" applyFill="1" applyBorder="1" applyAlignment="1">
      <alignment horizontal="center" vertical="top" wrapText="1"/>
    </xf>
    <xf numFmtId="187" fontId="23" fillId="0" borderId="1" xfId="1" applyNumberFormat="1" applyFont="1" applyFill="1" applyBorder="1" applyAlignment="1">
      <alignment horizontal="center" vertical="top" wrapText="1"/>
    </xf>
    <xf numFmtId="0" fontId="25" fillId="2" borderId="1" xfId="5" applyFont="1" applyFill="1" applyBorder="1" applyAlignment="1">
      <alignment horizontal="center" vertical="top" wrapText="1"/>
    </xf>
    <xf numFmtId="0" fontId="10" fillId="0" borderId="1" xfId="9" applyFont="1" applyFill="1" applyBorder="1" applyAlignment="1">
      <alignment vertical="top"/>
    </xf>
    <xf numFmtId="187" fontId="10" fillId="2" borderId="11" xfId="2" applyNumberFormat="1" applyFont="1" applyFill="1" applyBorder="1" applyAlignment="1">
      <alignment horizontal="center" vertical="top"/>
    </xf>
    <xf numFmtId="0" fontId="10" fillId="2" borderId="1" xfId="3" applyFont="1" applyFill="1" applyBorder="1" applyAlignment="1">
      <alignment vertical="top"/>
    </xf>
    <xf numFmtId="187" fontId="10" fillId="2" borderId="1" xfId="2" applyNumberFormat="1" applyFont="1" applyFill="1" applyBorder="1" applyAlignment="1">
      <alignment horizontal="center" vertical="top"/>
    </xf>
    <xf numFmtId="0" fontId="10" fillId="2" borderId="0" xfId="3" applyFont="1" applyFill="1"/>
    <xf numFmtId="0" fontId="10" fillId="0" borderId="1" xfId="9" applyFont="1" applyFill="1" applyBorder="1" applyAlignment="1">
      <alignment vertical="top" wrapText="1"/>
    </xf>
    <xf numFmtId="0" fontId="27" fillId="0" borderId="1" xfId="9" applyFont="1" applyFill="1" applyBorder="1" applyAlignment="1">
      <alignment vertical="top" wrapText="1"/>
    </xf>
    <xf numFmtId="187" fontId="8" fillId="0" borderId="1" xfId="1" applyNumberFormat="1" applyFont="1" applyFill="1" applyBorder="1" applyAlignment="1">
      <alignment horizontal="center" vertical="top"/>
    </xf>
    <xf numFmtId="187" fontId="10" fillId="0" borderId="1" xfId="4" applyNumberFormat="1" applyFont="1" applyFill="1" applyBorder="1" applyAlignment="1">
      <alignment horizontal="center" vertical="top"/>
    </xf>
    <xf numFmtId="187" fontId="10" fillId="0" borderId="0" xfId="4" applyNumberFormat="1" applyFont="1" applyFill="1" applyAlignment="1">
      <alignment horizontal="center" vertical="top"/>
    </xf>
    <xf numFmtId="0" fontId="10" fillId="0" borderId="1" xfId="3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 shrinkToFit="1"/>
    </xf>
    <xf numFmtId="0" fontId="10" fillId="0" borderId="0" xfId="3" applyFont="1" applyFill="1" applyAlignment="1">
      <alignment horizontal="left"/>
    </xf>
    <xf numFmtId="0" fontId="21" fillId="0" borderId="0" xfId="3" applyFont="1" applyFill="1" applyAlignment="1">
      <alignment vertical="center"/>
    </xf>
    <xf numFmtId="0" fontId="8" fillId="7" borderId="1" xfId="0" applyFont="1" applyFill="1" applyBorder="1" applyAlignment="1">
      <alignment vertical="top" wrapText="1"/>
    </xf>
    <xf numFmtId="3" fontId="10" fillId="7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 shrinkToFit="1"/>
    </xf>
    <xf numFmtId="187" fontId="10" fillId="7" borderId="1" xfId="1" applyNumberFormat="1" applyFont="1" applyFill="1" applyBorder="1" applyAlignment="1">
      <alignment horizontal="right" vertical="top"/>
    </xf>
    <xf numFmtId="187" fontId="10" fillId="7" borderId="1" xfId="4" applyNumberFormat="1" applyFont="1" applyFill="1" applyBorder="1" applyAlignment="1">
      <alignment horizontal="center" vertical="top" wrapText="1"/>
    </xf>
    <xf numFmtId="187" fontId="10" fillId="7" borderId="1" xfId="1" applyNumberFormat="1" applyFont="1" applyFill="1" applyBorder="1" applyAlignment="1">
      <alignment horizontal="center" vertical="top" wrapText="1"/>
    </xf>
    <xf numFmtId="0" fontId="10" fillId="2" borderId="1" xfId="3" applyFont="1" applyFill="1" applyBorder="1"/>
    <xf numFmtId="0" fontId="28" fillId="7" borderId="1" xfId="0" applyFont="1" applyFill="1" applyBorder="1" applyAlignment="1">
      <alignment vertical="top" wrapText="1"/>
    </xf>
    <xf numFmtId="3" fontId="8" fillId="7" borderId="1" xfId="0" applyNumberFormat="1" applyFont="1" applyFill="1" applyBorder="1" applyAlignment="1">
      <alignment horizontal="right" vertical="top"/>
    </xf>
    <xf numFmtId="187" fontId="10" fillId="2" borderId="1" xfId="1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10" fillId="2" borderId="1" xfId="3" applyFont="1" applyFill="1" applyBorder="1" applyAlignment="1">
      <alignment vertical="top" wrapText="1"/>
    </xf>
    <xf numFmtId="187" fontId="10" fillId="0" borderId="1" xfId="10" applyNumberFormat="1" applyFont="1" applyFill="1" applyBorder="1" applyAlignment="1">
      <alignment vertical="top"/>
    </xf>
    <xf numFmtId="187" fontId="10" fillId="4" borderId="11" xfId="2" applyNumberFormat="1" applyFont="1" applyFill="1" applyBorder="1" applyAlignment="1">
      <alignment horizontal="center" vertical="top"/>
    </xf>
    <xf numFmtId="0" fontId="23" fillId="4" borderId="1" xfId="6" applyFont="1" applyFill="1" applyBorder="1" applyAlignment="1">
      <alignment horizontal="left" vertical="top" wrapText="1"/>
    </xf>
    <xf numFmtId="0" fontId="25" fillId="4" borderId="1" xfId="5" applyFont="1" applyFill="1" applyBorder="1" applyAlignment="1">
      <alignment vertical="top" wrapText="1"/>
    </xf>
    <xf numFmtId="187" fontId="23" fillId="4" borderId="1" xfId="8" applyNumberFormat="1" applyFont="1" applyFill="1" applyBorder="1" applyAlignment="1">
      <alignment vertical="top" wrapText="1"/>
    </xf>
    <xf numFmtId="0" fontId="10" fillId="4" borderId="1" xfId="3" applyFont="1" applyFill="1" applyBorder="1" applyAlignment="1">
      <alignment horizontal="center" vertical="top" wrapText="1"/>
    </xf>
    <xf numFmtId="187" fontId="23" fillId="4" borderId="1" xfId="8" applyNumberFormat="1" applyFont="1" applyFill="1" applyBorder="1" applyAlignment="1">
      <alignment horizontal="center" vertical="top" wrapText="1"/>
    </xf>
    <xf numFmtId="0" fontId="10" fillId="4" borderId="6" xfId="3" applyFont="1" applyFill="1" applyBorder="1" applyAlignment="1">
      <alignment horizontal="center" vertical="top" wrapText="1"/>
    </xf>
    <xf numFmtId="0" fontId="10" fillId="4" borderId="1" xfId="3" applyFont="1" applyFill="1" applyBorder="1" applyAlignment="1">
      <alignment horizontal="left" vertical="top" wrapText="1"/>
    </xf>
    <xf numFmtId="0" fontId="10" fillId="4" borderId="0" xfId="3" applyFont="1" applyFill="1"/>
    <xf numFmtId="0" fontId="10" fillId="0" borderId="0" xfId="3" applyFont="1" applyFill="1" applyAlignment="1">
      <alignment horizontal="center"/>
    </xf>
    <xf numFmtId="187" fontId="10" fillId="0" borderId="0" xfId="2" applyNumberFormat="1" applyFont="1" applyFill="1" applyAlignment="1">
      <alignment horizontal="right"/>
    </xf>
    <xf numFmtId="187" fontId="10" fillId="0" borderId="0" xfId="4" applyNumberFormat="1" applyFont="1" applyFill="1" applyAlignment="1">
      <alignment horizontal="right"/>
    </xf>
    <xf numFmtId="0" fontId="10" fillId="0" borderId="0" xfId="3" applyFont="1" applyFill="1" applyAlignment="1">
      <alignment horizontal="center" vertical="top"/>
    </xf>
    <xf numFmtId="0" fontId="8" fillId="0" borderId="5" xfId="0" applyFont="1" applyBorder="1" applyAlignment="1">
      <alignment horizontal="center" shrinkToFit="1"/>
    </xf>
    <xf numFmtId="0" fontId="17" fillId="0" borderId="5" xfId="0" applyFont="1" applyBorder="1" applyAlignment="1">
      <alignment shrinkToFit="1"/>
    </xf>
    <xf numFmtId="0" fontId="8" fillId="0" borderId="5" xfId="0" applyFont="1" applyBorder="1" applyAlignment="1">
      <alignment horizontal="center" vertical="center"/>
    </xf>
    <xf numFmtId="187" fontId="8" fillId="0" borderId="5" xfId="1" applyNumberFormat="1" applyFont="1" applyBorder="1" applyAlignment="1">
      <alignment horizontal="center" vertical="center"/>
    </xf>
    <xf numFmtId="0" fontId="8" fillId="0" borderId="1" xfId="0" applyFont="1" applyBorder="1"/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87" fontId="23" fillId="7" borderId="1" xfId="8" applyNumberFormat="1" applyFont="1" applyFill="1" applyBorder="1" applyAlignment="1">
      <alignment horizontal="center" vertical="top" wrapText="1"/>
    </xf>
    <xf numFmtId="43" fontId="10" fillId="3" borderId="1" xfId="1" applyFont="1" applyFill="1" applyBorder="1" applyAlignment="1">
      <alignment horizontal="center" vertical="top" wrapText="1"/>
    </xf>
    <xf numFmtId="187" fontId="13" fillId="0" borderId="9" xfId="1" applyNumberFormat="1" applyFont="1" applyBorder="1" applyAlignment="1">
      <alignment horizontal="center" textRotation="90"/>
    </xf>
    <xf numFmtId="187" fontId="13" fillId="0" borderId="1" xfId="1" applyNumberFormat="1" applyFont="1" applyBorder="1" applyAlignment="1">
      <alignment horizontal="center" textRotation="90"/>
    </xf>
    <xf numFmtId="187" fontId="13" fillId="0" borderId="0" xfId="1" applyNumberFormat="1" applyFont="1" applyAlignment="1">
      <alignment textRotation="90"/>
    </xf>
    <xf numFmtId="187" fontId="13" fillId="0" borderId="1" xfId="0" applyNumberFormat="1" applyFont="1" applyBorder="1" applyAlignment="1">
      <alignment horizontal="center" vertical="center" textRotation="90"/>
    </xf>
    <xf numFmtId="43" fontId="31" fillId="7" borderId="1" xfId="1" applyFont="1" applyFill="1" applyBorder="1" applyAlignment="1">
      <alignment horizontal="center" vertical="top" wrapText="1"/>
    </xf>
    <xf numFmtId="187" fontId="13" fillId="0" borderId="9" xfId="1" applyNumberFormat="1" applyFont="1" applyBorder="1" applyAlignment="1">
      <alignment vertical="center" textRotation="90"/>
    </xf>
    <xf numFmtId="187" fontId="13" fillId="0" borderId="2" xfId="1" applyNumberFormat="1" applyFont="1" applyBorder="1" applyAlignment="1">
      <alignment vertical="center" textRotation="90"/>
    </xf>
    <xf numFmtId="187" fontId="8" fillId="0" borderId="1" xfId="1" applyNumberFormat="1" applyFont="1" applyBorder="1" applyAlignment="1">
      <alignment vertical="center" textRotation="90"/>
    </xf>
    <xf numFmtId="43" fontId="32" fillId="7" borderId="1" xfId="1" applyFont="1" applyFill="1" applyBorder="1" applyAlignment="1">
      <alignment horizontal="center" vertical="top" wrapText="1"/>
    </xf>
    <xf numFmtId="187" fontId="13" fillId="0" borderId="5" xfId="1" applyNumberFormat="1" applyFont="1" applyBorder="1" applyAlignment="1">
      <alignment horizontal="center" vertical="top" textRotation="90"/>
    </xf>
    <xf numFmtId="0" fontId="13" fillId="0" borderId="0" xfId="0" applyFont="1" applyAlignment="1">
      <alignment vertical="center" textRotation="90"/>
    </xf>
    <xf numFmtId="187" fontId="13" fillId="0" borderId="0" xfId="1" applyNumberFormat="1" applyFont="1" applyAlignment="1">
      <alignment vertical="center" textRotation="90"/>
    </xf>
    <xf numFmtId="187" fontId="15" fillId="0" borderId="3" xfId="1" applyNumberFormat="1" applyFont="1" applyBorder="1" applyAlignment="1">
      <alignment horizontal="center" vertical="center" textRotation="90"/>
    </xf>
    <xf numFmtId="187" fontId="13" fillId="0" borderId="5" xfId="1" applyNumberFormat="1" applyFont="1" applyFill="1" applyBorder="1" applyAlignment="1">
      <alignment horizontal="center" vertical="center" textRotation="90"/>
    </xf>
    <xf numFmtId="187" fontId="13" fillId="0" borderId="3" xfId="1" applyNumberFormat="1" applyFont="1" applyBorder="1" applyAlignment="1">
      <alignment horizontal="center" vertical="center" textRotation="90"/>
    </xf>
    <xf numFmtId="187" fontId="15" fillId="0" borderId="5" xfId="1" applyNumberFormat="1" applyFont="1" applyBorder="1" applyAlignment="1">
      <alignment horizontal="center" vertical="center" textRotation="90"/>
    </xf>
    <xf numFmtId="3" fontId="13" fillId="0" borderId="5" xfId="0" applyNumberFormat="1" applyFont="1" applyBorder="1" applyAlignment="1">
      <alignment horizontal="center" vertical="center" textRotation="90"/>
    </xf>
    <xf numFmtId="187" fontId="31" fillId="0" borderId="2" xfId="1" applyNumberFormat="1" applyFont="1" applyFill="1" applyBorder="1" applyAlignment="1">
      <alignment horizontal="center" vertical="center" textRotation="90"/>
    </xf>
    <xf numFmtId="3" fontId="29" fillId="0" borderId="3" xfId="0" applyNumberFormat="1" applyFont="1" applyBorder="1" applyAlignment="1">
      <alignment horizontal="center" vertical="center" textRotation="90"/>
    </xf>
    <xf numFmtId="43" fontId="33" fillId="7" borderId="1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textRotation="90"/>
    </xf>
    <xf numFmtId="3" fontId="14" fillId="0" borderId="3" xfId="0" applyNumberFormat="1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top" shrinkToFit="1"/>
    </xf>
    <xf numFmtId="0" fontId="0" fillId="0" borderId="9" xfId="0" applyBorder="1" applyAlignment="1">
      <alignment vertical="top" shrinkToFit="1"/>
    </xf>
    <xf numFmtId="0" fontId="2" fillId="0" borderId="9" xfId="0" applyFont="1" applyBorder="1" applyAlignment="1">
      <alignment horizontal="center" vertical="top"/>
    </xf>
    <xf numFmtId="43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4" xfId="0" applyBorder="1" applyAlignment="1">
      <alignment vertical="top" shrinkToFit="1"/>
    </xf>
    <xf numFmtId="187" fontId="23" fillId="0" borderId="4" xfId="1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10" fillId="2" borderId="4" xfId="3" applyFont="1" applyFill="1" applyBorder="1" applyAlignment="1">
      <alignment vertical="top" wrapText="1"/>
    </xf>
    <xf numFmtId="43" fontId="2" fillId="0" borderId="4" xfId="0" applyNumberFormat="1" applyFont="1" applyBorder="1" applyAlignment="1">
      <alignment horizontal="center" vertical="top"/>
    </xf>
    <xf numFmtId="187" fontId="23" fillId="2" borderId="4" xfId="8" applyNumberFormat="1" applyFont="1" applyFill="1" applyBorder="1" applyAlignment="1">
      <alignment vertical="top" wrapText="1"/>
    </xf>
    <xf numFmtId="187" fontId="10" fillId="2" borderId="21" xfId="2" applyNumberFormat="1" applyFont="1" applyFill="1" applyBorder="1" applyAlignment="1">
      <alignment horizontal="center" vertical="top"/>
    </xf>
    <xf numFmtId="0" fontId="10" fillId="2" borderId="4" xfId="3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 shrinkToFit="1"/>
    </xf>
    <xf numFmtId="0" fontId="0" fillId="3" borderId="1" xfId="0" applyFill="1" applyBorder="1" applyAlignment="1">
      <alignment vertical="top" shrinkToFit="1"/>
    </xf>
    <xf numFmtId="0" fontId="2" fillId="3" borderId="1" xfId="0" applyFont="1" applyFill="1" applyBorder="1" applyAlignment="1">
      <alignment horizontal="center" vertical="top"/>
    </xf>
    <xf numFmtId="187" fontId="13" fillId="0" borderId="9" xfId="1" applyNumberFormat="1" applyFont="1" applyBorder="1" applyAlignment="1">
      <alignment textRotation="90"/>
    </xf>
    <xf numFmtId="187" fontId="13" fillId="0" borderId="5" xfId="1" applyNumberFormat="1" applyFont="1" applyBorder="1" applyAlignment="1">
      <alignment horizontal="center" textRotation="90"/>
    </xf>
    <xf numFmtId="3" fontId="29" fillId="0" borderId="3" xfId="0" applyNumberFormat="1" applyFont="1" applyBorder="1" applyAlignment="1">
      <alignment horizontal="center" textRotation="90"/>
    </xf>
    <xf numFmtId="43" fontId="34" fillId="7" borderId="1" xfId="1" applyFont="1" applyFill="1" applyBorder="1" applyAlignment="1">
      <alignment horizontal="center" vertical="top" wrapText="1"/>
    </xf>
    <xf numFmtId="0" fontId="30" fillId="0" borderId="5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3" fontId="14" fillId="0" borderId="5" xfId="0" applyNumberFormat="1" applyFont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shrinkToFit="1"/>
    </xf>
    <xf numFmtId="0" fontId="35" fillId="0" borderId="1" xfId="0" applyFont="1" applyBorder="1" applyAlignment="1">
      <alignment shrinkToFit="1"/>
    </xf>
    <xf numFmtId="0" fontId="27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3" fontId="38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1" xfId="0" applyFont="1" applyBorder="1" applyAlignment="1">
      <alignment shrinkToFit="1"/>
    </xf>
    <xf numFmtId="0" fontId="27" fillId="0" borderId="1" xfId="0" applyFont="1" applyBorder="1" applyAlignment="1">
      <alignment vertical="top" wrapText="1"/>
    </xf>
    <xf numFmtId="188" fontId="38" fillId="0" borderId="1" xfId="0" applyNumberFormat="1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vertical="top" wrapText="1"/>
    </xf>
    <xf numFmtId="189" fontId="38" fillId="0" borderId="1" xfId="1" applyNumberFormat="1" applyFont="1" applyBorder="1"/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49" fontId="38" fillId="0" borderId="1" xfId="11" applyNumberFormat="1" applyFont="1" applyFill="1" applyBorder="1" applyAlignment="1">
      <alignment horizontal="left" vertical="top"/>
    </xf>
    <xf numFmtId="190" fontId="38" fillId="0" borderId="1" xfId="11" applyNumberFormat="1" applyFont="1" applyFill="1" applyBorder="1" applyAlignment="1">
      <alignment horizontal="right" vertical="top"/>
    </xf>
    <xf numFmtId="0" fontId="38" fillId="0" borderId="1" xfId="11" applyFont="1" applyFill="1" applyBorder="1" applyAlignment="1">
      <alignment horizontal="center" vertical="top"/>
    </xf>
    <xf numFmtId="0" fontId="38" fillId="0" borderId="1" xfId="11" applyFont="1" applyFill="1" applyBorder="1" applyAlignment="1">
      <alignment horizontal="left" vertical="top"/>
    </xf>
    <xf numFmtId="187" fontId="38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0" fontId="40" fillId="0" borderId="1" xfId="0" applyFont="1" applyBorder="1"/>
    <xf numFmtId="189" fontId="40" fillId="0" borderId="1" xfId="1" applyNumberFormat="1" applyFont="1" applyBorder="1"/>
    <xf numFmtId="0" fontId="40" fillId="0" borderId="1" xfId="0" applyFont="1" applyFill="1" applyBorder="1"/>
    <xf numFmtId="0" fontId="38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9" borderId="1" xfId="0" applyFont="1" applyFill="1" applyBorder="1" applyAlignment="1">
      <alignment horizontal="center" shrinkToFit="1"/>
    </xf>
    <xf numFmtId="0" fontId="39" fillId="9" borderId="1" xfId="0" applyFont="1" applyFill="1" applyBorder="1" applyAlignment="1">
      <alignment shrinkToFit="1"/>
    </xf>
    <xf numFmtId="0" fontId="27" fillId="9" borderId="1" xfId="0" applyFont="1" applyFill="1" applyBorder="1" applyAlignment="1">
      <alignment horizontal="center" vertical="center"/>
    </xf>
    <xf numFmtId="49" fontId="38" fillId="9" borderId="1" xfId="11" applyNumberFormat="1" applyFont="1" applyFill="1" applyBorder="1" applyAlignment="1">
      <alignment horizontal="left" vertical="top"/>
    </xf>
    <xf numFmtId="190" fontId="38" fillId="9" borderId="1" xfId="11" applyNumberFormat="1" applyFont="1" applyFill="1" applyBorder="1" applyAlignment="1">
      <alignment horizontal="right" vertical="top"/>
    </xf>
    <xf numFmtId="0" fontId="27" fillId="9" borderId="1" xfId="0" applyFont="1" applyFill="1" applyBorder="1" applyAlignment="1">
      <alignment horizontal="left" vertical="center"/>
    </xf>
    <xf numFmtId="188" fontId="38" fillId="9" borderId="1" xfId="0" applyNumberFormat="1" applyFont="1" applyFill="1" applyBorder="1" applyAlignment="1">
      <alignment horizontal="center"/>
    </xf>
    <xf numFmtId="0" fontId="38" fillId="9" borderId="1" xfId="11" applyFont="1" applyFill="1" applyBorder="1" applyAlignment="1">
      <alignment horizontal="center" vertical="top"/>
    </xf>
    <xf numFmtId="0" fontId="38" fillId="9" borderId="1" xfId="11" applyFont="1" applyFill="1" applyBorder="1" applyAlignment="1">
      <alignment horizontal="left" vertical="top"/>
    </xf>
    <xf numFmtId="0" fontId="27" fillId="0" borderId="0" xfId="0" applyFont="1" applyFill="1" applyAlignment="1">
      <alignment horizontal="center" vertical="center"/>
    </xf>
    <xf numFmtId="0" fontId="38" fillId="0" borderId="1" xfId="11" applyFont="1" applyFill="1" applyBorder="1" applyAlignment="1">
      <alignment vertical="top" wrapText="1"/>
    </xf>
    <xf numFmtId="192" fontId="38" fillId="0" borderId="1" xfId="12" applyNumberFormat="1" applyFont="1" applyFill="1" applyBorder="1" applyAlignment="1" applyProtection="1">
      <alignment horizontal="right" vertical="top"/>
    </xf>
    <xf numFmtId="49" fontId="27" fillId="0" borderId="1" xfId="11" applyNumberFormat="1" applyFont="1" applyBorder="1" applyAlignment="1">
      <alignment horizontal="left" vertical="top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vertical="center" wrapText="1"/>
    </xf>
    <xf numFmtId="0" fontId="27" fillId="10" borderId="1" xfId="0" applyFont="1" applyFill="1" applyBorder="1" applyAlignment="1">
      <alignment horizontal="center" shrinkToFit="1"/>
    </xf>
    <xf numFmtId="0" fontId="35" fillId="10" borderId="1" xfId="0" applyFont="1" applyFill="1" applyBorder="1" applyAlignment="1">
      <alignment shrinkToFit="1"/>
    </xf>
    <xf numFmtId="0" fontId="27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/>
    </xf>
    <xf numFmtId="3" fontId="38" fillId="10" borderId="1" xfId="0" applyNumberFormat="1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left" vertical="center"/>
    </xf>
    <xf numFmtId="188" fontId="38" fillId="0" borderId="1" xfId="0" applyNumberFormat="1" applyFont="1" applyFill="1" applyBorder="1" applyAlignment="1">
      <alignment horizontal="center"/>
    </xf>
    <xf numFmtId="0" fontId="38" fillId="0" borderId="1" xfId="11" applyFont="1" applyFill="1" applyBorder="1"/>
    <xf numFmtId="0" fontId="27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39" fillId="10" borderId="1" xfId="0" applyFont="1" applyFill="1" applyBorder="1" applyAlignment="1">
      <alignment shrinkToFit="1"/>
    </xf>
    <xf numFmtId="49" fontId="27" fillId="10" borderId="1" xfId="11" applyNumberFormat="1" applyFont="1" applyFill="1" applyBorder="1" applyAlignment="1">
      <alignment horizontal="center" vertical="top"/>
    </xf>
    <xf numFmtId="190" fontId="38" fillId="10" borderId="1" xfId="11" applyNumberFormat="1" applyFont="1" applyFill="1" applyBorder="1" applyAlignment="1">
      <alignment horizontal="right" vertical="top"/>
    </xf>
    <xf numFmtId="188" fontId="38" fillId="10" borderId="1" xfId="0" applyNumberFormat="1" applyFont="1" applyFill="1" applyBorder="1" applyAlignment="1">
      <alignment horizontal="center"/>
    </xf>
    <xf numFmtId="0" fontId="38" fillId="10" borderId="1" xfId="11" applyFont="1" applyFill="1" applyBorder="1" applyAlignment="1">
      <alignment horizontal="left" vertical="top"/>
    </xf>
    <xf numFmtId="0" fontId="38" fillId="10" borderId="1" xfId="11" applyFont="1" applyFill="1" applyBorder="1" applyAlignment="1">
      <alignment horizontal="center" vertical="top"/>
    </xf>
    <xf numFmtId="0" fontId="42" fillId="0" borderId="1" xfId="11" applyFont="1" applyFill="1" applyBorder="1" applyAlignment="1">
      <alignment horizontal="center" vertical="top"/>
    </xf>
    <xf numFmtId="0" fontId="27" fillId="10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shrinkToFit="1"/>
    </xf>
    <xf numFmtId="0" fontId="39" fillId="8" borderId="1" xfId="0" applyFont="1" applyFill="1" applyBorder="1" applyAlignment="1">
      <alignment shrinkToFit="1"/>
    </xf>
    <xf numFmtId="0" fontId="27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vertical="center" wrapText="1"/>
    </xf>
    <xf numFmtId="3" fontId="38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shrinkToFit="1"/>
    </xf>
    <xf numFmtId="0" fontId="39" fillId="0" borderId="1" xfId="0" applyFont="1" applyFill="1" applyBorder="1" applyAlignment="1">
      <alignment shrinkToFit="1"/>
    </xf>
    <xf numFmtId="0" fontId="27" fillId="0" borderId="1" xfId="0" applyFont="1" applyFill="1" applyBorder="1" applyAlignment="1">
      <alignment horizontal="left" vertical="center" wrapText="1"/>
    </xf>
    <xf numFmtId="3" fontId="38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/>
    <xf numFmtId="3" fontId="27" fillId="0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/>
    <xf numFmtId="187" fontId="38" fillId="0" borderId="1" xfId="1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right"/>
    </xf>
    <xf numFmtId="0" fontId="10" fillId="0" borderId="1" xfId="3" applyFont="1" applyFill="1" applyBorder="1"/>
    <xf numFmtId="0" fontId="10" fillId="0" borderId="1" xfId="3" applyFont="1" applyFill="1" applyBorder="1" applyAlignment="1">
      <alignment horizontal="center"/>
    </xf>
    <xf numFmtId="187" fontId="10" fillId="0" borderId="1" xfId="4" applyNumberFormat="1" applyFont="1" applyFill="1" applyBorder="1" applyAlignment="1">
      <alignment horizontal="right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top" wrapText="1"/>
    </xf>
    <xf numFmtId="190" fontId="38" fillId="0" borderId="1" xfId="11" applyNumberFormat="1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center" vertical="top"/>
    </xf>
    <xf numFmtId="3" fontId="38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189" fontId="38" fillId="0" borderId="1" xfId="1" applyNumberFormat="1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192" fontId="38" fillId="0" borderId="1" xfId="12" applyNumberFormat="1" applyFont="1" applyFill="1" applyBorder="1" applyAlignment="1" applyProtection="1">
      <alignment horizontal="center" vertical="top"/>
    </xf>
    <xf numFmtId="49" fontId="38" fillId="0" borderId="1" xfId="11" applyNumberFormat="1" applyFont="1" applyFill="1" applyBorder="1" applyAlignment="1">
      <alignment horizontal="center" vertical="top"/>
    </xf>
    <xf numFmtId="187" fontId="38" fillId="0" borderId="1" xfId="1" applyNumberFormat="1" applyFont="1" applyBorder="1" applyAlignment="1">
      <alignment horizontal="center" vertical="top"/>
    </xf>
    <xf numFmtId="49" fontId="27" fillId="0" borderId="1" xfId="11" applyNumberFormat="1" applyFont="1" applyBorder="1" applyAlignment="1">
      <alignment horizontal="center" vertical="top"/>
    </xf>
    <xf numFmtId="0" fontId="38" fillId="0" borderId="1" xfId="0" applyFont="1" applyBorder="1" applyAlignment="1">
      <alignment horizontal="left" vertical="top" wrapText="1"/>
    </xf>
    <xf numFmtId="0" fontId="38" fillId="0" borderId="1" xfId="11" applyFont="1" applyFill="1" applyBorder="1" applyAlignment="1">
      <alignment horizontal="left" vertical="top" wrapText="1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187" fontId="13" fillId="0" borderId="4" xfId="1" applyNumberFormat="1" applyFont="1" applyBorder="1" applyAlignment="1">
      <alignment horizontal="center" textRotation="90"/>
    </xf>
    <xf numFmtId="0" fontId="2" fillId="3" borderId="5" xfId="0" applyFont="1" applyFill="1" applyBorder="1" applyAlignment="1">
      <alignment horizontal="center" vertical="center"/>
    </xf>
    <xf numFmtId="187" fontId="2" fillId="0" borderId="2" xfId="0" applyNumberFormat="1" applyFont="1" applyBorder="1" applyAlignment="1">
      <alignment vertical="center"/>
    </xf>
    <xf numFmtId="187" fontId="13" fillId="0" borderId="1" xfId="1" applyNumberFormat="1" applyFont="1" applyBorder="1" applyAlignment="1">
      <alignment textRotation="90"/>
    </xf>
    <xf numFmtId="0" fontId="4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187" fontId="29" fillId="0" borderId="10" xfId="1" applyNumberFormat="1" applyFont="1" applyBorder="1" applyAlignment="1">
      <alignment vertical="center" textRotation="90"/>
    </xf>
    <xf numFmtId="187" fontId="29" fillId="0" borderId="11" xfId="1" applyNumberFormat="1" applyFont="1" applyBorder="1" applyAlignment="1">
      <alignment vertical="center" textRotation="90"/>
    </xf>
    <xf numFmtId="0" fontId="1" fillId="0" borderId="22" xfId="0" applyFont="1" applyBorder="1"/>
    <xf numFmtId="0" fontId="1" fillId="0" borderId="24" xfId="0" applyFont="1" applyBorder="1"/>
    <xf numFmtId="0" fontId="1" fillId="0" borderId="6" xfId="0" applyFont="1" applyBorder="1"/>
    <xf numFmtId="0" fontId="1" fillId="0" borderId="1" xfId="0" applyFont="1" applyBorder="1"/>
    <xf numFmtId="187" fontId="2" fillId="0" borderId="9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187" fontId="44" fillId="0" borderId="1" xfId="2" applyNumberFormat="1" applyFont="1" applyFill="1" applyBorder="1" applyAlignment="1">
      <alignment vertical="top" wrapText="1"/>
    </xf>
    <xf numFmtId="187" fontId="44" fillId="0" borderId="4" xfId="2" applyNumberFormat="1" applyFont="1" applyFill="1" applyBorder="1" applyAlignment="1">
      <alignment vertical="top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5" fillId="7" borderId="9" xfId="0" applyFont="1" applyFill="1" applyBorder="1" applyAlignment="1">
      <alignment vertical="center"/>
    </xf>
    <xf numFmtId="187" fontId="45" fillId="0" borderId="4" xfId="0" applyNumberFormat="1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5" xfId="0" applyFont="1" applyBorder="1" applyAlignment="1">
      <alignment vertical="center"/>
    </xf>
    <xf numFmtId="187" fontId="45" fillId="0" borderId="7" xfId="0" applyNumberFormat="1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5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0" fontId="45" fillId="0" borderId="3" xfId="0" applyFont="1" applyBorder="1" applyAlignment="1">
      <alignment vertical="center"/>
    </xf>
    <xf numFmtId="0" fontId="46" fillId="0" borderId="3" xfId="0" applyFont="1" applyBorder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187" fontId="45" fillId="0" borderId="1" xfId="0" applyNumberFormat="1" applyFont="1" applyBorder="1" applyAlignment="1">
      <alignment vertical="center"/>
    </xf>
    <xf numFmtId="0" fontId="45" fillId="7" borderId="1" xfId="0" applyFont="1" applyFill="1" applyBorder="1" applyAlignment="1">
      <alignment vertical="center"/>
    </xf>
    <xf numFmtId="187" fontId="45" fillId="7" borderId="1" xfId="0" applyNumberFormat="1" applyFont="1" applyFill="1" applyBorder="1" applyAlignment="1">
      <alignment vertical="center"/>
    </xf>
    <xf numFmtId="187" fontId="1" fillId="0" borderId="9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47" fillId="0" borderId="1" xfId="0" applyFont="1" applyBorder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" xfId="0" applyFont="1" applyBorder="1"/>
    <xf numFmtId="187" fontId="48" fillId="0" borderId="14" xfId="1" applyNumberFormat="1" applyFont="1" applyBorder="1"/>
    <xf numFmtId="0" fontId="48" fillId="0" borderId="14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44" fillId="0" borderId="0" xfId="2" applyNumberFormat="1" applyFont="1" applyFill="1" applyBorder="1" applyAlignment="1">
      <alignment vertical="top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187" fontId="45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7" borderId="0" xfId="0" applyFont="1" applyFill="1" applyBorder="1" applyAlignment="1">
      <alignment vertical="center"/>
    </xf>
    <xf numFmtId="187" fontId="45" fillId="7" borderId="0" xfId="0" applyNumberFormat="1" applyFont="1" applyFill="1" applyBorder="1" applyAlignment="1">
      <alignment vertical="center"/>
    </xf>
    <xf numFmtId="187" fontId="27" fillId="0" borderId="1" xfId="2" applyNumberFormat="1" applyFont="1" applyFill="1" applyBorder="1" applyAlignment="1">
      <alignment vertical="top" wrapText="1"/>
    </xf>
    <xf numFmtId="0" fontId="25" fillId="0" borderId="9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7" fontId="30" fillId="0" borderId="1" xfId="0" applyNumberFormat="1" applyFont="1" applyBorder="1" applyAlignment="1">
      <alignment horizontal="center" vertical="center"/>
    </xf>
    <xf numFmtId="187" fontId="19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textRotation="90"/>
    </xf>
    <xf numFmtId="0" fontId="31" fillId="0" borderId="9" xfId="2" applyNumberFormat="1" applyFont="1" applyFill="1" applyBorder="1" applyAlignment="1">
      <alignment horizontal="center" vertical="top" wrapText="1"/>
    </xf>
    <xf numFmtId="0" fontId="31" fillId="0" borderId="2" xfId="2" applyNumberFormat="1" applyFont="1" applyFill="1" applyBorder="1" applyAlignment="1">
      <alignment horizontal="center" vertical="top" wrapText="1"/>
    </xf>
    <xf numFmtId="0" fontId="31" fillId="0" borderId="3" xfId="2" applyNumberFormat="1" applyFont="1" applyFill="1" applyBorder="1" applyAlignment="1">
      <alignment horizontal="center" vertical="top" wrapText="1"/>
    </xf>
    <xf numFmtId="0" fontId="31" fillId="0" borderId="1" xfId="2" applyNumberFormat="1" applyFont="1" applyFill="1" applyBorder="1" applyAlignment="1">
      <alignment horizontal="center" vertical="top" wrapText="1"/>
    </xf>
    <xf numFmtId="187" fontId="45" fillId="0" borderId="1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87" fontId="15" fillId="0" borderId="2" xfId="1" applyNumberFormat="1" applyFont="1" applyFill="1" applyBorder="1" applyAlignment="1">
      <alignment horizontal="center" vertical="center"/>
    </xf>
    <xf numFmtId="187" fontId="16" fillId="0" borderId="1" xfId="0" applyNumberFormat="1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3" fontId="45" fillId="0" borderId="5" xfId="0" applyNumberFormat="1" applyFont="1" applyBorder="1" applyAlignment="1">
      <alignment vertical="center"/>
    </xf>
    <xf numFmtId="187" fontId="13" fillId="0" borderId="2" xfId="1" applyNumberFormat="1" applyFont="1" applyBorder="1" applyAlignment="1">
      <alignment horizontal="center" vertical="center" textRotation="90"/>
    </xf>
    <xf numFmtId="187" fontId="13" fillId="0" borderId="1" xfId="1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188" fontId="8" fillId="3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3" fontId="50" fillId="0" borderId="4" xfId="0" applyNumberFormat="1" applyFont="1" applyBorder="1" applyAlignment="1">
      <alignment horizontal="center" vertical="center"/>
    </xf>
    <xf numFmtId="43" fontId="31" fillId="7" borderId="4" xfId="1" applyFont="1" applyFill="1" applyBorder="1" applyAlignment="1">
      <alignment horizontal="center" vertical="top" wrapText="1"/>
    </xf>
    <xf numFmtId="187" fontId="13" fillId="0" borderId="7" xfId="1" applyNumberFormat="1" applyFont="1" applyBorder="1" applyAlignment="1">
      <alignment horizontal="center" vertical="center" textRotation="90"/>
    </xf>
    <xf numFmtId="43" fontId="34" fillId="7" borderId="4" xfId="1" applyFont="1" applyFill="1" applyBorder="1" applyAlignment="1">
      <alignment horizontal="center" vertical="top" wrapText="1"/>
    </xf>
    <xf numFmtId="43" fontId="31" fillId="7" borderId="6" xfId="1" applyFont="1" applyFill="1" applyBorder="1" applyAlignment="1">
      <alignment horizontal="center" vertical="top" wrapText="1"/>
    </xf>
    <xf numFmtId="43" fontId="2" fillId="0" borderId="5" xfId="0" applyNumberFormat="1" applyFont="1" applyBorder="1" applyAlignment="1">
      <alignment horizontal="center" vertical="center"/>
    </xf>
    <xf numFmtId="43" fontId="34" fillId="7" borderId="6" xfId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/>
    </xf>
    <xf numFmtId="43" fontId="19" fillId="0" borderId="3" xfId="0" applyNumberFormat="1" applyFont="1" applyBorder="1" applyAlignment="1">
      <alignment horizontal="center" vertical="center"/>
    </xf>
    <xf numFmtId="187" fontId="13" fillId="0" borderId="5" xfId="1" applyNumberFormat="1" applyFont="1" applyBorder="1" applyAlignment="1">
      <alignment vertical="center" textRotation="90"/>
    </xf>
    <xf numFmtId="187" fontId="15" fillId="0" borderId="5" xfId="1" applyNumberFormat="1" applyFont="1" applyBorder="1" applyAlignment="1">
      <alignment vertical="center" textRotation="90"/>
    </xf>
    <xf numFmtId="43" fontId="52" fillId="7" borderId="1" xfId="1" applyFont="1" applyFill="1" applyBorder="1" applyAlignment="1">
      <alignment horizontal="center" vertical="top" wrapText="1"/>
    </xf>
    <xf numFmtId="187" fontId="15" fillId="0" borderId="2" xfId="1" applyNumberFormat="1" applyFont="1" applyBorder="1" applyAlignment="1">
      <alignment vertical="center" textRotation="90"/>
    </xf>
    <xf numFmtId="187" fontId="52" fillId="7" borderId="1" xfId="1" applyNumberFormat="1" applyFont="1" applyFill="1" applyBorder="1" applyAlignment="1">
      <alignment horizontal="center" vertical="top" textRotation="90" wrapText="1"/>
    </xf>
    <xf numFmtId="3" fontId="15" fillId="0" borderId="5" xfId="0" applyNumberFormat="1" applyFont="1" applyBorder="1" applyAlignment="1">
      <alignment vertical="center" textRotation="90"/>
    </xf>
    <xf numFmtId="43" fontId="52" fillId="7" borderId="1" xfId="1" applyFont="1" applyFill="1" applyBorder="1" applyAlignment="1">
      <alignment horizontal="center" vertical="top" textRotation="90" wrapText="1"/>
    </xf>
    <xf numFmtId="43" fontId="2" fillId="0" borderId="0" xfId="0" applyNumberFormat="1" applyFont="1"/>
    <xf numFmtId="187" fontId="2" fillId="0" borderId="0" xfId="0" applyNumberFormat="1" applyFont="1"/>
    <xf numFmtId="3" fontId="13" fillId="7" borderId="1" xfId="0" applyNumberFormat="1" applyFont="1" applyFill="1" applyBorder="1" applyAlignment="1">
      <alignment vertical="center" textRotation="90"/>
    </xf>
    <xf numFmtId="3" fontId="13" fillId="0" borderId="1" xfId="0" applyNumberFormat="1" applyFont="1" applyBorder="1" applyAlignment="1">
      <alignment vertical="center" textRotation="90"/>
    </xf>
    <xf numFmtId="187" fontId="13" fillId="0" borderId="1" xfId="1" applyNumberFormat="1" applyFont="1" applyFill="1" applyBorder="1" applyAlignment="1">
      <alignment vertical="center" textRotation="90" wrapText="1"/>
    </xf>
    <xf numFmtId="187" fontId="13" fillId="0" borderId="1" xfId="1" applyNumberFormat="1" applyFont="1" applyBorder="1" applyAlignment="1">
      <alignment vertical="center" textRotation="90"/>
    </xf>
    <xf numFmtId="187" fontId="31" fillId="7" borderId="0" xfId="1" applyNumberFormat="1" applyFont="1" applyFill="1" applyBorder="1" applyAlignment="1">
      <alignment vertical="top" textRotation="90"/>
    </xf>
    <xf numFmtId="187" fontId="2" fillId="0" borderId="3" xfId="0" applyNumberFormat="1" applyFont="1" applyBorder="1" applyAlignment="1">
      <alignment vertical="center"/>
    </xf>
    <xf numFmtId="1" fontId="31" fillId="7" borderId="1" xfId="1" applyNumberFormat="1" applyFont="1" applyFill="1" applyBorder="1" applyAlignment="1">
      <alignment horizontal="center" vertical="top" wrapText="1"/>
    </xf>
    <xf numFmtId="187" fontId="29" fillId="0" borderId="3" xfId="1" applyNumberFormat="1" applyFont="1" applyBorder="1" applyAlignment="1">
      <alignment vertical="center" textRotation="90"/>
    </xf>
    <xf numFmtId="0" fontId="29" fillId="0" borderId="3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87" fontId="13" fillId="0" borderId="3" xfId="1" applyNumberFormat="1" applyFont="1" applyBorder="1" applyAlignment="1">
      <alignment vertical="center" textRotation="90"/>
    </xf>
    <xf numFmtId="187" fontId="2" fillId="0" borderId="5" xfId="0" applyNumberFormat="1" applyFont="1" applyBorder="1" applyAlignment="1">
      <alignment vertical="center"/>
    </xf>
    <xf numFmtId="43" fontId="50" fillId="0" borderId="5" xfId="0" applyNumberFormat="1" applyFont="1" applyBorder="1" applyAlignment="1">
      <alignment vertical="center"/>
    </xf>
    <xf numFmtId="43" fontId="19" fillId="0" borderId="5" xfId="0" applyNumberFormat="1" applyFont="1" applyBorder="1" applyAlignment="1">
      <alignment vertical="center"/>
    </xf>
    <xf numFmtId="43" fontId="53" fillId="0" borderId="5" xfId="0" applyNumberFormat="1" applyFont="1" applyBorder="1" applyAlignment="1">
      <alignment vertical="center"/>
    </xf>
    <xf numFmtId="187" fontId="13" fillId="7" borderId="2" xfId="1" applyNumberFormat="1" applyFont="1" applyFill="1" applyBorder="1" applyAlignment="1">
      <alignment vertical="center" textRotation="90"/>
    </xf>
    <xf numFmtId="187" fontId="13" fillId="0" borderId="5" xfId="1" applyNumberFormat="1" applyFont="1" applyBorder="1" applyAlignment="1">
      <alignment horizontal="center" vertical="center" textRotation="90"/>
    </xf>
    <xf numFmtId="43" fontId="13" fillId="0" borderId="3" xfId="1" applyFont="1" applyBorder="1" applyAlignment="1">
      <alignment horizontal="center" vertical="center" textRotation="90"/>
    </xf>
    <xf numFmtId="43" fontId="2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  <xf numFmtId="187" fontId="14" fillId="0" borderId="3" xfId="1" applyNumberFormat="1" applyFont="1" applyBorder="1" applyAlignment="1">
      <alignment vertical="center" textRotation="90"/>
    </xf>
    <xf numFmtId="187" fontId="31" fillId="7" borderId="1" xfId="1" applyNumberFormat="1" applyFont="1" applyFill="1" applyBorder="1" applyAlignment="1">
      <alignment horizontal="center" vertical="top" wrapText="1"/>
    </xf>
    <xf numFmtId="187" fontId="51" fillId="0" borderId="3" xfId="1" applyNumberFormat="1" applyFont="1" applyBorder="1" applyAlignment="1">
      <alignment vertical="center"/>
    </xf>
    <xf numFmtId="43" fontId="51" fillId="0" borderId="3" xfId="0" applyNumberFormat="1" applyFont="1" applyBorder="1" applyAlignment="1">
      <alignment horizontal="center" vertical="center"/>
    </xf>
    <xf numFmtId="187" fontId="51" fillId="0" borderId="3" xfId="1" applyNumberFormat="1" applyFont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left" vertical="top" wrapText="1"/>
    </xf>
    <xf numFmtId="43" fontId="8" fillId="0" borderId="1" xfId="1" applyFont="1" applyFill="1" applyBorder="1" applyAlignment="1">
      <alignment horizontal="center" vertical="top" wrapText="1"/>
    </xf>
    <xf numFmtId="187" fontId="8" fillId="2" borderId="1" xfId="2" applyNumberFormat="1" applyFont="1" applyFill="1" applyBorder="1" applyAlignment="1">
      <alignment vertical="top" wrapText="1"/>
    </xf>
    <xf numFmtId="3" fontId="8" fillId="0" borderId="1" xfId="1" applyNumberFormat="1" applyFont="1" applyFill="1" applyBorder="1" applyAlignment="1">
      <alignment horizontal="center" vertical="top" wrapText="1"/>
    </xf>
    <xf numFmtId="3" fontId="8" fillId="2" borderId="1" xfId="1" applyNumberFormat="1" applyFont="1" applyFill="1" applyBorder="1" applyAlignment="1">
      <alignment horizontal="center" vertical="top" wrapText="1"/>
    </xf>
    <xf numFmtId="3" fontId="8" fillId="2" borderId="1" xfId="3" applyNumberFormat="1" applyFont="1" applyFill="1" applyBorder="1" applyAlignment="1">
      <alignment horizontal="center" vertical="top" wrapText="1"/>
    </xf>
    <xf numFmtId="0" fontId="8" fillId="0" borderId="1" xfId="5" applyFont="1" applyFill="1" applyBorder="1" applyAlignment="1">
      <alignment vertical="top" wrapText="1"/>
    </xf>
    <xf numFmtId="187" fontId="8" fillId="0" borderId="1" xfId="8" applyNumberFormat="1" applyFont="1" applyFill="1" applyBorder="1" applyAlignment="1">
      <alignment vertical="top" wrapText="1"/>
    </xf>
    <xf numFmtId="187" fontId="8" fillId="2" borderId="1" xfId="8" applyNumberFormat="1" applyFont="1" applyFill="1" applyBorder="1" applyAlignment="1">
      <alignment vertical="top" wrapText="1"/>
    </xf>
    <xf numFmtId="187" fontId="8" fillId="2" borderId="6" xfId="8" applyNumberFormat="1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left" vertical="top" wrapText="1"/>
    </xf>
    <xf numFmtId="0" fontId="8" fillId="0" borderId="0" xfId="3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horizontal="left" vertical="top" wrapText="1"/>
    </xf>
    <xf numFmtId="0" fontId="8" fillId="2" borderId="0" xfId="3" applyFont="1" applyFill="1" applyAlignment="1">
      <alignment vertical="top"/>
    </xf>
    <xf numFmtId="0" fontId="28" fillId="0" borderId="1" xfId="9" applyFont="1" applyFill="1" applyBorder="1" applyAlignment="1">
      <alignment vertical="top" wrapText="1"/>
    </xf>
    <xf numFmtId="187" fontId="28" fillId="0" borderId="1" xfId="1" applyNumberFormat="1" applyFont="1" applyFill="1" applyBorder="1" applyAlignment="1">
      <alignment vertical="top"/>
    </xf>
    <xf numFmtId="3" fontId="8" fillId="0" borderId="1" xfId="1" applyNumberFormat="1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43" fontId="8" fillId="0" borderId="1" xfId="1" applyFont="1" applyBorder="1" applyAlignment="1">
      <alignment horizontal="right" vertical="center" wrapText="1"/>
    </xf>
    <xf numFmtId="0" fontId="8" fillId="7" borderId="1" xfId="3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3" fontId="8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87" fontId="8" fillId="0" borderId="1" xfId="1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top" wrapText="1"/>
    </xf>
    <xf numFmtId="187" fontId="8" fillId="0" borderId="1" xfId="1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43" fontId="8" fillId="0" borderId="1" xfId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187" fontId="28" fillId="0" borderId="1" xfId="1" applyNumberFormat="1" applyFont="1" applyFill="1" applyBorder="1" applyAlignment="1">
      <alignment horizontal="right" vertical="top" wrapText="1"/>
    </xf>
    <xf numFmtId="187" fontId="8" fillId="0" borderId="1" xfId="1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187" fontId="8" fillId="0" borderId="1" xfId="1" applyNumberFormat="1" applyFont="1" applyBorder="1"/>
    <xf numFmtId="3" fontId="8" fillId="0" borderId="1" xfId="1" applyNumberFormat="1" applyFont="1" applyBorder="1"/>
    <xf numFmtId="187" fontId="8" fillId="0" borderId="1" xfId="8" applyNumberFormat="1" applyFont="1" applyFill="1" applyBorder="1" applyAlignment="1">
      <alignment horizontal="center" vertical="top" wrapText="1"/>
    </xf>
    <xf numFmtId="0" fontId="8" fillId="7" borderId="1" xfId="5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7" borderId="1" xfId="1" applyNumberFormat="1" applyFont="1" applyFill="1" applyBorder="1" applyAlignment="1">
      <alignment horizontal="center" vertical="top" wrapText="1"/>
    </xf>
    <xf numFmtId="3" fontId="8" fillId="7" borderId="1" xfId="1" applyNumberFormat="1" applyFont="1" applyFill="1" applyBorder="1" applyAlignment="1">
      <alignment vertical="top"/>
    </xf>
    <xf numFmtId="187" fontId="8" fillId="7" borderId="1" xfId="8" applyNumberFormat="1" applyFont="1" applyFill="1" applyBorder="1" applyAlignment="1">
      <alignment vertical="top" wrapText="1"/>
    </xf>
    <xf numFmtId="187" fontId="8" fillId="7" borderId="6" xfId="8" applyNumberFormat="1" applyFont="1" applyFill="1" applyBorder="1" applyAlignment="1">
      <alignment vertical="top" wrapText="1"/>
    </xf>
    <xf numFmtId="0" fontId="8" fillId="7" borderId="1" xfId="3" applyFont="1" applyFill="1" applyBorder="1" applyAlignment="1">
      <alignment horizontal="left" vertical="top" wrapText="1"/>
    </xf>
    <xf numFmtId="0" fontId="8" fillId="7" borderId="0" xfId="3" applyFont="1" applyFill="1" applyBorder="1" applyAlignment="1">
      <alignment horizontal="center" vertical="top" wrapText="1"/>
    </xf>
    <xf numFmtId="0" fontId="8" fillId="7" borderId="0" xfId="3" applyFont="1" applyFill="1" applyBorder="1" applyAlignment="1">
      <alignment horizontal="left" vertical="top" wrapText="1"/>
    </xf>
    <xf numFmtId="0" fontId="8" fillId="7" borderId="0" xfId="3" applyFont="1" applyFill="1" applyAlignment="1">
      <alignment vertical="top"/>
    </xf>
    <xf numFmtId="0" fontId="28" fillId="0" borderId="1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28" fillId="0" borderId="1" xfId="0" applyNumberFormat="1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3" fontId="28" fillId="0" borderId="6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center" vertical="center"/>
    </xf>
    <xf numFmtId="0" fontId="8" fillId="3" borderId="1" xfId="5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horizontal="center" vertical="top" wrapText="1"/>
    </xf>
    <xf numFmtId="0" fontId="28" fillId="3" borderId="1" xfId="9" applyFont="1" applyFill="1" applyBorder="1" applyAlignment="1">
      <alignment vertical="top" wrapText="1"/>
    </xf>
    <xf numFmtId="187" fontId="28" fillId="3" borderId="1" xfId="1" applyNumberFormat="1" applyFont="1" applyFill="1" applyBorder="1" applyAlignment="1">
      <alignment vertical="top"/>
    </xf>
    <xf numFmtId="187" fontId="8" fillId="3" borderId="1" xfId="2" applyNumberFormat="1" applyFont="1" applyFill="1" applyBorder="1" applyAlignment="1">
      <alignment vertical="top" wrapText="1"/>
    </xf>
    <xf numFmtId="3" fontId="8" fillId="3" borderId="1" xfId="1" applyNumberFormat="1" applyFont="1" applyFill="1" applyBorder="1" applyAlignment="1">
      <alignment horizontal="center" vertical="top" wrapText="1"/>
    </xf>
    <xf numFmtId="0" fontId="8" fillId="3" borderId="1" xfId="5" applyFont="1" applyFill="1" applyBorder="1" applyAlignment="1">
      <alignment vertical="top" wrapText="1"/>
    </xf>
    <xf numFmtId="187" fontId="8" fillId="3" borderId="1" xfId="8" applyNumberFormat="1" applyFont="1" applyFill="1" applyBorder="1" applyAlignment="1">
      <alignment vertical="top" wrapText="1"/>
    </xf>
    <xf numFmtId="187" fontId="8" fillId="3" borderId="6" xfId="8" applyNumberFormat="1" applyFont="1" applyFill="1" applyBorder="1" applyAlignment="1">
      <alignment vertical="top" wrapText="1"/>
    </xf>
    <xf numFmtId="0" fontId="8" fillId="3" borderId="1" xfId="3" applyFont="1" applyFill="1" applyBorder="1" applyAlignment="1">
      <alignment horizontal="left" vertical="top" wrapText="1"/>
    </xf>
    <xf numFmtId="0" fontId="8" fillId="3" borderId="0" xfId="3" applyFont="1" applyFill="1" applyBorder="1" applyAlignment="1">
      <alignment horizontal="center" vertical="top" wrapText="1"/>
    </xf>
    <xf numFmtId="0" fontId="8" fillId="3" borderId="0" xfId="3" applyFont="1" applyFill="1" applyBorder="1" applyAlignment="1">
      <alignment horizontal="left" vertical="top" wrapText="1"/>
    </xf>
    <xf numFmtId="0" fontId="8" fillId="3" borderId="0" xfId="3" applyFont="1" applyFill="1" applyAlignment="1">
      <alignment vertical="top"/>
    </xf>
    <xf numFmtId="0" fontId="54" fillId="7" borderId="0" xfId="0" applyFont="1" applyFill="1" applyAlignment="1">
      <alignment vertical="top"/>
    </xf>
    <xf numFmtId="0" fontId="28" fillId="7" borderId="0" xfId="0" applyFont="1" applyFill="1" applyAlignment="1">
      <alignment vertical="top"/>
    </xf>
    <xf numFmtId="43" fontId="54" fillId="7" borderId="0" xfId="1" applyFont="1" applyFill="1" applyAlignment="1">
      <alignment vertical="top"/>
    </xf>
    <xf numFmtId="43" fontId="28" fillId="7" borderId="0" xfId="1" applyFont="1" applyFill="1" applyAlignment="1">
      <alignment vertical="top"/>
    </xf>
    <xf numFmtId="43" fontId="28" fillId="7" borderId="0" xfId="0" applyNumberFormat="1" applyFont="1" applyFill="1" applyAlignment="1">
      <alignment vertical="top"/>
    </xf>
    <xf numFmtId="0" fontId="28" fillId="7" borderId="1" xfId="0" applyFont="1" applyFill="1" applyBorder="1" applyAlignment="1">
      <alignment vertical="top"/>
    </xf>
    <xf numFmtId="43" fontId="28" fillId="7" borderId="1" xfId="0" applyNumberFormat="1" applyFont="1" applyFill="1" applyBorder="1" applyAlignment="1">
      <alignment vertical="top"/>
    </xf>
    <xf numFmtId="0" fontId="26" fillId="12" borderId="1" xfId="1" applyNumberFormat="1" applyFont="1" applyFill="1" applyBorder="1" applyAlignment="1">
      <alignment vertical="top"/>
    </xf>
    <xf numFmtId="0" fontId="28" fillId="7" borderId="6" xfId="0" applyFont="1" applyFill="1" applyBorder="1" applyAlignment="1">
      <alignment vertical="top"/>
    </xf>
    <xf numFmtId="43" fontId="28" fillId="7" borderId="6" xfId="0" applyNumberFormat="1" applyFont="1" applyFill="1" applyBorder="1" applyAlignment="1">
      <alignment vertical="top"/>
    </xf>
    <xf numFmtId="43" fontId="28" fillId="7" borderId="1" xfId="1" applyFont="1" applyFill="1" applyBorder="1" applyAlignment="1">
      <alignment vertical="top"/>
    </xf>
    <xf numFmtId="43" fontId="28" fillId="7" borderId="0" xfId="1" applyFont="1" applyFill="1" applyBorder="1" applyAlignment="1">
      <alignment vertical="top"/>
    </xf>
    <xf numFmtId="0" fontId="28" fillId="7" borderId="0" xfId="0" applyFont="1" applyFill="1" applyAlignment="1">
      <alignment vertical="top" wrapText="1"/>
    </xf>
    <xf numFmtId="43" fontId="54" fillId="7" borderId="0" xfId="1" applyFont="1" applyFill="1" applyAlignment="1">
      <alignment horizontal="left" vertical="top"/>
    </xf>
    <xf numFmtId="0" fontId="12" fillId="3" borderId="8" xfId="0" applyFont="1" applyFill="1" applyBorder="1" applyAlignment="1">
      <alignment horizontal="center" vertical="center"/>
    </xf>
    <xf numFmtId="43" fontId="54" fillId="12" borderId="1" xfId="1" applyFont="1" applyFill="1" applyBorder="1" applyAlignment="1">
      <alignment horizontal="center" vertical="top"/>
    </xf>
    <xf numFmtId="0" fontId="55" fillId="12" borderId="1" xfId="1" applyNumberFormat="1" applyFont="1" applyFill="1" applyBorder="1" applyAlignment="1">
      <alignment horizontal="center" vertical="top"/>
    </xf>
    <xf numFmtId="187" fontId="11" fillId="0" borderId="0" xfId="1" applyNumberFormat="1" applyFont="1" applyAlignment="1">
      <alignment horizontal="right" vertical="center"/>
    </xf>
    <xf numFmtId="0" fontId="56" fillId="0" borderId="0" xfId="0" applyFont="1"/>
    <xf numFmtId="0" fontId="56" fillId="0" borderId="1" xfId="0" applyFont="1" applyBorder="1"/>
    <xf numFmtId="187" fontId="56" fillId="0" borderId="1" xfId="1" applyNumberFormat="1" applyFont="1" applyBorder="1" applyAlignment="1">
      <alignment horizontal="right"/>
    </xf>
    <xf numFmtId="187" fontId="56" fillId="0" borderId="1" xfId="1" applyNumberFormat="1" applyFont="1" applyBorder="1" applyAlignment="1">
      <alignment wrapText="1"/>
    </xf>
    <xf numFmtId="0" fontId="56" fillId="0" borderId="0" xfId="0" applyFont="1" applyBorder="1"/>
    <xf numFmtId="0" fontId="56" fillId="0" borderId="0" xfId="0" applyFont="1" applyBorder="1" applyAlignment="1">
      <alignment wrapText="1"/>
    </xf>
    <xf numFmtId="187" fontId="56" fillId="0" borderId="0" xfId="1" applyNumberFormat="1" applyFont="1" applyBorder="1" applyAlignment="1">
      <alignment horizontal="right"/>
    </xf>
    <xf numFmtId="187" fontId="56" fillId="0" borderId="0" xfId="1" applyNumberFormat="1" applyFont="1" applyBorder="1" applyAlignment="1">
      <alignment wrapText="1"/>
    </xf>
    <xf numFmtId="0" fontId="56" fillId="0" borderId="1" xfId="0" applyFont="1" applyBorder="1" applyAlignment="1">
      <alignment horizontal="right" wrapText="1"/>
    </xf>
    <xf numFmtId="0" fontId="56" fillId="0" borderId="1" xfId="0" applyFont="1" applyBorder="1" applyAlignment="1">
      <alignment horizontal="right"/>
    </xf>
    <xf numFmtId="0" fontId="56" fillId="0" borderId="1" xfId="0" applyFont="1" applyBorder="1" applyAlignment="1">
      <alignment horizontal="center"/>
    </xf>
    <xf numFmtId="187" fontId="56" fillId="0" borderId="1" xfId="1" applyNumberFormat="1" applyFont="1" applyBorder="1"/>
    <xf numFmtId="187" fontId="56" fillId="0" borderId="1" xfId="0" applyNumberFormat="1" applyFont="1" applyBorder="1"/>
    <xf numFmtId="187" fontId="28" fillId="7" borderId="0" xfId="0" applyNumberFormat="1" applyFont="1" applyFill="1" applyAlignment="1">
      <alignment vertical="top"/>
    </xf>
    <xf numFmtId="0" fontId="54" fillId="0" borderId="1" xfId="0" applyFont="1" applyBorder="1"/>
    <xf numFmtId="0" fontId="21" fillId="0" borderId="20" xfId="3" applyFont="1" applyFill="1" applyBorder="1" applyAlignment="1">
      <alignment horizontal="right"/>
    </xf>
    <xf numFmtId="0" fontId="21" fillId="6" borderId="6" xfId="3" applyFont="1" applyFill="1" applyBorder="1" applyAlignment="1">
      <alignment horizontal="right" vertical="top" wrapText="1"/>
    </xf>
    <xf numFmtId="187" fontId="10" fillId="2" borderId="1" xfId="2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0" fillId="2" borderId="2" xfId="3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right" vertical="top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top"/>
    </xf>
    <xf numFmtId="0" fontId="8" fillId="3" borderId="1" xfId="0" applyFont="1" applyFill="1" applyBorder="1" applyAlignment="1">
      <alignment horizontal="right" vertical="top"/>
    </xf>
    <xf numFmtId="0" fontId="10" fillId="0" borderId="1" xfId="3" applyFont="1" applyFill="1" applyBorder="1" applyAlignment="1">
      <alignment horizontal="right" vertical="top" wrapText="1"/>
    </xf>
    <xf numFmtId="0" fontId="10" fillId="7" borderId="6" xfId="3" applyFont="1" applyFill="1" applyBorder="1" applyAlignment="1">
      <alignment horizontal="right" vertical="top" wrapText="1"/>
    </xf>
    <xf numFmtId="187" fontId="10" fillId="3" borderId="1" xfId="2" applyNumberFormat="1" applyFont="1" applyFill="1" applyBorder="1" applyAlignment="1">
      <alignment horizontal="right" vertical="top" wrapText="1"/>
    </xf>
    <xf numFmtId="0" fontId="10" fillId="0" borderId="1" xfId="3" applyFont="1" applyFill="1" applyBorder="1" applyAlignment="1">
      <alignment horizontal="right" vertical="top"/>
    </xf>
    <xf numFmtId="0" fontId="27" fillId="0" borderId="1" xfId="0" applyFont="1" applyBorder="1" applyAlignment="1">
      <alignment horizontal="right" vertical="center"/>
    </xf>
    <xf numFmtId="0" fontId="27" fillId="0" borderId="1" xfId="0" applyFont="1" applyFill="1" applyBorder="1" applyAlignment="1">
      <alignment horizontal="right"/>
    </xf>
    <xf numFmtId="0" fontId="10" fillId="0" borderId="0" xfId="3" applyFont="1" applyFill="1" applyAlignment="1">
      <alignment horizontal="right" vertical="top"/>
    </xf>
    <xf numFmtId="0" fontId="21" fillId="0" borderId="1" xfId="0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193" fontId="10" fillId="0" borderId="1" xfId="1" applyNumberFormat="1" applyFont="1" applyFill="1" applyBorder="1" applyAlignment="1">
      <alignment vertical="top" wrapText="1"/>
    </xf>
    <xf numFmtId="194" fontId="10" fillId="0" borderId="1" xfId="1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 shrinkToFit="1"/>
    </xf>
    <xf numFmtId="0" fontId="10" fillId="0" borderId="1" xfId="0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 shrinkToFit="1"/>
    </xf>
    <xf numFmtId="195" fontId="57" fillId="0" borderId="1" xfId="0" applyNumberFormat="1" applyFont="1" applyBorder="1" applyAlignment="1">
      <alignment horizontal="center" vertical="top" wrapText="1" shrinkToFit="1"/>
    </xf>
    <xf numFmtId="193" fontId="10" fillId="0" borderId="1" xfId="1" applyNumberFormat="1" applyFont="1" applyFill="1" applyBorder="1" applyAlignment="1">
      <alignment vertical="top"/>
    </xf>
    <xf numFmtId="0" fontId="10" fillId="0" borderId="1" xfId="13" applyFont="1" applyFill="1" applyBorder="1" applyAlignment="1">
      <alignment horizontal="left" vertical="top" wrapText="1"/>
    </xf>
    <xf numFmtId="194" fontId="10" fillId="0" borderId="1" xfId="1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left" vertical="top" wrapText="1"/>
    </xf>
    <xf numFmtId="193" fontId="10" fillId="0" borderId="1" xfId="0" applyNumberFormat="1" applyFont="1" applyBorder="1" applyAlignment="1">
      <alignment vertical="top"/>
    </xf>
    <xf numFmtId="0" fontId="10" fillId="0" borderId="1" xfId="11" applyFont="1" applyFill="1" applyBorder="1" applyAlignment="1">
      <alignment horizontal="center" vertical="top" wrapText="1"/>
    </xf>
    <xf numFmtId="0" fontId="10" fillId="0" borderId="1" xfId="11" applyFont="1" applyFill="1" applyBorder="1" applyAlignment="1">
      <alignment horizontal="left" vertical="top" wrapText="1"/>
    </xf>
    <xf numFmtId="193" fontId="10" fillId="0" borderId="1" xfId="12" applyNumberFormat="1" applyFont="1" applyFill="1" applyBorder="1" applyAlignment="1">
      <alignment vertical="top" wrapText="1"/>
    </xf>
    <xf numFmtId="3" fontId="10" fillId="0" borderId="1" xfId="11" applyNumberFormat="1" applyFont="1" applyFill="1" applyBorder="1" applyAlignment="1">
      <alignment horizontal="center" vertical="top" wrapText="1"/>
    </xf>
    <xf numFmtId="0" fontId="10" fillId="0" borderId="1" xfId="11" applyFont="1" applyFill="1" applyBorder="1" applyAlignment="1">
      <alignment horizontal="left" vertical="top" wrapText="1" shrinkToFit="1"/>
    </xf>
    <xf numFmtId="193" fontId="10" fillId="0" borderId="1" xfId="11" applyNumberFormat="1" applyFont="1" applyFill="1" applyBorder="1" applyAlignment="1">
      <alignment vertical="top" wrapText="1"/>
    </xf>
    <xf numFmtId="0" fontId="10" fillId="0" borderId="1" xfId="11" applyNumberFormat="1" applyFont="1" applyFill="1" applyBorder="1" applyAlignment="1">
      <alignment horizontal="left" vertical="top" wrapText="1"/>
    </xf>
    <xf numFmtId="0" fontId="10" fillId="0" borderId="1" xfId="4" applyNumberFormat="1" applyFont="1" applyFill="1" applyBorder="1" applyAlignment="1">
      <alignment horizontal="left" vertical="top" wrapText="1"/>
    </xf>
    <xf numFmtId="193" fontId="10" fillId="0" borderId="1" xfId="14" applyNumberFormat="1" applyFont="1" applyFill="1" applyBorder="1" applyAlignment="1">
      <alignment vertical="top" wrapText="1"/>
    </xf>
    <xf numFmtId="187" fontId="10" fillId="0" borderId="1" xfId="11" applyNumberFormat="1" applyFont="1" applyFill="1" applyBorder="1" applyAlignment="1">
      <alignment vertical="top" wrapText="1"/>
    </xf>
    <xf numFmtId="187" fontId="10" fillId="0" borderId="1" xfId="11" applyNumberFormat="1" applyFont="1" applyFill="1" applyBorder="1" applyAlignment="1">
      <alignment horizontal="center" vertical="top" wrapText="1"/>
    </xf>
    <xf numFmtId="0" fontId="10" fillId="0" borderId="1" xfId="14" applyFont="1" applyFill="1" applyBorder="1" applyAlignment="1">
      <alignment horizontal="left" vertical="top" wrapText="1"/>
    </xf>
    <xf numFmtId="193" fontId="10" fillId="0" borderId="1" xfId="11" applyNumberFormat="1" applyFont="1" applyFill="1" applyBorder="1" applyAlignment="1">
      <alignment vertical="top"/>
    </xf>
    <xf numFmtId="0" fontId="10" fillId="0" borderId="1" xfId="0" applyFont="1" applyBorder="1" applyAlignment="1">
      <alignment vertical="top" shrinkToFit="1"/>
    </xf>
    <xf numFmtId="0" fontId="10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shrinkToFit="1"/>
    </xf>
    <xf numFmtId="0" fontId="59" fillId="0" borderId="9" xfId="0" applyFont="1" applyBorder="1" applyAlignment="1">
      <alignment shrinkToFit="1"/>
    </xf>
    <xf numFmtId="0" fontId="10" fillId="0" borderId="9" xfId="0" applyFont="1" applyBorder="1" applyAlignment="1">
      <alignment horizontal="center" vertical="center"/>
    </xf>
    <xf numFmtId="0" fontId="26" fillId="0" borderId="1" xfId="9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shrinkToFit="1"/>
    </xf>
    <xf numFmtId="0" fontId="59" fillId="0" borderId="2" xfId="0" applyFont="1" applyBorder="1" applyAlignment="1">
      <alignment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shrinkToFit="1"/>
    </xf>
    <xf numFmtId="0" fontId="59" fillId="0" borderId="1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10" fillId="0" borderId="3" xfId="0" applyFont="1" applyBorder="1" applyAlignment="1">
      <alignment horizontal="center" vertical="center"/>
    </xf>
    <xf numFmtId="0" fontId="26" fillId="0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shrinkToFit="1"/>
    </xf>
    <xf numFmtId="0" fontId="59" fillId="0" borderId="4" xfId="0" applyFont="1" applyBorder="1" applyAlignment="1">
      <alignment shrinkToFit="1"/>
    </xf>
    <xf numFmtId="0" fontId="10" fillId="0" borderId="4" xfId="0" applyFont="1" applyBorder="1" applyAlignment="1">
      <alignment horizontal="center" vertical="center"/>
    </xf>
    <xf numFmtId="0" fontId="26" fillId="0" borderId="4" xfId="9" applyFont="1" applyFill="1" applyBorder="1" applyAlignment="1">
      <alignment vertical="top" wrapText="1"/>
    </xf>
    <xf numFmtId="0" fontId="10" fillId="0" borderId="9" xfId="0" applyFont="1" applyBorder="1" applyAlignment="1">
      <alignment horizontal="center" vertical="top"/>
    </xf>
    <xf numFmtId="0" fontId="10" fillId="0" borderId="1" xfId="9" applyFont="1" applyFill="1" applyBorder="1" applyAlignment="1">
      <alignment horizontal="left" vertical="top" wrapText="1"/>
    </xf>
    <xf numFmtId="193" fontId="10" fillId="0" borderId="9" xfId="0" applyNumberFormat="1" applyFont="1" applyBorder="1" applyAlignment="1">
      <alignment vertical="top"/>
    </xf>
    <xf numFmtId="0" fontId="10" fillId="0" borderId="9" xfId="0" applyFont="1" applyBorder="1" applyAlignment="1">
      <alignment horizontal="center" vertical="top" shrinkToFit="1"/>
    </xf>
    <xf numFmtId="0" fontId="10" fillId="0" borderId="2" xfId="0" applyFont="1" applyBorder="1" applyAlignment="1">
      <alignment horizontal="center" vertical="top" shrinkToFi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193" fontId="10" fillId="0" borderId="2" xfId="0" applyNumberFormat="1" applyFont="1" applyBorder="1" applyAlignment="1">
      <alignment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shrinkToFi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193" fontId="10" fillId="0" borderId="8" xfId="1" applyNumberFormat="1" applyFont="1" applyFill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left" vertical="top" wrapText="1"/>
    </xf>
    <xf numFmtId="0" fontId="10" fillId="7" borderId="1" xfId="0" quotePrefix="1" applyNumberFormat="1" applyFont="1" applyFill="1" applyBorder="1" applyAlignment="1">
      <alignment horizontal="left" vertical="top" wrapText="1"/>
    </xf>
    <xf numFmtId="193" fontId="10" fillId="7" borderId="1" xfId="15" applyNumberFormat="1" applyFont="1" applyFill="1" applyBorder="1" applyAlignment="1">
      <alignment horizontal="right" vertical="top"/>
    </xf>
    <xf numFmtId="0" fontId="10" fillId="7" borderId="1" xfId="0" applyNumberFormat="1" applyFont="1" applyFill="1" applyBorder="1" applyAlignment="1">
      <alignment horizontal="left" vertical="top" wrapText="1"/>
    </xf>
    <xf numFmtId="3" fontId="10" fillId="7" borderId="1" xfId="16" applyNumberFormat="1" applyFont="1" applyFill="1" applyBorder="1" applyAlignment="1">
      <alignment horizontal="center" vertical="top"/>
    </xf>
    <xf numFmtId="0" fontId="10" fillId="7" borderId="1" xfId="13" applyFont="1" applyFill="1" applyBorder="1" applyAlignment="1">
      <alignment horizontal="left" vertical="top" wrapText="1"/>
    </xf>
    <xf numFmtId="193" fontId="10" fillId="7" borderId="1" xfId="13" applyNumberFormat="1" applyFont="1" applyFill="1" applyBorder="1" applyAlignment="1">
      <alignment horizontal="right" vertical="top" wrapText="1"/>
    </xf>
    <xf numFmtId="0" fontId="10" fillId="7" borderId="1" xfId="3" applyFont="1" applyFill="1" applyBorder="1" applyAlignment="1">
      <alignment vertical="top" wrapText="1"/>
    </xf>
    <xf numFmtId="0" fontId="10" fillId="7" borderId="1" xfId="13" applyFont="1" applyFill="1" applyBorder="1" applyAlignment="1">
      <alignment vertical="top" wrapText="1"/>
    </xf>
    <xf numFmtId="0" fontId="10" fillId="3" borderId="1" xfId="3" applyFont="1" applyFill="1" applyBorder="1"/>
    <xf numFmtId="0" fontId="10" fillId="3" borderId="1" xfId="3" applyFont="1" applyFill="1" applyBorder="1" applyAlignment="1">
      <alignment horizontal="center"/>
    </xf>
    <xf numFmtId="187" fontId="10" fillId="3" borderId="1" xfId="2" applyNumberFormat="1" applyFont="1" applyFill="1" applyBorder="1" applyAlignment="1">
      <alignment horizontal="right"/>
    </xf>
    <xf numFmtId="187" fontId="10" fillId="3" borderId="1" xfId="4" applyNumberFormat="1" applyFont="1" applyFill="1" applyBorder="1" applyAlignment="1">
      <alignment horizontal="center" vertical="top"/>
    </xf>
    <xf numFmtId="187" fontId="10" fillId="3" borderId="1" xfId="4" applyNumberFormat="1" applyFont="1" applyFill="1" applyBorder="1" applyAlignment="1">
      <alignment horizontal="right"/>
    </xf>
    <xf numFmtId="0" fontId="10" fillId="3" borderId="1" xfId="3" applyFont="1" applyFill="1" applyBorder="1" applyAlignment="1">
      <alignment horizontal="right" vertical="top"/>
    </xf>
    <xf numFmtId="0" fontId="10" fillId="3" borderId="1" xfId="3" applyFont="1" applyFill="1" applyBorder="1" applyAlignment="1">
      <alignment horizontal="center" vertical="top"/>
    </xf>
    <xf numFmtId="0" fontId="10" fillId="3" borderId="0" xfId="3" applyFont="1" applyFill="1" applyAlignment="1">
      <alignment horizontal="left"/>
    </xf>
    <xf numFmtId="0" fontId="10" fillId="3" borderId="0" xfId="3" applyFont="1" applyFill="1"/>
    <xf numFmtId="3" fontId="10" fillId="0" borderId="1" xfId="1" applyNumberFormat="1" applyFont="1" applyFill="1" applyBorder="1" applyAlignment="1">
      <alignment vertical="top"/>
    </xf>
    <xf numFmtId="0" fontId="28" fillId="7" borderId="4" xfId="0" applyFont="1" applyFill="1" applyBorder="1" applyAlignment="1">
      <alignment vertical="top"/>
    </xf>
    <xf numFmtId="43" fontId="28" fillId="7" borderId="4" xfId="0" applyNumberFormat="1" applyFont="1" applyFill="1" applyBorder="1" applyAlignment="1">
      <alignment vertical="top"/>
    </xf>
    <xf numFmtId="0" fontId="28" fillId="7" borderId="23" xfId="0" applyFont="1" applyFill="1" applyBorder="1" applyAlignment="1">
      <alignment vertical="top"/>
    </xf>
    <xf numFmtId="43" fontId="54" fillId="3" borderId="32" xfId="0" applyNumberFormat="1" applyFont="1" applyFill="1" applyBorder="1" applyAlignment="1">
      <alignment vertical="top"/>
    </xf>
    <xf numFmtId="0" fontId="56" fillId="0" borderId="31" xfId="0" applyFont="1" applyBorder="1" applyAlignment="1">
      <alignment horizontal="center"/>
    </xf>
    <xf numFmtId="43" fontId="56" fillId="0" borderId="31" xfId="0" applyNumberFormat="1" applyFont="1" applyBorder="1"/>
    <xf numFmtId="43" fontId="28" fillId="7" borderId="6" xfId="1" applyFont="1" applyFill="1" applyBorder="1" applyAlignment="1">
      <alignment vertical="top"/>
    </xf>
    <xf numFmtId="43" fontId="28" fillId="7" borderId="4" xfId="1" applyFont="1" applyFill="1" applyBorder="1" applyAlignment="1">
      <alignment vertical="top"/>
    </xf>
    <xf numFmtId="43" fontId="28" fillId="7" borderId="23" xfId="1" applyFont="1" applyFill="1" applyBorder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1" fillId="2" borderId="0" xfId="3" applyFont="1" applyFill="1" applyBorder="1" applyAlignment="1">
      <alignment vertical="top"/>
    </xf>
    <xf numFmtId="0" fontId="21" fillId="2" borderId="20" xfId="3" applyFont="1" applyFill="1" applyBorder="1" applyAlignment="1">
      <alignment vertical="top"/>
    </xf>
    <xf numFmtId="187" fontId="21" fillId="2" borderId="20" xfId="2" applyNumberFormat="1" applyFont="1" applyFill="1" applyBorder="1" applyAlignment="1">
      <alignment vertical="top"/>
    </xf>
    <xf numFmtId="0" fontId="21" fillId="2" borderId="20" xfId="3" applyFont="1" applyFill="1" applyBorder="1" applyAlignment="1">
      <alignment horizontal="right" vertical="top"/>
    </xf>
    <xf numFmtId="0" fontId="21" fillId="2" borderId="4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87" fontId="23" fillId="0" borderId="1" xfId="10" applyNumberFormat="1" applyFont="1" applyFill="1" applyBorder="1" applyAlignment="1">
      <alignment vertical="top"/>
    </xf>
    <xf numFmtId="0" fontId="10" fillId="2" borderId="6" xfId="3" applyFont="1" applyFill="1" applyBorder="1" applyAlignment="1">
      <alignment horizontal="left" vertical="top" wrapText="1"/>
    </xf>
    <xf numFmtId="187" fontId="10" fillId="0" borderId="1" xfId="2" applyNumberFormat="1" applyFont="1" applyFill="1" applyBorder="1" applyAlignment="1">
      <alignment vertical="top"/>
    </xf>
    <xf numFmtId="197" fontId="10" fillId="2" borderId="1" xfId="3" applyNumberFormat="1" applyFont="1" applyFill="1" applyBorder="1" applyAlignment="1">
      <alignment horizontal="center" vertical="top" wrapText="1"/>
    </xf>
    <xf numFmtId="187" fontId="10" fillId="2" borderId="1" xfId="2" applyNumberFormat="1" applyFont="1" applyFill="1" applyBorder="1" applyAlignment="1">
      <alignment horizontal="center" vertical="top" wrapText="1"/>
    </xf>
    <xf numFmtId="43" fontId="23" fillId="2" borderId="1" xfId="8" applyNumberFormat="1" applyFont="1" applyFill="1" applyBorder="1" applyAlignment="1">
      <alignment vertical="top" wrapText="1"/>
    </xf>
    <xf numFmtId="187" fontId="10" fillId="2" borderId="0" xfId="4" applyNumberFormat="1" applyFont="1" applyFill="1" applyAlignment="1">
      <alignment horizontal="center" vertical="top"/>
    </xf>
    <xf numFmtId="0" fontId="23" fillId="0" borderId="1" xfId="6" applyFont="1" applyFill="1" applyBorder="1" applyAlignment="1">
      <alignment horizontal="left" vertical="top" wrapText="1"/>
    </xf>
    <xf numFmtId="187" fontId="10" fillId="4" borderId="1" xfId="2" applyNumberFormat="1" applyFont="1" applyFill="1" applyBorder="1" applyAlignment="1">
      <alignment vertical="top" wrapText="1"/>
    </xf>
    <xf numFmtId="0" fontId="10" fillId="4" borderId="1" xfId="7" applyFont="1" applyFill="1" applyBorder="1" applyAlignment="1">
      <alignment vertical="top" wrapText="1"/>
    </xf>
    <xf numFmtId="43" fontId="23" fillId="4" borderId="1" xfId="8" applyNumberFormat="1" applyFont="1" applyFill="1" applyBorder="1" applyAlignment="1">
      <alignment vertical="top" wrapText="1"/>
    </xf>
    <xf numFmtId="0" fontId="10" fillId="4" borderId="6" xfId="3" applyFont="1" applyFill="1" applyBorder="1" applyAlignment="1">
      <alignment horizontal="left" vertical="top" wrapText="1"/>
    </xf>
    <xf numFmtId="0" fontId="10" fillId="4" borderId="0" xfId="3" applyFont="1" applyFill="1" applyAlignment="1">
      <alignment vertical="top"/>
    </xf>
    <xf numFmtId="0" fontId="10" fillId="2" borderId="0" xfId="3" applyFont="1" applyFill="1" applyAlignment="1">
      <alignment horizontal="center" vertical="top"/>
    </xf>
    <xf numFmtId="187" fontId="10" fillId="2" borderId="0" xfId="2" applyNumberFormat="1" applyFont="1" applyFill="1" applyAlignment="1">
      <alignment horizontal="right" vertical="top"/>
    </xf>
    <xf numFmtId="187" fontId="10" fillId="2" borderId="0" xfId="4" applyNumberFormat="1" applyFont="1" applyFill="1" applyAlignment="1">
      <alignment horizontal="right" vertical="top"/>
    </xf>
    <xf numFmtId="0" fontId="10" fillId="2" borderId="0" xfId="3" applyFont="1" applyFill="1" applyAlignment="1">
      <alignment horizontal="left" vertical="top"/>
    </xf>
    <xf numFmtId="187" fontId="10" fillId="2" borderId="1" xfId="4" applyNumberFormat="1" applyFont="1" applyFill="1" applyBorder="1" applyAlignment="1">
      <alignment horizontal="center" vertical="top"/>
    </xf>
    <xf numFmtId="187" fontId="37" fillId="0" borderId="1" xfId="2" applyNumberFormat="1" applyFont="1" applyFill="1" applyBorder="1" applyAlignment="1">
      <alignment vertical="top" wrapText="1"/>
    </xf>
    <xf numFmtId="0" fontId="10" fillId="4" borderId="1" xfId="3" applyFont="1" applyFill="1" applyBorder="1" applyAlignment="1">
      <alignment vertical="top"/>
    </xf>
    <xf numFmtId="3" fontId="15" fillId="7" borderId="9" xfId="0" applyNumberFormat="1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/>
    </xf>
    <xf numFmtId="198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3" fillId="4" borderId="6" xfId="6" applyFont="1" applyFill="1" applyBorder="1" applyAlignment="1">
      <alignment horizontal="left" vertical="top" wrapText="1"/>
    </xf>
    <xf numFmtId="43" fontId="28" fillId="3" borderId="1" xfId="0" applyNumberFormat="1" applyFont="1" applyFill="1" applyBorder="1" applyAlignment="1">
      <alignment vertical="top"/>
    </xf>
    <xf numFmtId="43" fontId="28" fillId="3" borderId="1" xfId="1" applyFont="1" applyFill="1" applyBorder="1" applyAlignment="1">
      <alignment vertical="top"/>
    </xf>
    <xf numFmtId="187" fontId="13" fillId="3" borderId="5" xfId="1" applyNumberFormat="1" applyFont="1" applyFill="1" applyBorder="1" applyAlignment="1">
      <alignment horizontal="center" textRotation="90"/>
    </xf>
    <xf numFmtId="43" fontId="34" fillId="3" borderId="1" xfId="1" applyFont="1" applyFill="1" applyBorder="1" applyAlignment="1">
      <alignment horizontal="center" vertical="top" wrapText="1"/>
    </xf>
    <xf numFmtId="43" fontId="31" fillId="3" borderId="1" xfId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textRotation="90"/>
    </xf>
    <xf numFmtId="0" fontId="10" fillId="0" borderId="1" xfId="7" applyFont="1" applyFill="1" applyBorder="1" applyAlignment="1">
      <alignment vertical="top" wrapText="1"/>
    </xf>
    <xf numFmtId="0" fontId="25" fillId="0" borderId="1" xfId="5" applyFont="1" applyFill="1" applyBorder="1" applyAlignment="1">
      <alignment vertical="top" wrapText="1"/>
    </xf>
    <xf numFmtId="187" fontId="23" fillId="0" borderId="1" xfId="8" applyNumberFormat="1" applyFont="1" applyFill="1" applyBorder="1" applyAlignment="1">
      <alignment vertical="top" wrapText="1"/>
    </xf>
    <xf numFmtId="0" fontId="32" fillId="2" borderId="1" xfId="3" applyFont="1" applyFill="1" applyBorder="1" applyAlignment="1">
      <alignment horizontal="left" vertical="top" wrapText="1"/>
    </xf>
    <xf numFmtId="3" fontId="13" fillId="3" borderId="5" xfId="0" applyNumberFormat="1" applyFont="1" applyFill="1" applyBorder="1" applyAlignment="1">
      <alignment horizontal="center" vertical="center" textRotation="90"/>
    </xf>
    <xf numFmtId="0" fontId="48" fillId="0" borderId="0" xfId="0" applyFont="1"/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1" fillId="0" borderId="0" xfId="3" applyFont="1" applyFill="1" applyBorder="1" applyAlignment="1">
      <alignment horizontal="left"/>
    </xf>
    <xf numFmtId="187" fontId="61" fillId="0" borderId="1" xfId="2" applyNumberFormat="1" applyFont="1" applyFill="1" applyBorder="1" applyAlignment="1">
      <alignment vertical="top" wrapText="1"/>
    </xf>
    <xf numFmtId="187" fontId="48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top" wrapText="1"/>
    </xf>
    <xf numFmtId="187" fontId="10" fillId="0" borderId="1" xfId="2" applyNumberFormat="1" applyFont="1" applyFill="1" applyBorder="1" applyAlignment="1">
      <alignment vertical="top" wrapText="1"/>
    </xf>
    <xf numFmtId="0" fontId="10" fillId="0" borderId="0" xfId="3" applyFont="1" applyFill="1" applyAlignment="1">
      <alignment vertical="top"/>
    </xf>
    <xf numFmtId="187" fontId="10" fillId="0" borderId="1" xfId="2" applyNumberFormat="1" applyFont="1" applyFill="1" applyBorder="1" applyAlignment="1">
      <alignment horizontal="center" vertical="top" wrapText="1"/>
    </xf>
    <xf numFmtId="43" fontId="23" fillId="0" borderId="1" xfId="8" applyNumberFormat="1" applyFont="1" applyFill="1" applyBorder="1" applyAlignment="1">
      <alignment vertical="top" wrapText="1"/>
    </xf>
    <xf numFmtId="0" fontId="23" fillId="0" borderId="1" xfId="17" applyNumberFormat="1" applyFont="1" applyFill="1" applyBorder="1" applyAlignment="1">
      <alignment horizontal="center" vertical="top"/>
    </xf>
    <xf numFmtId="0" fontId="25" fillId="0" borderId="1" xfId="5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horizontal="left" vertical="top" wrapText="1"/>
    </xf>
    <xf numFmtId="0" fontId="62" fillId="0" borderId="1" xfId="3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87" fontId="1" fillId="0" borderId="9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187" fontId="1" fillId="0" borderId="2" xfId="1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3" fontId="40" fillId="0" borderId="2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5" fillId="13" borderId="1" xfId="0" applyFont="1" applyFill="1" applyBorder="1" applyAlignment="1"/>
    <xf numFmtId="3" fontId="25" fillId="13" borderId="1" xfId="0" applyNumberFormat="1" applyFont="1" applyFill="1" applyBorder="1" applyAlignment="1">
      <alignment horizontal="right"/>
    </xf>
    <xf numFmtId="0" fontId="25" fillId="0" borderId="1" xfId="0" applyFont="1" applyBorder="1" applyAlignment="1"/>
    <xf numFmtId="3" fontId="2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center" shrinkToFit="1"/>
    </xf>
    <xf numFmtId="0" fontId="25" fillId="0" borderId="4" xfId="0" applyFont="1" applyBorder="1" applyAlignment="1">
      <alignment vertical="center" wrapText="1"/>
    </xf>
    <xf numFmtId="3" fontId="25" fillId="0" borderId="4" xfId="0" applyNumberFormat="1" applyFont="1" applyBorder="1" applyAlignment="1">
      <alignment vertical="center"/>
    </xf>
    <xf numFmtId="0" fontId="27" fillId="0" borderId="0" xfId="0" applyFont="1" applyAlignment="1">
      <alignment horizontal="center" shrinkToFit="1"/>
    </xf>
    <xf numFmtId="0" fontId="39" fillId="0" borderId="0" xfId="0" applyFont="1" applyAlignment="1">
      <alignment shrinkToFit="1"/>
    </xf>
    <xf numFmtId="0" fontId="63" fillId="3" borderId="33" xfId="0" applyFont="1" applyFill="1" applyBorder="1" applyAlignment="1">
      <alignment horizontal="center" vertical="center"/>
    </xf>
    <xf numFmtId="3" fontId="38" fillId="3" borderId="3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5" fillId="4" borderId="6" xfId="5" applyFont="1" applyFill="1" applyBorder="1" applyAlignment="1">
      <alignment vertical="top" wrapText="1"/>
    </xf>
    <xf numFmtId="187" fontId="23" fillId="4" borderId="6" xfId="8" applyNumberFormat="1" applyFont="1" applyFill="1" applyBorder="1" applyAlignment="1">
      <alignment vertical="top" wrapText="1"/>
    </xf>
    <xf numFmtId="187" fontId="23" fillId="4" borderId="6" xfId="8" applyNumberFormat="1" applyFont="1" applyFill="1" applyBorder="1" applyAlignment="1">
      <alignment horizontal="center" vertical="top" wrapText="1"/>
    </xf>
    <xf numFmtId="0" fontId="21" fillId="2" borderId="0" xfId="3" applyFont="1" applyFill="1"/>
    <xf numFmtId="0" fontId="21" fillId="2" borderId="0" xfId="3" applyFont="1" applyFill="1" applyAlignment="1">
      <alignment horizontal="center"/>
    </xf>
    <xf numFmtId="187" fontId="21" fillId="2" borderId="0" xfId="4" applyNumberFormat="1" applyFont="1" applyFill="1" applyAlignment="1">
      <alignment horizontal="right"/>
    </xf>
    <xf numFmtId="0" fontId="21" fillId="2" borderId="0" xfId="3" applyFont="1" applyFill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10" fillId="0" borderId="1" xfId="18" applyFont="1" applyFill="1" applyBorder="1" applyAlignment="1">
      <alignment horizontal="center" vertical="top" wrapText="1"/>
    </xf>
    <xf numFmtId="0" fontId="10" fillId="0" borderId="1" xfId="18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vertical="top" wrapText="1"/>
    </xf>
    <xf numFmtId="0" fontId="32" fillId="0" borderId="1" xfId="3" applyFont="1" applyFill="1" applyBorder="1" applyAlignment="1">
      <alignment horizontal="center" vertical="top" wrapText="1"/>
    </xf>
    <xf numFmtId="187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7" fontId="2" fillId="0" borderId="7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8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1" xfId="0" applyFont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6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8" fillId="0" borderId="0" xfId="0" applyFont="1"/>
    <xf numFmtId="0" fontId="8" fillId="0" borderId="0" xfId="0" applyFont="1" applyAlignment="1"/>
    <xf numFmtId="0" fontId="29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69" fillId="3" borderId="2" xfId="0" applyFont="1" applyFill="1" applyBorder="1" applyAlignment="1">
      <alignment vertical="center"/>
    </xf>
    <xf numFmtId="0" fontId="28" fillId="3" borderId="2" xfId="0" applyFont="1" applyFill="1" applyBorder="1" applyAlignment="1">
      <alignment horizontal="center" vertical="center"/>
    </xf>
    <xf numFmtId="0" fontId="70" fillId="3" borderId="2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28" fillId="3" borderId="3" xfId="0" applyFont="1" applyFill="1" applyBorder="1" applyAlignment="1">
      <alignment vertical="center"/>
    </xf>
    <xf numFmtId="0" fontId="69" fillId="3" borderId="3" xfId="0" applyFont="1" applyFill="1" applyBorder="1" applyAlignment="1">
      <alignment vertical="center"/>
    </xf>
    <xf numFmtId="0" fontId="70" fillId="3" borderId="3" xfId="0" applyFont="1" applyFill="1" applyBorder="1" applyAlignment="1">
      <alignment vertical="center"/>
    </xf>
    <xf numFmtId="0" fontId="8" fillId="0" borderId="22" xfId="0" applyFont="1" applyBorder="1"/>
    <xf numFmtId="0" fontId="8" fillId="0" borderId="24" xfId="0" applyFont="1" applyBorder="1"/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/>
    <xf numFmtId="187" fontId="13" fillId="0" borderId="14" xfId="1" applyNumberFormat="1" applyFont="1" applyBorder="1"/>
    <xf numFmtId="0" fontId="8" fillId="0" borderId="14" xfId="0" applyFont="1" applyBorder="1"/>
    <xf numFmtId="0" fontId="15" fillId="0" borderId="1" xfId="0" applyFont="1" applyBorder="1" applyAlignment="1">
      <alignment wrapText="1"/>
    </xf>
    <xf numFmtId="0" fontId="11" fillId="3" borderId="0" xfId="0" applyFont="1" applyFill="1" applyAlignment="1">
      <alignment vertical="center"/>
    </xf>
    <xf numFmtId="0" fontId="65" fillId="0" borderId="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6" fillId="7" borderId="9" xfId="0" applyFont="1" applyFill="1" applyBorder="1" applyAlignment="1">
      <alignment horizontal="center" vertical="center"/>
    </xf>
    <xf numFmtId="0" fontId="66" fillId="3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1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66" fillId="7" borderId="5" xfId="0" applyFont="1" applyFill="1" applyBorder="1" applyAlignment="1">
      <alignment horizontal="center" vertical="center"/>
    </xf>
    <xf numFmtId="0" fontId="66" fillId="3" borderId="5" xfId="0" applyFont="1" applyFill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6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1" fillId="3" borderId="0" xfId="0" applyFont="1" applyFill="1" applyAlignment="1">
      <alignment vertical="top"/>
    </xf>
    <xf numFmtId="0" fontId="29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64" fillId="0" borderId="0" xfId="0" applyFont="1"/>
    <xf numFmtId="0" fontId="8" fillId="0" borderId="0" xfId="0" applyFont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187" fontId="8" fillId="7" borderId="1" xfId="1" applyNumberFormat="1" applyFont="1" applyFill="1" applyBorder="1" applyAlignment="1">
      <alignment horizontal="center" vertical="center" wrapText="1"/>
    </xf>
    <xf numFmtId="187" fontId="8" fillId="7" borderId="1" xfId="1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187" fontId="8" fillId="7" borderId="1" xfId="1" applyNumberFormat="1" applyFont="1" applyFill="1" applyBorder="1" applyAlignment="1">
      <alignment horizontal="center" vertical="center"/>
    </xf>
    <xf numFmtId="187" fontId="68" fillId="7" borderId="1" xfId="1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29" fillId="0" borderId="1" xfId="0" applyFont="1" applyBorder="1"/>
    <xf numFmtId="0" fontId="72" fillId="0" borderId="1" xfId="0" applyFont="1" applyFill="1" applyBorder="1" applyAlignment="1" applyProtection="1">
      <alignment vertical="top" wrapText="1"/>
    </xf>
    <xf numFmtId="0" fontId="73" fillId="0" borderId="1" xfId="0" applyFont="1" applyFill="1" applyBorder="1" applyAlignment="1" applyProtection="1">
      <alignment horizontal="center" vertical="top" wrapText="1"/>
    </xf>
    <xf numFmtId="0" fontId="8" fillId="14" borderId="1" xfId="0" applyFont="1" applyFill="1" applyBorder="1"/>
    <xf numFmtId="199" fontId="8" fillId="14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/>
    <xf numFmtId="43" fontId="8" fillId="8" borderId="1" xfId="1" applyFont="1" applyFill="1" applyBorder="1"/>
    <xf numFmtId="1" fontId="8" fillId="0" borderId="1" xfId="0" applyNumberFormat="1" applyFont="1" applyBorder="1"/>
    <xf numFmtId="43" fontId="8" fillId="15" borderId="1" xfId="1" applyFont="1" applyFill="1" applyBorder="1"/>
    <xf numFmtId="0" fontId="8" fillId="3" borderId="1" xfId="0" applyFont="1" applyFill="1" applyBorder="1"/>
    <xf numFmtId="3" fontId="8" fillId="3" borderId="1" xfId="0" applyNumberFormat="1" applyFont="1" applyFill="1" applyBorder="1"/>
    <xf numFmtId="43" fontId="8" fillId="3" borderId="1" xfId="1" applyFont="1" applyFill="1" applyBorder="1"/>
    <xf numFmtId="1" fontId="8" fillId="3" borderId="1" xfId="0" applyNumberFormat="1" applyFont="1" applyFill="1" applyBorder="1"/>
    <xf numFmtId="187" fontId="8" fillId="3" borderId="1" xfId="1" applyNumberFormat="1" applyFont="1" applyFill="1" applyBorder="1"/>
    <xf numFmtId="43" fontId="8" fillId="3" borderId="1" xfId="1" applyNumberFormat="1" applyFont="1" applyFill="1" applyBorder="1"/>
    <xf numFmtId="0" fontId="29" fillId="0" borderId="1" xfId="0" applyFont="1" applyBorder="1" applyAlignment="1">
      <alignment wrapText="1"/>
    </xf>
    <xf numFmtId="0" fontId="8" fillId="3" borderId="0" xfId="0" applyFont="1" applyFill="1"/>
    <xf numFmtId="187" fontId="8" fillId="0" borderId="0" xfId="1" applyNumberFormat="1" applyFont="1"/>
    <xf numFmtId="43" fontId="8" fillId="0" borderId="1" xfId="0" applyNumberFormat="1" applyFont="1" applyBorder="1"/>
    <xf numFmtId="2" fontId="8" fillId="0" borderId="1" xfId="0" applyNumberFormat="1" applyFont="1" applyBorder="1"/>
    <xf numFmtId="43" fontId="8" fillId="0" borderId="0" xfId="0" applyNumberFormat="1" applyFont="1"/>
    <xf numFmtId="43" fontId="8" fillId="0" borderId="0" xfId="0" applyNumberFormat="1" applyFont="1" applyAlignment="1">
      <alignment horizontal="right"/>
    </xf>
    <xf numFmtId="43" fontId="8" fillId="0" borderId="0" xfId="1" applyFont="1"/>
    <xf numFmtId="43" fontId="8" fillId="0" borderId="0" xfId="1" applyNumberFormat="1" applyFont="1"/>
    <xf numFmtId="187" fontId="14" fillId="0" borderId="1" xfId="0" applyNumberFormat="1" applyFont="1" applyBorder="1" applyAlignment="1">
      <alignment horizontal="center" vertical="center" textRotation="90"/>
    </xf>
    <xf numFmtId="187" fontId="31" fillId="0" borderId="1" xfId="2" applyNumberFormat="1" applyFont="1" applyFill="1" applyBorder="1" applyAlignment="1">
      <alignment horizontal="center" vertical="top" wrapText="1"/>
    </xf>
    <xf numFmtId="3" fontId="74" fillId="0" borderId="9" xfId="0" applyNumberFormat="1" applyFont="1" applyBorder="1" applyAlignment="1">
      <alignment horizontal="left" vertical="center"/>
    </xf>
    <xf numFmtId="187" fontId="74" fillId="0" borderId="2" xfId="1" applyNumberFormat="1" applyFont="1" applyBorder="1" applyAlignment="1">
      <alignment vertical="center"/>
    </xf>
    <xf numFmtId="3" fontId="74" fillId="0" borderId="1" xfId="0" applyNumberFormat="1" applyFont="1" applyBorder="1" applyAlignment="1">
      <alignment horizontal="left" vertical="center"/>
    </xf>
    <xf numFmtId="0" fontId="8" fillId="7" borderId="1" xfId="0" applyFont="1" applyFill="1" applyBorder="1" applyAlignment="1">
      <alignment horizontal="center" shrinkToFit="1"/>
    </xf>
    <xf numFmtId="0" fontId="8" fillId="7" borderId="1" xfId="0" applyFont="1" applyFill="1" applyBorder="1" applyAlignment="1">
      <alignment shrinkToFit="1"/>
    </xf>
    <xf numFmtId="0" fontId="8" fillId="7" borderId="1" xfId="0" applyFont="1" applyFill="1" applyBorder="1" applyAlignment="1">
      <alignment vertical="center" wrapText="1"/>
    </xf>
    <xf numFmtId="3" fontId="8" fillId="7" borderId="1" xfId="1" applyNumberFormat="1" applyFont="1" applyFill="1" applyBorder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shrinkToFit="1"/>
    </xf>
    <xf numFmtId="0" fontId="8" fillId="0" borderId="1" xfId="9" applyFont="1" applyFill="1" applyBorder="1" applyAlignment="1">
      <alignment vertical="top" wrapText="1"/>
    </xf>
    <xf numFmtId="3" fontId="8" fillId="0" borderId="1" xfId="1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 vertical="center" wrapText="1" shrinkToFit="1"/>
    </xf>
    <xf numFmtId="3" fontId="8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vertical="top" wrapText="1" shrinkToFit="1"/>
    </xf>
    <xf numFmtId="3" fontId="8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3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shrinkToFit="1"/>
    </xf>
    <xf numFmtId="0" fontId="7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5" fillId="0" borderId="1" xfId="0" applyFont="1" applyBorder="1" applyAlignment="1">
      <alignment wrapText="1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3" fontId="8" fillId="0" borderId="4" xfId="1" applyNumberFormat="1" applyFont="1" applyBorder="1"/>
    <xf numFmtId="0" fontId="11" fillId="0" borderId="4" xfId="0" applyFont="1" applyBorder="1" applyAlignment="1">
      <alignment horizontal="center"/>
    </xf>
    <xf numFmtId="3" fontId="8" fillId="7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 shrinkToFit="1"/>
    </xf>
    <xf numFmtId="0" fontId="8" fillId="0" borderId="9" xfId="0" applyFont="1" applyBorder="1" applyAlignment="1">
      <alignment shrinkToFit="1"/>
    </xf>
    <xf numFmtId="0" fontId="8" fillId="0" borderId="9" xfId="0" applyFont="1" applyBorder="1"/>
    <xf numFmtId="3" fontId="8" fillId="0" borderId="9" xfId="0" applyNumberFormat="1" applyFont="1" applyBorder="1" applyAlignment="1">
      <alignment horizontal="right" vertical="center"/>
    </xf>
    <xf numFmtId="0" fontId="8" fillId="7" borderId="9" xfId="0" applyFont="1" applyFill="1" applyBorder="1"/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shrinkToFit="1"/>
    </xf>
    <xf numFmtId="0" fontId="32" fillId="0" borderId="1" xfId="0" applyFont="1" applyBorder="1" applyAlignment="1">
      <alignment horizontal="left" vertical="center" wrapText="1"/>
    </xf>
    <xf numFmtId="3" fontId="10" fillId="0" borderId="1" xfId="1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0" fontId="8" fillId="3" borderId="1" xfId="0" applyFont="1" applyFill="1" applyBorder="1" applyAlignment="1">
      <alignment horizontal="center" shrinkToFit="1"/>
    </xf>
    <xf numFmtId="0" fontId="8" fillId="3" borderId="1" xfId="0" applyFont="1" applyFill="1" applyBorder="1" applyAlignment="1">
      <alignment shrinkToFi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right" vertical="center"/>
    </xf>
    <xf numFmtId="0" fontId="8" fillId="0" borderId="1" xfId="7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187" fontId="8" fillId="0" borderId="1" xfId="8" applyNumberFormat="1" applyFont="1" applyFill="1" applyBorder="1" applyAlignment="1">
      <alignment vertical="center" wrapText="1"/>
    </xf>
    <xf numFmtId="0" fontId="75" fillId="0" borderId="1" xfId="0" applyFont="1" applyFill="1" applyBorder="1" applyAlignment="1">
      <alignment vertical="center" wrapText="1"/>
    </xf>
    <xf numFmtId="43" fontId="29" fillId="0" borderId="1" xfId="1" applyFont="1" applyBorder="1" applyAlignment="1">
      <alignment horizontal="center" vertical="center"/>
    </xf>
    <xf numFmtId="0" fontId="8" fillId="3" borderId="1" xfId="7" applyFont="1" applyFill="1" applyBorder="1" applyAlignment="1">
      <alignment vertical="top" wrapText="1"/>
    </xf>
    <xf numFmtId="0" fontId="70" fillId="7" borderId="0" xfId="0" applyFont="1" applyFill="1" applyAlignment="1">
      <alignment vertical="top"/>
    </xf>
    <xf numFmtId="187" fontId="10" fillId="2" borderId="1" xfId="3" applyNumberFormat="1" applyFont="1" applyFill="1" applyBorder="1" applyAlignment="1">
      <alignment horizontal="center" vertical="top" wrapText="1"/>
    </xf>
    <xf numFmtId="0" fontId="23" fillId="3" borderId="1" xfId="5" applyFont="1" applyFill="1" applyBorder="1" applyAlignment="1">
      <alignment horizontal="center" vertical="top" wrapText="1"/>
    </xf>
    <xf numFmtId="0" fontId="23" fillId="3" borderId="1" xfId="6" applyFont="1" applyFill="1" applyBorder="1" applyAlignment="1">
      <alignment horizontal="center" vertical="top" wrapText="1"/>
    </xf>
    <xf numFmtId="0" fontId="6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 textRotation="90"/>
    </xf>
    <xf numFmtId="3" fontId="8" fillId="0" borderId="1" xfId="0" applyNumberFormat="1" applyFont="1" applyBorder="1" applyAlignment="1">
      <alignment vertical="center"/>
    </xf>
    <xf numFmtId="187" fontId="29" fillId="0" borderId="1" xfId="1" applyNumberFormat="1" applyFont="1" applyBorder="1" applyAlignment="1">
      <alignment vertical="center" textRotation="90"/>
    </xf>
    <xf numFmtId="0" fontId="11" fillId="3" borderId="1" xfId="0" applyFont="1" applyFill="1" applyBorder="1" applyAlignment="1">
      <alignment horizontal="center" vertical="center"/>
    </xf>
    <xf numFmtId="187" fontId="8" fillId="3" borderId="1" xfId="0" applyNumberFormat="1" applyFont="1" applyFill="1" applyBorder="1" applyAlignment="1">
      <alignment vertical="center" textRotation="90"/>
    </xf>
    <xf numFmtId="187" fontId="29" fillId="3" borderId="1" xfId="0" applyNumberFormat="1" applyFont="1" applyFill="1" applyBorder="1" applyAlignment="1">
      <alignment vertical="center" textRotation="90"/>
    </xf>
    <xf numFmtId="3" fontId="8" fillId="3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187" fontId="8" fillId="0" borderId="0" xfId="1" applyNumberFormat="1" applyFont="1" applyBorder="1"/>
    <xf numFmtId="0" fontId="8" fillId="0" borderId="0" xfId="0" applyFont="1" applyBorder="1"/>
    <xf numFmtId="0" fontId="11" fillId="3" borderId="0" xfId="0" applyFont="1" applyFill="1" applyBorder="1" applyAlignment="1"/>
    <xf numFmtId="0" fontId="65" fillId="0" borderId="1" xfId="0" applyFont="1" applyBorder="1" applyAlignment="1">
      <alignment horizontal="center" vertical="center" textRotation="90"/>
    </xf>
    <xf numFmtId="0" fontId="32" fillId="7" borderId="1" xfId="7" applyFont="1" applyFill="1" applyBorder="1" applyAlignment="1">
      <alignment horizontal="left" textRotation="90"/>
    </xf>
    <xf numFmtId="187" fontId="32" fillId="7" borderId="1" xfId="1" applyNumberFormat="1" applyFont="1" applyFill="1" applyBorder="1" applyAlignment="1">
      <alignment horizontal="left" textRotation="90"/>
    </xf>
    <xf numFmtId="0" fontId="29" fillId="7" borderId="1" xfId="7" applyFont="1" applyFill="1" applyBorder="1" applyAlignment="1">
      <alignment horizontal="left" textRotation="90"/>
    </xf>
    <xf numFmtId="187" fontId="29" fillId="7" borderId="1" xfId="1" applyNumberFormat="1" applyFont="1" applyFill="1" applyBorder="1" applyAlignment="1">
      <alignment horizontal="left" textRotation="90"/>
    </xf>
    <xf numFmtId="3" fontId="8" fillId="7" borderId="1" xfId="0" applyNumberFormat="1" applyFont="1" applyFill="1" applyBorder="1" applyAlignment="1">
      <alignment vertical="center" textRotation="90"/>
    </xf>
    <xf numFmtId="0" fontId="8" fillId="0" borderId="1" xfId="0" applyFont="1" applyBorder="1" applyAlignment="1">
      <alignment vertical="center" textRotation="90"/>
    </xf>
    <xf numFmtId="187" fontId="8" fillId="0" borderId="1" xfId="1" applyNumberFormat="1" applyFont="1" applyFill="1" applyBorder="1" applyAlignment="1">
      <alignment vertical="center" textRotation="90" wrapText="1"/>
    </xf>
    <xf numFmtId="187" fontId="32" fillId="7" borderId="0" xfId="1" applyNumberFormat="1" applyFont="1" applyFill="1" applyBorder="1" applyAlignment="1">
      <alignment vertical="top" textRotation="90"/>
    </xf>
    <xf numFmtId="187" fontId="8" fillId="0" borderId="1" xfId="1" applyNumberFormat="1" applyFont="1" applyBorder="1" applyAlignment="1">
      <alignment vertical="top" textRotation="90"/>
    </xf>
    <xf numFmtId="0" fontId="75" fillId="7" borderId="1" xfId="0" applyFont="1" applyFill="1" applyBorder="1" applyAlignment="1">
      <alignment vertical="center"/>
    </xf>
    <xf numFmtId="0" fontId="75" fillId="7" borderId="1" xfId="0" applyFont="1" applyFill="1" applyBorder="1" applyAlignment="1">
      <alignment vertical="center" textRotation="90"/>
    </xf>
    <xf numFmtId="0" fontId="75" fillId="0" borderId="1" xfId="0" applyFont="1" applyBorder="1" applyAlignment="1">
      <alignment vertical="center" textRotation="90"/>
    </xf>
    <xf numFmtId="187" fontId="75" fillId="0" borderId="1" xfId="1" applyNumberFormat="1" applyFont="1" applyBorder="1" applyAlignment="1">
      <alignment vertical="center" textRotation="90"/>
    </xf>
    <xf numFmtId="0" fontId="75" fillId="0" borderId="0" xfId="0" applyFont="1" applyAlignment="1">
      <alignment vertical="center"/>
    </xf>
    <xf numFmtId="3" fontId="75" fillId="7" borderId="1" xfId="0" applyNumberFormat="1" applyFont="1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0" fontId="75" fillId="7" borderId="4" xfId="0" applyFont="1" applyFill="1" applyBorder="1" applyAlignment="1">
      <alignment vertical="center"/>
    </xf>
    <xf numFmtId="0" fontId="75" fillId="7" borderId="4" xfId="0" applyFont="1" applyFill="1" applyBorder="1" applyAlignment="1">
      <alignment vertical="center" textRotation="90"/>
    </xf>
    <xf numFmtId="0" fontId="8" fillId="0" borderId="4" xfId="0" applyFont="1" applyBorder="1" applyAlignment="1">
      <alignment vertical="center" textRotation="90"/>
    </xf>
    <xf numFmtId="0" fontId="75" fillId="0" borderId="4" xfId="0" applyFont="1" applyBorder="1" applyAlignment="1">
      <alignment vertical="center" textRotation="90"/>
    </xf>
    <xf numFmtId="187" fontId="8" fillId="0" borderId="4" xfId="1" applyNumberFormat="1" applyFont="1" applyBorder="1" applyAlignment="1">
      <alignment vertical="center" textRotation="90"/>
    </xf>
    <xf numFmtId="187" fontId="75" fillId="0" borderId="4" xfId="1" applyNumberFormat="1" applyFont="1" applyBorder="1" applyAlignment="1">
      <alignment vertical="center" textRotation="90"/>
    </xf>
    <xf numFmtId="187" fontId="10" fillId="0" borderId="4" xfId="1" applyNumberFormat="1" applyFont="1" applyBorder="1" applyAlignment="1">
      <alignment vertical="center" textRotation="90"/>
    </xf>
    <xf numFmtId="187" fontId="11" fillId="0" borderId="0" xfId="0" applyNumberFormat="1" applyFont="1" applyAlignment="1">
      <alignment horizontal="center" vertical="center"/>
    </xf>
    <xf numFmtId="187" fontId="8" fillId="0" borderId="1" xfId="1" applyNumberFormat="1" applyFont="1" applyBorder="1" applyAlignment="1">
      <alignment vertical="center"/>
    </xf>
    <xf numFmtId="0" fontId="8" fillId="7" borderId="1" xfId="0" applyFont="1" applyFill="1" applyBorder="1" applyAlignment="1">
      <alignment vertical="top" textRotation="90" wrapText="1"/>
    </xf>
    <xf numFmtId="0" fontId="8" fillId="7" borderId="6" xfId="0" applyFont="1" applyFill="1" applyBorder="1" applyAlignment="1">
      <alignment horizontal="center" vertical="center"/>
    </xf>
    <xf numFmtId="3" fontId="8" fillId="7" borderId="6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 textRotation="90"/>
    </xf>
    <xf numFmtId="187" fontId="8" fillId="3" borderId="6" xfId="1" applyNumberFormat="1" applyFont="1" applyFill="1" applyBorder="1" applyAlignment="1">
      <alignment vertical="center" textRotation="90"/>
    </xf>
    <xf numFmtId="3" fontId="8" fillId="3" borderId="1" xfId="0" applyNumberFormat="1" applyFont="1" applyFill="1" applyBorder="1" applyAlignment="1">
      <alignment vertical="center" textRotation="90"/>
    </xf>
    <xf numFmtId="0" fontId="75" fillId="0" borderId="0" xfId="0" applyFont="1" applyBorder="1" applyAlignment="1">
      <alignment vertical="center"/>
    </xf>
    <xf numFmtId="0" fontId="76" fillId="0" borderId="0" xfId="0" applyFont="1"/>
    <xf numFmtId="0" fontId="11" fillId="0" borderId="0" xfId="0" applyFont="1" applyAlignment="1"/>
    <xf numFmtId="0" fontId="32" fillId="7" borderId="0" xfId="7" applyFont="1" applyFill="1" applyBorder="1" applyAlignment="1">
      <alignment vertical="top"/>
    </xf>
    <xf numFmtId="0" fontId="29" fillId="0" borderId="0" xfId="0" applyFont="1" applyBorder="1" applyAlignment="1">
      <alignment vertical="center"/>
    </xf>
    <xf numFmtId="0" fontId="32" fillId="7" borderId="0" xfId="3" applyFont="1" applyFill="1" applyBorder="1" applyAlignment="1">
      <alignment horizontal="left" vertical="top"/>
    </xf>
    <xf numFmtId="0" fontId="77" fillId="0" borderId="0" xfId="0" applyFont="1" applyBorder="1" applyAlignment="1"/>
    <xf numFmtId="187" fontId="32" fillId="7" borderId="0" xfId="1" applyNumberFormat="1" applyFont="1" applyFill="1" applyBorder="1" applyAlignment="1">
      <alignment vertical="top"/>
    </xf>
    <xf numFmtId="0" fontId="77" fillId="0" borderId="0" xfId="0" applyFont="1" applyBorder="1" applyAlignment="1">
      <alignment vertical="center"/>
    </xf>
    <xf numFmtId="0" fontId="8" fillId="0" borderId="0" xfId="0" applyFont="1" applyBorder="1" applyAlignment="1"/>
    <xf numFmtId="187" fontId="29" fillId="0" borderId="0" xfId="1" applyNumberFormat="1" applyFont="1" applyBorder="1" applyAlignment="1">
      <alignment horizontal="center" vertical="center"/>
    </xf>
    <xf numFmtId="0" fontId="78" fillId="7" borderId="0" xfId="0" applyFont="1" applyFill="1" applyBorder="1" applyAlignment="1">
      <alignment vertical="top"/>
    </xf>
    <xf numFmtId="0" fontId="75" fillId="0" borderId="0" xfId="0" applyFont="1" applyBorder="1" applyAlignment="1"/>
    <xf numFmtId="0" fontId="59" fillId="7" borderId="0" xfId="0" applyFont="1" applyFill="1" applyBorder="1" applyAlignment="1">
      <alignment horizontal="left" vertical="top"/>
    </xf>
    <xf numFmtId="0" fontId="59" fillId="7" borderId="0" xfId="0" applyFont="1" applyFill="1" applyBorder="1" applyAlignment="1">
      <alignment horizontal="center" vertical="top"/>
    </xf>
    <xf numFmtId="0" fontId="10" fillId="7" borderId="0" xfId="3" applyFont="1" applyFill="1" applyBorder="1" applyAlignment="1">
      <alignment horizontal="left" vertical="top"/>
    </xf>
    <xf numFmtId="0" fontId="10" fillId="7" borderId="0" xfId="3" applyFont="1" applyFill="1" applyBorder="1" applyAlignment="1">
      <alignment vertical="top"/>
    </xf>
    <xf numFmtId="187" fontId="32" fillId="7" borderId="0" xfId="1" applyNumberFormat="1" applyFont="1" applyFill="1" applyBorder="1" applyAlignment="1">
      <alignment horizontal="left" vertical="top"/>
    </xf>
    <xf numFmtId="0" fontId="79" fillId="7" borderId="0" xfId="5" applyFont="1" applyFill="1" applyBorder="1" applyAlignment="1">
      <alignment vertical="top"/>
    </xf>
    <xf numFmtId="187" fontId="10" fillId="7" borderId="0" xfId="1" applyNumberFormat="1" applyFont="1" applyFill="1" applyBorder="1" applyAlignment="1">
      <alignment vertical="top"/>
    </xf>
    <xf numFmtId="0" fontId="29" fillId="7" borderId="0" xfId="7" applyFont="1" applyFill="1" applyBorder="1" applyAlignment="1">
      <alignment vertical="top"/>
    </xf>
    <xf numFmtId="0" fontId="80" fillId="7" borderId="0" xfId="17" applyNumberFormat="1" applyFont="1" applyFill="1" applyBorder="1" applyAlignment="1">
      <alignment vertical="top"/>
    </xf>
    <xf numFmtId="187" fontId="29" fillId="7" borderId="0" xfId="1" applyNumberFormat="1" applyFont="1" applyFill="1" applyBorder="1" applyAlignment="1">
      <alignment horizontal="center" vertical="top"/>
    </xf>
    <xf numFmtId="43" fontId="50" fillId="0" borderId="8" xfId="0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2" borderId="20" xfId="3" applyFont="1" applyFill="1" applyBorder="1" applyAlignment="1">
      <alignment vertical="top"/>
    </xf>
    <xf numFmtId="0" fontId="11" fillId="4" borderId="20" xfId="3" applyFont="1" applyFill="1" applyBorder="1" applyAlignment="1"/>
    <xf numFmtId="187" fontId="11" fillId="2" borderId="20" xfId="2" applyNumberFormat="1" applyFont="1" applyFill="1" applyBorder="1" applyAlignment="1">
      <alignment vertical="top"/>
    </xf>
    <xf numFmtId="0" fontId="11" fillId="2" borderId="20" xfId="3" applyFont="1" applyFill="1" applyBorder="1" applyAlignment="1">
      <alignment horizontal="right" vertical="top"/>
    </xf>
    <xf numFmtId="0" fontId="11" fillId="5" borderId="20" xfId="3" applyFont="1" applyFill="1" applyBorder="1" applyAlignment="1">
      <alignment vertical="top"/>
    </xf>
    <xf numFmtId="0" fontId="11" fillId="2" borderId="4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0" fontId="11" fillId="5" borderId="6" xfId="3" applyFont="1" applyFill="1" applyBorder="1" applyAlignment="1">
      <alignment horizontal="center" vertical="top" wrapText="1"/>
    </xf>
    <xf numFmtId="0" fontId="11" fillId="7" borderId="1" xfId="3" applyFont="1" applyFill="1" applyBorder="1" applyAlignment="1">
      <alignment horizontal="left" vertical="top" wrapText="1"/>
    </xf>
    <xf numFmtId="0" fontId="8" fillId="7" borderId="1" xfId="6" applyFont="1" applyFill="1" applyBorder="1" applyAlignment="1">
      <alignment horizontal="center" vertical="top" wrapText="1"/>
    </xf>
    <xf numFmtId="187" fontId="8" fillId="7" borderId="1" xfId="2" applyNumberFormat="1" applyFont="1" applyFill="1" applyBorder="1" applyAlignment="1">
      <alignment vertical="top" wrapText="1"/>
    </xf>
    <xf numFmtId="0" fontId="8" fillId="7" borderId="1" xfId="7" applyFont="1" applyFill="1" applyBorder="1" applyAlignment="1">
      <alignment vertical="top" wrapText="1"/>
    </xf>
    <xf numFmtId="0" fontId="2" fillId="7" borderId="1" xfId="5" applyFont="1" applyFill="1" applyBorder="1" applyAlignment="1">
      <alignment vertical="top" wrapText="1"/>
    </xf>
    <xf numFmtId="0" fontId="8" fillId="2" borderId="4" xfId="3" applyFont="1" applyFill="1" applyBorder="1" applyAlignment="1">
      <alignment horizontal="left" vertical="top" wrapText="1"/>
    </xf>
    <xf numFmtId="0" fontId="8" fillId="0" borderId="4" xfId="6" applyFont="1" applyFill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top" wrapText="1"/>
    </xf>
    <xf numFmtId="0" fontId="8" fillId="2" borderId="1" xfId="7" applyFont="1" applyFill="1" applyBorder="1" applyAlignment="1">
      <alignment vertical="top" wrapText="1"/>
    </xf>
    <xf numFmtId="0" fontId="2" fillId="2" borderId="1" xfId="5" applyFont="1" applyFill="1" applyBorder="1" applyAlignment="1">
      <alignment vertical="top" wrapText="1"/>
    </xf>
    <xf numFmtId="0" fontId="8" fillId="0" borderId="1" xfId="6" applyFont="1" applyFill="1" applyBorder="1" applyAlignment="1">
      <alignment horizontal="center" vertical="top" wrapText="1"/>
    </xf>
    <xf numFmtId="0" fontId="8" fillId="7" borderId="6" xfId="3" applyFont="1" applyFill="1" applyBorder="1" applyAlignment="1">
      <alignment horizontal="center" vertical="top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187" fontId="8" fillId="2" borderId="1" xfId="2" applyNumberFormat="1" applyFont="1" applyFill="1" applyBorder="1" applyAlignment="1">
      <alignment vertical="center" wrapText="1"/>
    </xf>
    <xf numFmtId="187" fontId="8" fillId="7" borderId="1" xfId="2" applyNumberFormat="1" applyFont="1" applyFill="1" applyBorder="1" applyAlignment="1">
      <alignment vertical="center" wrapText="1"/>
    </xf>
    <xf numFmtId="0" fontId="8" fillId="2" borderId="1" xfId="7" applyFont="1" applyFill="1" applyBorder="1" applyAlignment="1">
      <alignment vertical="center" wrapText="1"/>
    </xf>
    <xf numFmtId="0" fontId="8" fillId="7" borderId="6" xfId="3" applyFont="1" applyFill="1" applyBorder="1" applyAlignment="1">
      <alignment horizontal="center" vertical="center" wrapText="1"/>
    </xf>
    <xf numFmtId="187" fontId="8" fillId="2" borderId="1" xfId="8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2" borderId="0" xfId="3" applyFont="1" applyFill="1" applyAlignment="1">
      <alignment vertical="center"/>
    </xf>
    <xf numFmtId="0" fontId="29" fillId="0" borderId="1" xfId="6" applyFont="1" applyFill="1" applyBorder="1" applyAlignment="1">
      <alignment horizontal="center" vertical="top" wrapText="1"/>
    </xf>
    <xf numFmtId="0" fontId="78" fillId="7" borderId="1" xfId="0" applyFont="1" applyFill="1" applyBorder="1" applyAlignment="1">
      <alignment vertical="top" wrapText="1"/>
    </xf>
    <xf numFmtId="0" fontId="78" fillId="7" borderId="1" xfId="0" applyFont="1" applyFill="1" applyBorder="1" applyAlignment="1">
      <alignment horizontal="left" vertical="top"/>
    </xf>
    <xf numFmtId="187" fontId="78" fillId="7" borderId="1" xfId="1" applyNumberFormat="1" applyFont="1" applyFill="1" applyBorder="1" applyAlignment="1">
      <alignment vertical="top"/>
    </xf>
    <xf numFmtId="0" fontId="10" fillId="7" borderId="1" xfId="3" applyFont="1" applyFill="1" applyBorder="1" applyAlignment="1">
      <alignment horizontal="center" vertical="top" wrapText="1"/>
    </xf>
    <xf numFmtId="3" fontId="10" fillId="7" borderId="1" xfId="3" applyNumberFormat="1" applyFont="1" applyFill="1" applyBorder="1" applyAlignment="1">
      <alignment horizontal="center" vertical="top" wrapText="1"/>
    </xf>
    <xf numFmtId="0" fontId="10" fillId="7" borderId="1" xfId="7" applyFont="1" applyFill="1" applyBorder="1" applyAlignment="1">
      <alignment vertical="top" wrapText="1"/>
    </xf>
    <xf numFmtId="0" fontId="81" fillId="7" borderId="1" xfId="5" applyFont="1" applyFill="1" applyBorder="1" applyAlignment="1">
      <alignment vertical="top" wrapText="1"/>
    </xf>
    <xf numFmtId="187" fontId="79" fillId="7" borderId="1" xfId="8" applyNumberFormat="1" applyFont="1" applyFill="1" applyBorder="1" applyAlignment="1">
      <alignment vertical="top" wrapText="1"/>
    </xf>
    <xf numFmtId="0" fontId="26" fillId="7" borderId="1" xfId="7" applyFont="1" applyFill="1" applyBorder="1" applyAlignment="1">
      <alignment vertical="top" wrapText="1"/>
    </xf>
    <xf numFmtId="0" fontId="79" fillId="7" borderId="1" xfId="5" applyFont="1" applyFill="1" applyBorder="1" applyAlignment="1">
      <alignment horizontal="center" vertical="top" wrapText="1"/>
    </xf>
    <xf numFmtId="187" fontId="10" fillId="7" borderId="1" xfId="1" applyNumberFormat="1" applyFont="1" applyFill="1" applyBorder="1" applyAlignment="1">
      <alignment vertical="top" wrapText="1"/>
    </xf>
    <xf numFmtId="187" fontId="79" fillId="7" borderId="1" xfId="8" applyNumberFormat="1" applyFont="1" applyFill="1" applyBorder="1" applyAlignment="1">
      <alignment horizontal="center" vertical="top" wrapText="1"/>
    </xf>
    <xf numFmtId="0" fontId="8" fillId="3" borderId="1" xfId="6" applyFont="1" applyFill="1" applyBorder="1" applyAlignment="1">
      <alignment horizontal="center" vertical="top" wrapText="1"/>
    </xf>
    <xf numFmtId="0" fontId="2" fillId="3" borderId="1" xfId="5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83" fillId="3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84" fillId="0" borderId="1" xfId="0" applyFont="1" applyBorder="1" applyAlignment="1">
      <alignment vertical="center"/>
    </xf>
    <xf numFmtId="0" fontId="84" fillId="0" borderId="9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85" fillId="0" borderId="4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6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84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4" fillId="0" borderId="0" xfId="0" applyFont="1"/>
    <xf numFmtId="0" fontId="84" fillId="0" borderId="0" xfId="0" applyFont="1" applyAlignment="1">
      <alignment horizontal="center"/>
    </xf>
    <xf numFmtId="0" fontId="85" fillId="0" borderId="13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84" fillId="3" borderId="0" xfId="0" applyFont="1" applyFill="1"/>
    <xf numFmtId="0" fontId="23" fillId="0" borderId="0" xfId="0" applyFont="1"/>
    <xf numFmtId="0" fontId="23" fillId="3" borderId="0" xfId="0" applyFont="1" applyFill="1"/>
    <xf numFmtId="0" fontId="79" fillId="0" borderId="0" xfId="0" applyFont="1" applyAlignment="1">
      <alignment vertical="center"/>
    </xf>
    <xf numFmtId="0" fontId="87" fillId="0" borderId="4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vertical="center"/>
    </xf>
    <xf numFmtId="0" fontId="87" fillId="0" borderId="1" xfId="0" applyFont="1" applyBorder="1" applyAlignment="1">
      <alignment horizontal="center" vertical="center"/>
    </xf>
    <xf numFmtId="0" fontId="87" fillId="0" borderId="8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79" fillId="0" borderId="4" xfId="0" applyFont="1" applyBorder="1" applyAlignment="1">
      <alignment horizontal="center" vertical="top"/>
    </xf>
    <xf numFmtId="3" fontId="87" fillId="0" borderId="9" xfId="0" applyNumberFormat="1" applyFont="1" applyBorder="1" applyAlignment="1">
      <alignment horizontal="center" vertical="top"/>
    </xf>
    <xf numFmtId="0" fontId="79" fillId="0" borderId="9" xfId="0" applyFont="1" applyBorder="1" applyAlignment="1">
      <alignment horizontal="center" vertical="top" wrapText="1"/>
    </xf>
    <xf numFmtId="0" fontId="87" fillId="0" borderId="9" xfId="0" applyFont="1" applyBorder="1" applyAlignment="1">
      <alignment horizontal="center" vertical="top" wrapText="1"/>
    </xf>
    <xf numFmtId="0" fontId="87" fillId="0" borderId="9" xfId="0" applyFont="1" applyBorder="1" applyAlignment="1">
      <alignment horizontal="center" vertical="top"/>
    </xf>
    <xf numFmtId="0" fontId="79" fillId="0" borderId="7" xfId="0" applyFont="1" applyBorder="1" applyAlignment="1">
      <alignment horizontal="center" vertical="top"/>
    </xf>
    <xf numFmtId="3" fontId="87" fillId="0" borderId="2" xfId="0" applyNumberFormat="1" applyFont="1" applyBorder="1" applyAlignment="1">
      <alignment horizontal="center" vertical="top"/>
    </xf>
    <xf numFmtId="0" fontId="79" fillId="0" borderId="2" xfId="0" applyFont="1" applyBorder="1" applyAlignment="1">
      <alignment horizontal="center" vertical="top"/>
    </xf>
    <xf numFmtId="0" fontId="87" fillId="0" borderId="2" xfId="0" applyFont="1" applyBorder="1" applyAlignment="1">
      <alignment horizontal="center" vertical="top"/>
    </xf>
    <xf numFmtId="0" fontId="87" fillId="0" borderId="2" xfId="0" applyFont="1" applyBorder="1" applyAlignment="1">
      <alignment horizontal="center" vertical="top" wrapText="1"/>
    </xf>
    <xf numFmtId="3" fontId="87" fillId="0" borderId="3" xfId="0" applyNumberFormat="1" applyFont="1" applyBorder="1" applyAlignment="1">
      <alignment horizontal="center" vertical="top"/>
    </xf>
    <xf numFmtId="0" fontId="87" fillId="0" borderId="3" xfId="0" applyFont="1" applyBorder="1" applyAlignment="1">
      <alignment horizontal="center" vertical="top"/>
    </xf>
    <xf numFmtId="0" fontId="87" fillId="0" borderId="3" xfId="0" applyFont="1" applyBorder="1" applyAlignment="1">
      <alignment horizontal="center" vertical="top" wrapText="1"/>
    </xf>
    <xf numFmtId="0" fontId="79" fillId="0" borderId="3" xfId="0" applyFont="1" applyBorder="1" applyAlignment="1">
      <alignment horizontal="center" vertical="top" wrapText="1"/>
    </xf>
    <xf numFmtId="0" fontId="87" fillId="0" borderId="1" xfId="0" applyFont="1" applyBorder="1" applyAlignment="1">
      <alignment horizontal="center" vertical="top"/>
    </xf>
    <xf numFmtId="3" fontId="87" fillId="0" borderId="1" xfId="0" applyNumberFormat="1" applyFont="1" applyBorder="1" applyAlignment="1">
      <alignment horizontal="center" vertical="top"/>
    </xf>
    <xf numFmtId="0" fontId="87" fillId="3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3" fontId="8" fillId="0" borderId="35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/>
    </xf>
    <xf numFmtId="0" fontId="8" fillId="0" borderId="4" xfId="0" applyFont="1" applyBorder="1" applyAlignment="1">
      <alignment horizontal="center" vertical="top" shrinkToFi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3" fontId="88" fillId="0" borderId="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shrinkToFit="1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3" fontId="88" fillId="0" borderId="6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3" fontId="88" fillId="0" borderId="0" xfId="0" applyNumberFormat="1" applyFont="1" applyBorder="1" applyAlignment="1">
      <alignment horizontal="center" vertical="top"/>
    </xf>
    <xf numFmtId="3" fontId="88" fillId="3" borderId="4" xfId="0" applyNumberFormat="1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center"/>
    </xf>
    <xf numFmtId="0" fontId="25" fillId="0" borderId="0" xfId="0" applyFont="1"/>
    <xf numFmtId="0" fontId="89" fillId="0" borderId="13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187" fontId="23" fillId="0" borderId="2" xfId="8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5" fillId="3" borderId="0" xfId="0" applyFont="1" applyFill="1"/>
    <xf numFmtId="0" fontId="84" fillId="0" borderId="6" xfId="0" applyFont="1" applyBorder="1" applyAlignment="1">
      <alignment horizontal="center" vertical="center"/>
    </xf>
    <xf numFmtId="0" fontId="86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vertical="top"/>
    </xf>
    <xf numFmtId="3" fontId="23" fillId="0" borderId="5" xfId="0" applyNumberFormat="1" applyFont="1" applyBorder="1" applyAlignment="1">
      <alignment vertical="top"/>
    </xf>
    <xf numFmtId="0" fontId="23" fillId="0" borderId="5" xfId="0" applyFont="1" applyBorder="1" applyAlignment="1">
      <alignment vertical="top" wrapText="1"/>
    </xf>
    <xf numFmtId="0" fontId="23" fillId="0" borderId="2" xfId="0" applyFont="1" applyBorder="1" applyAlignment="1">
      <alignment vertical="top"/>
    </xf>
    <xf numFmtId="3" fontId="23" fillId="0" borderId="2" xfId="0" applyNumberFormat="1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3" fontId="23" fillId="0" borderId="2" xfId="0" applyNumberFormat="1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84" fillId="0" borderId="3" xfId="0" applyFont="1" applyBorder="1" applyAlignment="1">
      <alignment vertical="top"/>
    </xf>
    <xf numFmtId="3" fontId="23" fillId="0" borderId="3" xfId="0" applyNumberFormat="1" applyFont="1" applyBorder="1" applyAlignment="1">
      <alignment vertical="top"/>
    </xf>
    <xf numFmtId="187" fontId="23" fillId="0" borderId="3" xfId="8" applyNumberFormat="1" applyFont="1" applyBorder="1" applyAlignment="1">
      <alignment vertical="top"/>
    </xf>
    <xf numFmtId="0" fontId="85" fillId="0" borderId="4" xfId="0" applyFont="1" applyBorder="1" applyAlignment="1">
      <alignment horizontal="center" vertical="top"/>
    </xf>
    <xf numFmtId="1" fontId="85" fillId="0" borderId="4" xfId="0" applyNumberFormat="1" applyFont="1" applyBorder="1" applyAlignment="1">
      <alignment vertical="top"/>
    </xf>
    <xf numFmtId="0" fontId="85" fillId="0" borderId="1" xfId="0" applyFont="1" applyBorder="1" applyAlignment="1">
      <alignment vertical="top"/>
    </xf>
    <xf numFmtId="0" fontId="85" fillId="0" borderId="15" xfId="0" applyFont="1" applyBorder="1" applyAlignment="1">
      <alignment vertical="top"/>
    </xf>
    <xf numFmtId="0" fontId="84" fillId="0" borderId="6" xfId="0" applyFont="1" applyBorder="1" applyAlignment="1">
      <alignment vertical="top"/>
    </xf>
    <xf numFmtId="1" fontId="84" fillId="0" borderId="6" xfId="0" applyNumberFormat="1" applyFont="1" applyBorder="1" applyAlignment="1">
      <alignment vertical="top"/>
    </xf>
    <xf numFmtId="0" fontId="86" fillId="0" borderId="6" xfId="0" applyFont="1" applyBorder="1" applyAlignment="1">
      <alignment horizontal="center" vertical="top"/>
    </xf>
    <xf numFmtId="0" fontId="92" fillId="0" borderId="6" xfId="0" applyFont="1" applyBorder="1" applyAlignment="1">
      <alignment horizontal="center" vertical="top"/>
    </xf>
    <xf numFmtId="187" fontId="23" fillId="0" borderId="5" xfId="8" applyNumberFormat="1" applyFont="1" applyBorder="1" applyAlignment="1">
      <alignment vertical="top" wrapText="1"/>
    </xf>
    <xf numFmtId="11" fontId="23" fillId="0" borderId="5" xfId="0" applyNumberFormat="1" applyFont="1" applyBorder="1" applyAlignment="1">
      <alignment vertical="top" wrapText="1"/>
    </xf>
    <xf numFmtId="187" fontId="23" fillId="0" borderId="2" xfId="8" applyNumberFormat="1" applyFont="1" applyBorder="1" applyAlignment="1">
      <alignment vertical="top" wrapText="1"/>
    </xf>
    <xf numFmtId="187" fontId="23" fillId="0" borderId="2" xfId="8" applyNumberFormat="1" applyFont="1" applyBorder="1" applyAlignment="1">
      <alignment vertical="top"/>
    </xf>
    <xf numFmtId="0" fontId="23" fillId="0" borderId="8" xfId="0" applyFont="1" applyBorder="1" applyAlignment="1">
      <alignment vertical="top" wrapText="1"/>
    </xf>
    <xf numFmtId="187" fontId="84" fillId="0" borderId="3" xfId="8" applyNumberFormat="1" applyFont="1" applyBorder="1" applyAlignment="1">
      <alignment vertical="top"/>
    </xf>
    <xf numFmtId="187" fontId="84" fillId="0" borderId="1" xfId="8" applyNumberFormat="1" applyFont="1" applyBorder="1" applyAlignment="1">
      <alignment vertical="top"/>
    </xf>
    <xf numFmtId="0" fontId="93" fillId="0" borderId="5" xfId="0" applyFont="1" applyBorder="1" applyAlignment="1">
      <alignment vertical="center" wrapText="1"/>
    </xf>
    <xf numFmtId="0" fontId="93" fillId="0" borderId="5" xfId="0" applyFont="1" applyBorder="1" applyAlignment="1">
      <alignment vertical="top" wrapText="1"/>
    </xf>
    <xf numFmtId="0" fontId="23" fillId="0" borderId="36" xfId="0" applyFont="1" applyBorder="1" applyAlignment="1">
      <alignment vertical="top"/>
    </xf>
    <xf numFmtId="0" fontId="23" fillId="0" borderId="37" xfId="0" applyFont="1" applyBorder="1" applyAlignment="1">
      <alignment vertical="top"/>
    </xf>
    <xf numFmtId="0" fontId="23" fillId="0" borderId="3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36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39" xfId="0" applyFont="1" applyBorder="1" applyAlignment="1">
      <alignment vertical="top"/>
    </xf>
    <xf numFmtId="0" fontId="23" fillId="0" borderId="40" xfId="0" applyFont="1" applyBorder="1" applyAlignment="1">
      <alignment vertical="top"/>
    </xf>
    <xf numFmtId="187" fontId="84" fillId="0" borderId="41" xfId="8" applyNumberFormat="1" applyFont="1" applyBorder="1" applyAlignment="1">
      <alignment vertical="top"/>
    </xf>
    <xf numFmtId="187" fontId="84" fillId="0" borderId="42" xfId="8" applyNumberFormat="1" applyFont="1" applyBorder="1" applyAlignment="1">
      <alignment vertical="top"/>
    </xf>
    <xf numFmtId="0" fontId="85" fillId="0" borderId="31" xfId="0" applyFont="1" applyBorder="1" applyAlignment="1">
      <alignment vertical="top"/>
    </xf>
    <xf numFmtId="0" fontId="85" fillId="0" borderId="0" xfId="0" applyFont="1" applyBorder="1" applyAlignment="1">
      <alignment vertical="top"/>
    </xf>
    <xf numFmtId="0" fontId="86" fillId="0" borderId="31" xfId="0" applyFont="1" applyBorder="1" applyAlignment="1">
      <alignment horizontal="center" vertical="top"/>
    </xf>
    <xf numFmtId="0" fontId="86" fillId="0" borderId="0" xfId="0" applyFont="1" applyBorder="1" applyAlignment="1">
      <alignment horizontal="center" vertical="top"/>
    </xf>
    <xf numFmtId="1" fontId="23" fillId="3" borderId="0" xfId="0" applyNumberFormat="1" applyFont="1" applyFill="1" applyAlignment="1">
      <alignment vertical="center"/>
    </xf>
    <xf numFmtId="0" fontId="23" fillId="0" borderId="5" xfId="0" applyFont="1" applyBorder="1" applyAlignment="1">
      <alignment horizontal="center" vertical="center"/>
    </xf>
    <xf numFmtId="187" fontId="23" fillId="0" borderId="5" xfId="8" applyNumberFormat="1" applyFont="1" applyBorder="1" applyAlignment="1">
      <alignment vertical="center"/>
    </xf>
    <xf numFmtId="187" fontId="23" fillId="0" borderId="2" xfId="8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87" fontId="23" fillId="0" borderId="3" xfId="8" applyNumberFormat="1" applyFont="1" applyBorder="1" applyAlignment="1">
      <alignment vertical="center"/>
    </xf>
    <xf numFmtId="0" fontId="84" fillId="0" borderId="3" xfId="0" applyFont="1" applyBorder="1" applyAlignment="1">
      <alignment horizontal="center" vertical="center"/>
    </xf>
    <xf numFmtId="187" fontId="84" fillId="0" borderId="3" xfId="8" applyNumberFormat="1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7" fontId="4" fillId="0" borderId="27" xfId="1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187" fontId="1" fillId="0" borderId="14" xfId="0" applyNumberFormat="1" applyFont="1" applyBorder="1" applyAlignment="1"/>
    <xf numFmtId="0" fontId="48" fillId="0" borderId="23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7" fontId="1" fillId="0" borderId="15" xfId="0" applyNumberFormat="1" applyFont="1" applyBorder="1" applyAlignment="1"/>
    <xf numFmtId="187" fontId="1" fillId="0" borderId="16" xfId="0" applyNumberFormat="1" applyFont="1" applyBorder="1" applyAlignment="1"/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top"/>
    </xf>
    <xf numFmtId="0" fontId="21" fillId="3" borderId="0" xfId="3" applyFont="1" applyFill="1" applyBorder="1" applyAlignment="1">
      <alignment horizontal="left" vertical="top"/>
    </xf>
    <xf numFmtId="0" fontId="21" fillId="0" borderId="4" xfId="3" applyFont="1" applyFill="1" applyBorder="1" applyAlignment="1">
      <alignment horizontal="center" vertical="top" wrapText="1"/>
    </xf>
    <xf numFmtId="0" fontId="21" fillId="0" borderId="6" xfId="3" applyFont="1" applyFill="1" applyBorder="1" applyAlignment="1">
      <alignment horizontal="center" vertical="top" wrapText="1"/>
    </xf>
    <xf numFmtId="0" fontId="21" fillId="2" borderId="4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87" fontId="21" fillId="2" borderId="4" xfId="2" applyNumberFormat="1" applyFont="1" applyFill="1" applyBorder="1" applyAlignment="1">
      <alignment horizontal="center" vertical="top" wrapText="1"/>
    </xf>
    <xf numFmtId="187" fontId="21" fillId="2" borderId="6" xfId="2" applyNumberFormat="1" applyFont="1" applyFill="1" applyBorder="1" applyAlignment="1">
      <alignment horizontal="center" vertical="top" wrapText="1"/>
    </xf>
    <xf numFmtId="187" fontId="21" fillId="2" borderId="4" xfId="4" applyNumberFormat="1" applyFont="1" applyFill="1" applyBorder="1" applyAlignment="1">
      <alignment horizontal="center" vertical="top" wrapText="1"/>
    </xf>
    <xf numFmtId="187" fontId="21" fillId="2" borderId="6" xfId="4" applyNumberFormat="1" applyFont="1" applyFill="1" applyBorder="1" applyAlignment="1">
      <alignment horizontal="center" vertical="top" wrapText="1"/>
    </xf>
    <xf numFmtId="0" fontId="21" fillId="2" borderId="14" xfId="3" applyFont="1" applyFill="1" applyBorder="1" applyAlignment="1">
      <alignment horizontal="center" vertical="top" wrapText="1"/>
    </xf>
    <xf numFmtId="0" fontId="21" fillId="2" borderId="15" xfId="3" applyFont="1" applyFill="1" applyBorder="1" applyAlignment="1">
      <alignment horizontal="center" vertical="top" wrapText="1"/>
    </xf>
    <xf numFmtId="0" fontId="21" fillId="2" borderId="16" xfId="3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23" fillId="4" borderId="14" xfId="5" applyFont="1" applyFill="1" applyBorder="1" applyAlignment="1">
      <alignment horizontal="center" vertical="top" wrapText="1"/>
    </xf>
    <xf numFmtId="0" fontId="23" fillId="4" borderId="15" xfId="5" applyFont="1" applyFill="1" applyBorder="1" applyAlignment="1">
      <alignment horizontal="center" vertical="top" wrapText="1"/>
    </xf>
    <xf numFmtId="0" fontId="23" fillId="4" borderId="16" xfId="5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87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87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65" fillId="0" borderId="4" xfId="0" applyFont="1" applyBorder="1" applyAlignment="1">
      <alignment horizontal="center" vertical="center"/>
    </xf>
    <xf numFmtId="0" fontId="65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21" fillId="2" borderId="0" xfId="3" applyFont="1" applyFill="1" applyBorder="1" applyAlignment="1">
      <alignment horizontal="left" vertical="top"/>
    </xf>
    <xf numFmtId="0" fontId="65" fillId="0" borderId="6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right" vertical="top" wrapText="1"/>
    </xf>
    <xf numFmtId="0" fontId="21" fillId="0" borderId="6" xfId="3" applyFont="1" applyFill="1" applyBorder="1" applyAlignment="1">
      <alignment horizontal="right" vertical="top" wrapText="1"/>
    </xf>
    <xf numFmtId="0" fontId="23" fillId="4" borderId="1" xfId="5" applyFont="1" applyFill="1" applyBorder="1" applyAlignment="1">
      <alignment horizontal="center" vertical="top" wrapText="1"/>
    </xf>
    <xf numFmtId="0" fontId="21" fillId="0" borderId="0" xfId="3" applyFont="1" applyFill="1" applyBorder="1" applyAlignment="1">
      <alignment horizontal="center"/>
    </xf>
    <xf numFmtId="0" fontId="21" fillId="0" borderId="0" xfId="3" applyFont="1" applyFill="1" applyBorder="1" applyAlignment="1">
      <alignment horizontal="left"/>
    </xf>
    <xf numFmtId="187" fontId="21" fillId="0" borderId="4" xfId="2" applyNumberFormat="1" applyFont="1" applyFill="1" applyBorder="1" applyAlignment="1">
      <alignment horizontal="center" vertical="top" wrapText="1"/>
    </xf>
    <xf numFmtId="187" fontId="21" fillId="0" borderId="6" xfId="2" applyNumberFormat="1" applyFont="1" applyFill="1" applyBorder="1" applyAlignment="1">
      <alignment horizontal="center" vertical="top" wrapText="1"/>
    </xf>
    <xf numFmtId="187" fontId="21" fillId="0" borderId="4" xfId="4" applyNumberFormat="1" applyFont="1" applyFill="1" applyBorder="1" applyAlignment="1">
      <alignment horizontal="center" vertical="top" wrapText="1"/>
    </xf>
    <xf numFmtId="187" fontId="21" fillId="0" borderId="6" xfId="4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shrinkToFit="1"/>
    </xf>
    <xf numFmtId="0" fontId="54" fillId="7" borderId="0" xfId="0" applyFont="1" applyFill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4" borderId="6" xfId="5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7" fontId="29" fillId="0" borderId="0" xfId="1" applyNumberFormat="1" applyFont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top"/>
    </xf>
    <xf numFmtId="3" fontId="17" fillId="7" borderId="0" xfId="0" applyNumberFormat="1" applyFont="1" applyFill="1" applyBorder="1" applyAlignment="1">
      <alignment horizontal="center" vertical="center"/>
    </xf>
    <xf numFmtId="187" fontId="32" fillId="7" borderId="0" xfId="1" applyNumberFormat="1" applyFont="1" applyFill="1" applyBorder="1" applyAlignment="1">
      <alignment horizontal="center" vertical="top"/>
    </xf>
    <xf numFmtId="187" fontId="29" fillId="0" borderId="0" xfId="1" applyNumberFormat="1" applyFont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" borderId="0" xfId="3" applyFont="1" applyFill="1" applyBorder="1" applyAlignment="1">
      <alignment horizontal="left" vertical="top"/>
    </xf>
    <xf numFmtId="0" fontId="11" fillId="0" borderId="4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top" wrapText="1"/>
    </xf>
    <xf numFmtId="0" fontId="11" fillId="2" borderId="4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87" fontId="11" fillId="2" borderId="4" xfId="2" applyNumberFormat="1" applyFont="1" applyFill="1" applyBorder="1" applyAlignment="1">
      <alignment horizontal="center" vertical="top" wrapText="1"/>
    </xf>
    <xf numFmtId="187" fontId="11" fillId="2" borderId="6" xfId="2" applyNumberFormat="1" applyFont="1" applyFill="1" applyBorder="1" applyAlignment="1">
      <alignment horizontal="center" vertical="top" wrapText="1"/>
    </xf>
    <xf numFmtId="187" fontId="11" fillId="2" borderId="4" xfId="4" applyNumberFormat="1" applyFont="1" applyFill="1" applyBorder="1" applyAlignment="1">
      <alignment horizontal="center" vertical="top" wrapText="1"/>
    </xf>
    <xf numFmtId="187" fontId="11" fillId="2" borderId="6" xfId="4" applyNumberFormat="1" applyFont="1" applyFill="1" applyBorder="1" applyAlignment="1">
      <alignment horizontal="center" vertical="top" wrapText="1"/>
    </xf>
    <xf numFmtId="0" fontId="11" fillId="2" borderId="14" xfId="3" applyFont="1" applyFill="1" applyBorder="1" applyAlignment="1">
      <alignment horizontal="center" vertical="top" wrapText="1"/>
    </xf>
    <xf numFmtId="0" fontId="11" fillId="2" borderId="15" xfId="3" applyFont="1" applyFill="1" applyBorder="1" applyAlignment="1">
      <alignment horizontal="center" vertical="top" wrapText="1"/>
    </xf>
    <xf numFmtId="0" fontId="11" fillId="2" borderId="16" xfId="3" applyFont="1" applyFill="1" applyBorder="1" applyAlignment="1">
      <alignment horizontal="center" vertical="top" wrapText="1"/>
    </xf>
  </cellXfs>
  <cellStyles count="19">
    <cellStyle name="Comma 10" xfId="12"/>
    <cellStyle name="Comma 5" xfId="17"/>
    <cellStyle name="Comma 9" xfId="8"/>
    <cellStyle name="Normal 15" xfId="11"/>
    <cellStyle name="Normal 2" xfId="13"/>
    <cellStyle name="Normal 4 3" xfId="16"/>
    <cellStyle name="Normal 8_พวงรายการพี่หญิงปรับแก้(ใหม่)" xfId="5"/>
    <cellStyle name="Style 1 3" xfId="7"/>
    <cellStyle name="เครื่องหมายจุลภาค" xfId="1" builtinId="3"/>
    <cellStyle name="เครื่องหมายจุลภาค 2 2" xfId="4"/>
    <cellStyle name="เครื่องหมายจุลภาค 4 3 2" xfId="15"/>
    <cellStyle name="เครื่องหมายจุลภาค 8" xfId="10"/>
    <cellStyle name="เครื่องหมายจุลภาค 9" xfId="2"/>
    <cellStyle name="ปกติ" xfId="0" builtinId="0"/>
    <cellStyle name="ปกติ 10" xfId="6"/>
    <cellStyle name="ปกติ 2 2" xfId="18"/>
    <cellStyle name="ปกติ 3" xfId="3"/>
    <cellStyle name="ปกติ 7 2" xfId="14"/>
    <cellStyle name="ปกติ_รายการครุภัณฑ์_๓ธค๕๗ (ข้อมูลนำเข้า)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594;&#3621;&#3610;&#3640;&#3619;&#3637;\1&#3648;&#3586;&#3605;%206%20%20&#3651;&#3610;&#3591;&#3634;&#3609;1-11%20&#3592;&#3633;&#3591;&#3627;&#3623;&#3633;&#3604;&#3594;&#3621;&#3610;&#3640;&#3619;&#3637;16&#3614;&#3588;5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48;&#3586;&#3605;&#3626;&#3640;&#3586;&#3616;&#3634;&#3614;&#3607;&#3637;&#3656;%206_%202%20may%2059\&#3588;&#3635;&#3609;&#3623;&#3603;OPD\&#3588;&#3635;&#3609;&#3623;&#3603;OPD16may59&#3588;&#3636;&#3604;&#3626;&#3633;&#3604;&#3626;&#3656;&#3623;&#3609;&#3651;&#3627;&#3617;&#36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IPD"/>
      <sheetName val="รายการIPD"/>
      <sheetName val="2.ICU"/>
      <sheetName val="รายการICU"/>
      <sheetName val="3.OR"/>
      <sheetName val="รายการOR"/>
      <sheetName val="4.OPD."/>
      <sheetName val="รายการOPD"/>
      <sheetName val="5.ครุภัณฑ์"/>
      <sheetName val="รายการครุภัณฑ์"/>
      <sheetName val="6.น้ำเสีย "/>
      <sheetName val="รายการน้ำเสีย"/>
      <sheetName val="7.ไฟฟ้า ประปา"/>
      <sheetName val="รายการไฟฟ้าประปา"/>
      <sheetName val="8.ที่พักอาศํย"/>
      <sheetName val="รายการที่พัก"/>
      <sheetName val="9.อาคารจอดรถ"/>
      <sheetName val="รายการอาคารจอดรถ"/>
      <sheetName val="10.อาคารสนับสนุน"/>
      <sheetName val="รายการอาคารสนับสนุน"/>
      <sheetName val="11.อาคารสำนักงาน"/>
      <sheetName val="รายการอาคารสำนัก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OPD"/>
      <sheetName val="OPDบวกรพสต"/>
      <sheetName val="คิดสัดส่วน434ล้านบาท"/>
      <sheetName val="Sheet1"/>
    </sheetNames>
    <sheetDataSet>
      <sheetData sheetId="0">
        <row r="14">
          <cell r="F14">
            <v>654428</v>
          </cell>
          <cell r="G14">
            <v>1248599</v>
          </cell>
        </row>
        <row r="26">
          <cell r="F26">
            <v>695478</v>
          </cell>
          <cell r="G26">
            <v>1374745</v>
          </cell>
        </row>
        <row r="39">
          <cell r="F39">
            <v>1623720</v>
          </cell>
          <cell r="G39">
            <v>2805273</v>
          </cell>
        </row>
        <row r="47">
          <cell r="F47">
            <v>224730</v>
          </cell>
          <cell r="G47">
            <v>562000</v>
          </cell>
        </row>
        <row r="55">
          <cell r="F55">
            <v>479314</v>
          </cell>
          <cell r="G55">
            <v>1143811</v>
          </cell>
        </row>
        <row r="65">
          <cell r="F65">
            <v>958026</v>
          </cell>
          <cell r="G65">
            <v>1416238</v>
          </cell>
        </row>
        <row r="72">
          <cell r="F72">
            <v>1261530</v>
          </cell>
          <cell r="G72">
            <v>1297759</v>
          </cell>
        </row>
        <row r="82">
          <cell r="F82">
            <v>552187</v>
          </cell>
          <cell r="G82">
            <v>976369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topLeftCell="D2" zoomScale="130" zoomScaleNormal="130" workbookViewId="0">
      <pane ySplit="3" topLeftCell="A14" activePane="bottomLeft" state="frozen"/>
      <selection activeCell="A2" sqref="A2"/>
      <selection pane="bottomLeft" activeCell="W5" sqref="W5:W15"/>
    </sheetView>
  </sheetViews>
  <sheetFormatPr defaultColWidth="9" defaultRowHeight="18.75"/>
  <cols>
    <col min="1" max="1" width="5.25" style="2" customWidth="1"/>
    <col min="2" max="2" width="6.875" style="2" customWidth="1"/>
    <col min="3" max="3" width="7" style="2" customWidth="1"/>
    <col min="4" max="5" width="2.375" style="2" customWidth="1"/>
    <col min="6" max="7" width="2.875" style="2" customWidth="1"/>
    <col min="8" max="8" width="3.25" style="2" customWidth="1"/>
    <col min="9" max="9" width="3" style="2" customWidth="1"/>
    <col min="10" max="10" width="3.625" style="2" customWidth="1"/>
    <col min="11" max="11" width="3.25" style="2" customWidth="1"/>
    <col min="12" max="12" width="3" style="2" customWidth="1"/>
    <col min="13" max="13" width="2.625" style="2" customWidth="1"/>
    <col min="14" max="14" width="2.375" style="2" customWidth="1"/>
    <col min="15" max="15" width="3.25" style="2" customWidth="1"/>
    <col min="16" max="17" width="2.875" style="2" customWidth="1"/>
    <col min="18" max="19" width="3" style="2" customWidth="1"/>
    <col min="20" max="20" width="2.75" style="2" customWidth="1"/>
    <col min="21" max="21" width="2.875" style="2" customWidth="1"/>
    <col min="22" max="22" width="3.75" style="2" customWidth="1"/>
    <col min="23" max="23" width="2.75" style="2" customWidth="1"/>
    <col min="24" max="24" width="3.875" style="2" customWidth="1"/>
    <col min="25" max="25" width="3.5" style="2" customWidth="1"/>
    <col min="26" max="26" width="3.375" style="2" customWidth="1"/>
    <col min="27" max="27" width="3.625" style="2" customWidth="1"/>
    <col min="28" max="28" width="3.375" style="2" customWidth="1"/>
    <col min="29" max="29" width="2.875" style="2" customWidth="1"/>
    <col min="30" max="30" width="3.5" style="2" customWidth="1"/>
    <col min="31" max="38" width="2.875" style="2" customWidth="1"/>
    <col min="39" max="43" width="2.625" style="2" customWidth="1"/>
    <col min="44" max="44" width="4.5" style="2" customWidth="1"/>
    <col min="45" max="45" width="10.375" style="2" customWidth="1"/>
    <col min="46" max="46" width="6.625" style="2" customWidth="1"/>
    <col min="47" max="47" width="4.5" style="2" customWidth="1"/>
    <col min="48" max="48" width="5.125" style="2" customWidth="1"/>
    <col min="49" max="49" width="6.375" style="2" customWidth="1"/>
    <col min="50" max="50" width="6.125" style="2" customWidth="1"/>
    <col min="51" max="51" width="5.875" style="2" customWidth="1"/>
    <col min="52" max="52" width="5.625" style="2" customWidth="1"/>
    <col min="53" max="58" width="2.75" style="2" customWidth="1"/>
    <col min="59" max="59" width="3.375" style="2" customWidth="1"/>
    <col min="60" max="16384" width="9" style="2"/>
  </cols>
  <sheetData>
    <row r="1" spans="1:52" s="8" customFormat="1" ht="20.45" customHeight="1">
      <c r="A1" s="3" t="s">
        <v>14</v>
      </c>
      <c r="B1" s="3"/>
      <c r="C1" s="3"/>
    </row>
    <row r="2" spans="1:52" s="8" customFormat="1" ht="16.5" customHeight="1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52" s="3" customFormat="1" ht="25.5" customHeight="1">
      <c r="A3" s="14" t="s">
        <v>0</v>
      </c>
      <c r="B3" s="1336" t="s">
        <v>15</v>
      </c>
      <c r="C3" s="1337"/>
      <c r="D3" s="1340" t="s">
        <v>17</v>
      </c>
      <c r="E3" s="1340"/>
      <c r="F3" s="1340"/>
      <c r="G3" s="1340"/>
      <c r="H3" s="1340"/>
      <c r="I3" s="1340" t="s">
        <v>18</v>
      </c>
      <c r="J3" s="1340"/>
      <c r="K3" s="1340"/>
      <c r="L3" s="1340"/>
      <c r="M3" s="1340"/>
      <c r="N3" s="1340" t="s">
        <v>19</v>
      </c>
      <c r="O3" s="1340"/>
      <c r="P3" s="1340"/>
      <c r="Q3" s="1340"/>
      <c r="R3" s="1340"/>
      <c r="S3" s="1340" t="s">
        <v>20</v>
      </c>
      <c r="T3" s="1340"/>
      <c r="U3" s="1340"/>
      <c r="V3" s="1340"/>
      <c r="W3" s="1340"/>
      <c r="X3" s="1340" t="s">
        <v>21</v>
      </c>
      <c r="Y3" s="1340"/>
      <c r="Z3" s="1340"/>
      <c r="AA3" s="1340"/>
      <c r="AB3" s="1340"/>
      <c r="AC3" s="1340" t="s">
        <v>22</v>
      </c>
      <c r="AD3" s="1340"/>
      <c r="AE3" s="1340"/>
      <c r="AF3" s="1340"/>
      <c r="AG3" s="1340"/>
      <c r="AH3" s="1340" t="s">
        <v>23</v>
      </c>
      <c r="AI3" s="1340"/>
      <c r="AJ3" s="1340"/>
      <c r="AK3" s="1340"/>
      <c r="AL3" s="1340"/>
      <c r="AM3" s="1340" t="s">
        <v>24</v>
      </c>
      <c r="AN3" s="1340"/>
      <c r="AO3" s="1340"/>
      <c r="AP3" s="1340"/>
      <c r="AQ3" s="1340"/>
      <c r="AR3" s="1341" t="s">
        <v>8</v>
      </c>
      <c r="AT3" s="384" t="s">
        <v>446</v>
      </c>
      <c r="AU3" s="8"/>
      <c r="AV3" s="8"/>
      <c r="AW3" s="8"/>
      <c r="AX3" s="8"/>
      <c r="AY3" s="8"/>
      <c r="AZ3" s="8"/>
    </row>
    <row r="4" spans="1:52" s="5" customFormat="1" ht="25.5" customHeight="1">
      <c r="A4" s="16"/>
      <c r="B4" s="1338" t="s">
        <v>7</v>
      </c>
      <c r="C4" s="1339"/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2</v>
      </c>
      <c r="J4" s="28" t="s">
        <v>3</v>
      </c>
      <c r="K4" s="28" t="s">
        <v>4</v>
      </c>
      <c r="L4" s="28" t="s">
        <v>5</v>
      </c>
      <c r="M4" s="28" t="s">
        <v>6</v>
      </c>
      <c r="N4" s="28" t="s">
        <v>2</v>
      </c>
      <c r="O4" s="28" t="s">
        <v>3</v>
      </c>
      <c r="P4" s="28" t="s">
        <v>4</v>
      </c>
      <c r="Q4" s="28" t="s">
        <v>5</v>
      </c>
      <c r="R4" s="28" t="s">
        <v>6</v>
      </c>
      <c r="S4" s="28" t="s">
        <v>2</v>
      </c>
      <c r="T4" s="28" t="s">
        <v>3</v>
      </c>
      <c r="U4" s="28" t="s">
        <v>4</v>
      </c>
      <c r="V4" s="28" t="s">
        <v>5</v>
      </c>
      <c r="W4" s="28" t="s">
        <v>6</v>
      </c>
      <c r="X4" s="28" t="s">
        <v>2</v>
      </c>
      <c r="Y4" s="28" t="s">
        <v>3</v>
      </c>
      <c r="Z4" s="28" t="s">
        <v>4</v>
      </c>
      <c r="AA4" s="28" t="s">
        <v>5</v>
      </c>
      <c r="AB4" s="28" t="s">
        <v>6</v>
      </c>
      <c r="AC4" s="28" t="s">
        <v>2</v>
      </c>
      <c r="AD4" s="28" t="s">
        <v>3</v>
      </c>
      <c r="AE4" s="28" t="s">
        <v>4</v>
      </c>
      <c r="AF4" s="28" t="s">
        <v>5</v>
      </c>
      <c r="AG4" s="28" t="s">
        <v>6</v>
      </c>
      <c r="AH4" s="28" t="s">
        <v>2</v>
      </c>
      <c r="AI4" s="28" t="s">
        <v>3</v>
      </c>
      <c r="AJ4" s="28" t="s">
        <v>4</v>
      </c>
      <c r="AK4" s="28" t="s">
        <v>5</v>
      </c>
      <c r="AL4" s="28" t="s">
        <v>6</v>
      </c>
      <c r="AM4" s="28" t="s">
        <v>2</v>
      </c>
      <c r="AN4" s="28" t="s">
        <v>3</v>
      </c>
      <c r="AO4" s="28" t="s">
        <v>4</v>
      </c>
      <c r="AP4" s="28" t="s">
        <v>5</v>
      </c>
      <c r="AQ4" s="28" t="s">
        <v>6</v>
      </c>
      <c r="AR4" s="1342"/>
      <c r="AT4" s="385" t="s">
        <v>42</v>
      </c>
      <c r="AU4" s="385" t="s">
        <v>447</v>
      </c>
      <c r="AV4" s="385" t="s">
        <v>448</v>
      </c>
      <c r="AW4" s="385" t="s">
        <v>449</v>
      </c>
      <c r="AX4" s="386" t="s">
        <v>450</v>
      </c>
      <c r="AY4" s="385" t="s">
        <v>451</v>
      </c>
      <c r="AZ4" s="385" t="s">
        <v>452</v>
      </c>
    </row>
    <row r="5" spans="1:52" s="8" customFormat="1" ht="22.5" customHeight="1">
      <c r="A5" s="18">
        <v>2561</v>
      </c>
      <c r="B5" s="19" t="s">
        <v>12</v>
      </c>
      <c r="C5" s="397">
        <f>SUM(D5:AQ5)</f>
        <v>340</v>
      </c>
      <c r="D5" s="399">
        <v>0</v>
      </c>
      <c r="E5" s="399">
        <v>0</v>
      </c>
      <c r="F5" s="399">
        <v>0</v>
      </c>
      <c r="G5" s="399">
        <v>0</v>
      </c>
      <c r="H5" s="401">
        <v>30</v>
      </c>
      <c r="I5" s="402">
        <v>13</v>
      </c>
      <c r="J5" s="399">
        <v>0</v>
      </c>
      <c r="K5" s="399">
        <v>0</v>
      </c>
      <c r="L5" s="402">
        <v>30</v>
      </c>
      <c r="M5" s="402">
        <v>24</v>
      </c>
      <c r="N5" s="402">
        <v>0</v>
      </c>
      <c r="O5" s="402">
        <v>21</v>
      </c>
      <c r="P5" s="402">
        <v>0</v>
      </c>
      <c r="Q5" s="402">
        <v>37</v>
      </c>
      <c r="R5" s="402">
        <v>30</v>
      </c>
      <c r="S5" s="403">
        <v>30</v>
      </c>
      <c r="T5" s="399">
        <v>0</v>
      </c>
      <c r="U5" s="404">
        <v>15</v>
      </c>
      <c r="V5" s="399">
        <v>0</v>
      </c>
      <c r="W5" s="1181">
        <v>0</v>
      </c>
      <c r="X5" s="401">
        <v>4</v>
      </c>
      <c r="Y5" s="399">
        <v>0</v>
      </c>
      <c r="Z5" s="399">
        <v>0</v>
      </c>
      <c r="AA5" s="399">
        <v>0</v>
      </c>
      <c r="AB5" s="402">
        <v>6</v>
      </c>
      <c r="AC5" s="405">
        <v>30</v>
      </c>
      <c r="AD5" s="399">
        <v>0</v>
      </c>
      <c r="AE5" s="399">
        <v>0</v>
      </c>
      <c r="AF5" s="399">
        <v>0</v>
      </c>
      <c r="AG5" s="402">
        <v>70</v>
      </c>
      <c r="AH5" s="399">
        <v>0</v>
      </c>
      <c r="AI5" s="399">
        <v>0</v>
      </c>
      <c r="AJ5" s="399">
        <v>0</v>
      </c>
      <c r="AK5" s="399">
        <v>0</v>
      </c>
      <c r="AL5" s="399">
        <v>0</v>
      </c>
      <c r="AM5" s="399">
        <v>0</v>
      </c>
      <c r="AN5" s="399">
        <v>0</v>
      </c>
      <c r="AO5" s="399">
        <v>0</v>
      </c>
      <c r="AP5" s="399">
        <v>0</v>
      </c>
      <c r="AQ5" s="399">
        <v>0</v>
      </c>
      <c r="AR5" s="406">
        <f>C5+C6</f>
        <v>506</v>
      </c>
      <c r="AT5" s="387" t="s">
        <v>2</v>
      </c>
      <c r="AU5" s="388">
        <v>0.62</v>
      </c>
      <c r="AV5" s="387">
        <v>223</v>
      </c>
      <c r="AW5" s="387">
        <v>1115</v>
      </c>
      <c r="AX5" s="387">
        <v>0</v>
      </c>
      <c r="AY5" s="387"/>
      <c r="AZ5" s="387">
        <v>550</v>
      </c>
    </row>
    <row r="6" spans="1:52" s="8" customFormat="1" ht="18" customHeight="1">
      <c r="A6" s="20"/>
      <c r="B6" s="21" t="s">
        <v>13</v>
      </c>
      <c r="C6" s="397">
        <f t="shared" ref="C6:C14" si="0">SUM(D6:AQ6)</f>
        <v>166</v>
      </c>
      <c r="D6" s="399">
        <v>0</v>
      </c>
      <c r="E6" s="399">
        <v>0</v>
      </c>
      <c r="F6" s="399">
        <v>0</v>
      </c>
      <c r="G6" s="399">
        <v>0</v>
      </c>
      <c r="H6" s="407">
        <v>10</v>
      </c>
      <c r="I6" s="399" t="s">
        <v>243</v>
      </c>
      <c r="J6" s="399">
        <v>0</v>
      </c>
      <c r="K6" s="399">
        <v>0</v>
      </c>
      <c r="L6" s="399">
        <v>0</v>
      </c>
      <c r="M6" s="408">
        <v>8</v>
      </c>
      <c r="N6" s="402">
        <v>0</v>
      </c>
      <c r="O6" s="402">
        <v>0</v>
      </c>
      <c r="P6" s="408">
        <v>0</v>
      </c>
      <c r="Q6" s="408">
        <v>53</v>
      </c>
      <c r="R6" s="408">
        <v>6</v>
      </c>
      <c r="S6" s="409">
        <v>10</v>
      </c>
      <c r="T6" s="399">
        <v>0</v>
      </c>
      <c r="U6" s="410">
        <v>10</v>
      </c>
      <c r="V6" s="399">
        <v>0</v>
      </c>
      <c r="W6" s="1182">
        <v>0</v>
      </c>
      <c r="X6" s="407">
        <v>17</v>
      </c>
      <c r="Y6" s="399">
        <v>0</v>
      </c>
      <c r="Z6" s="399">
        <v>0</v>
      </c>
      <c r="AA6" s="399">
        <v>0</v>
      </c>
      <c r="AB6" s="408">
        <v>23</v>
      </c>
      <c r="AC6" s="399">
        <v>0</v>
      </c>
      <c r="AD6" s="399">
        <v>0</v>
      </c>
      <c r="AE6" s="399">
        <v>0</v>
      </c>
      <c r="AF6" s="399">
        <v>0</v>
      </c>
      <c r="AG6" s="408">
        <v>23</v>
      </c>
      <c r="AH6" s="399">
        <v>0</v>
      </c>
      <c r="AI6" s="399">
        <v>0</v>
      </c>
      <c r="AJ6" s="399">
        <v>0</v>
      </c>
      <c r="AK6" s="399">
        <v>0</v>
      </c>
      <c r="AL6" s="399">
        <v>0</v>
      </c>
      <c r="AM6" s="399">
        <v>0</v>
      </c>
      <c r="AN6" s="399">
        <v>0</v>
      </c>
      <c r="AO6" s="399">
        <v>0</v>
      </c>
      <c r="AP6" s="399">
        <v>0</v>
      </c>
      <c r="AQ6" s="411">
        <v>6</v>
      </c>
      <c r="AR6" s="412"/>
      <c r="AT6" s="387" t="s">
        <v>3</v>
      </c>
      <c r="AU6" s="388">
        <v>0.13</v>
      </c>
      <c r="AV6" s="389">
        <v>47</v>
      </c>
      <c r="AW6" s="389">
        <v>150</v>
      </c>
      <c r="AX6" s="387">
        <v>415</v>
      </c>
      <c r="AY6" s="389" t="s">
        <v>450</v>
      </c>
      <c r="AZ6" s="387">
        <v>0</v>
      </c>
    </row>
    <row r="7" spans="1:52" s="8" customFormat="1" ht="18" customHeight="1">
      <c r="A7" s="22">
        <v>2562</v>
      </c>
      <c r="B7" s="21" t="s">
        <v>12</v>
      </c>
      <c r="C7" s="397">
        <f t="shared" si="0"/>
        <v>241</v>
      </c>
      <c r="D7" s="399">
        <v>0</v>
      </c>
      <c r="E7" s="399">
        <v>0</v>
      </c>
      <c r="F7" s="399">
        <v>0</v>
      </c>
      <c r="G7" s="399">
        <v>0</v>
      </c>
      <c r="H7" s="407">
        <v>30</v>
      </c>
      <c r="I7" s="399">
        <v>0</v>
      </c>
      <c r="J7" s="399">
        <v>0</v>
      </c>
      <c r="K7" s="399">
        <v>0</v>
      </c>
      <c r="L7" s="399">
        <v>0</v>
      </c>
      <c r="M7" s="801">
        <v>30</v>
      </c>
      <c r="N7" s="408">
        <v>0</v>
      </c>
      <c r="O7" s="408">
        <v>47</v>
      </c>
      <c r="P7" s="408">
        <v>0</v>
      </c>
      <c r="Q7" s="408">
        <v>25</v>
      </c>
      <c r="R7" s="408">
        <v>6</v>
      </c>
      <c r="S7" s="409">
        <v>30</v>
      </c>
      <c r="T7" s="399">
        <v>0</v>
      </c>
      <c r="U7" s="404">
        <v>15</v>
      </c>
      <c r="V7" s="399">
        <v>0</v>
      </c>
      <c r="W7" s="1181">
        <v>0</v>
      </c>
      <c r="X7" s="399">
        <v>0</v>
      </c>
      <c r="Y7" s="399">
        <v>0</v>
      </c>
      <c r="Z7" s="399">
        <v>0</v>
      </c>
      <c r="AA7" s="399">
        <v>0</v>
      </c>
      <c r="AB7" s="402">
        <v>6</v>
      </c>
      <c r="AC7" s="399">
        <v>0</v>
      </c>
      <c r="AD7" s="399">
        <v>0</v>
      </c>
      <c r="AE7" s="399">
        <v>0</v>
      </c>
      <c r="AF7" s="399">
        <v>0</v>
      </c>
      <c r="AG7" s="408">
        <v>18</v>
      </c>
      <c r="AH7" s="399">
        <v>0</v>
      </c>
      <c r="AI7" s="399">
        <v>0</v>
      </c>
      <c r="AJ7" s="399">
        <v>0</v>
      </c>
      <c r="AK7" s="399">
        <v>0</v>
      </c>
      <c r="AL7" s="399">
        <v>0</v>
      </c>
      <c r="AM7" s="399">
        <v>0</v>
      </c>
      <c r="AN7" s="411">
        <v>34</v>
      </c>
      <c r="AO7" s="400">
        <v>0</v>
      </c>
      <c r="AP7" s="399">
        <v>0</v>
      </c>
      <c r="AQ7" s="399">
        <v>0</v>
      </c>
      <c r="AR7" s="413">
        <f>C7+C8</f>
        <v>343</v>
      </c>
      <c r="AT7" s="387" t="s">
        <v>4</v>
      </c>
      <c r="AU7" s="388">
        <v>7.0000000000000007E-2</v>
      </c>
      <c r="AV7" s="389">
        <v>25</v>
      </c>
      <c r="AW7" s="389">
        <v>125</v>
      </c>
      <c r="AX7" s="387">
        <v>200</v>
      </c>
      <c r="AY7" s="389" t="s">
        <v>453</v>
      </c>
      <c r="AZ7" s="387">
        <v>250</v>
      </c>
    </row>
    <row r="8" spans="1:52" s="8" customFormat="1" ht="20.45" customHeight="1">
      <c r="A8" s="20"/>
      <c r="B8" s="21" t="s">
        <v>13</v>
      </c>
      <c r="C8" s="397">
        <f t="shared" si="0"/>
        <v>102</v>
      </c>
      <c r="D8" s="399">
        <v>0</v>
      </c>
      <c r="E8" s="399">
        <v>0</v>
      </c>
      <c r="F8" s="399">
        <v>0</v>
      </c>
      <c r="G8" s="399">
        <v>0</v>
      </c>
      <c r="H8" s="407">
        <v>10</v>
      </c>
      <c r="I8" s="408">
        <v>15</v>
      </c>
      <c r="J8" s="399">
        <v>0</v>
      </c>
      <c r="K8" s="399">
        <v>0</v>
      </c>
      <c r="L8" s="399">
        <v>0</v>
      </c>
      <c r="M8" s="399">
        <v>0</v>
      </c>
      <c r="N8" s="408">
        <v>0</v>
      </c>
      <c r="O8" s="408">
        <v>0</v>
      </c>
      <c r="P8" s="408">
        <v>0</v>
      </c>
      <c r="Q8" s="408">
        <v>0</v>
      </c>
      <c r="R8" s="408">
        <v>0</v>
      </c>
      <c r="S8" s="409">
        <v>10</v>
      </c>
      <c r="T8" s="399">
        <v>0</v>
      </c>
      <c r="U8" s="410">
        <v>10</v>
      </c>
      <c r="V8" s="399">
        <v>0</v>
      </c>
      <c r="W8" s="1182">
        <v>0</v>
      </c>
      <c r="X8" s="399">
        <v>0</v>
      </c>
      <c r="Y8" s="399">
        <v>0</v>
      </c>
      <c r="Z8" s="399">
        <v>0</v>
      </c>
      <c r="AA8" s="399">
        <v>0</v>
      </c>
      <c r="AB8" s="399">
        <v>0</v>
      </c>
      <c r="AC8" s="399">
        <v>0</v>
      </c>
      <c r="AD8" s="399">
        <v>0</v>
      </c>
      <c r="AE8" s="399">
        <v>0</v>
      </c>
      <c r="AF8" s="399">
        <v>0</v>
      </c>
      <c r="AG8" s="408">
        <v>24</v>
      </c>
      <c r="AH8" s="399">
        <v>0</v>
      </c>
      <c r="AI8" s="399">
        <v>0</v>
      </c>
      <c r="AJ8" s="399">
        <v>0</v>
      </c>
      <c r="AK8" s="399">
        <v>0</v>
      </c>
      <c r="AL8" s="399">
        <v>0</v>
      </c>
      <c r="AM8" s="399">
        <v>0</v>
      </c>
      <c r="AN8" s="414">
        <v>13</v>
      </c>
      <c r="AO8" s="399">
        <v>0</v>
      </c>
      <c r="AP8" s="399">
        <v>0</v>
      </c>
      <c r="AQ8" s="411">
        <v>20</v>
      </c>
      <c r="AR8" s="412"/>
      <c r="AT8" s="387" t="s">
        <v>5</v>
      </c>
      <c r="AU8" s="388">
        <v>0.06</v>
      </c>
      <c r="AV8" s="389">
        <v>25</v>
      </c>
      <c r="AW8" s="389">
        <v>125</v>
      </c>
      <c r="AX8" s="387">
        <v>120</v>
      </c>
      <c r="AY8" s="389" t="s">
        <v>454</v>
      </c>
      <c r="AZ8" s="387">
        <v>200</v>
      </c>
    </row>
    <row r="9" spans="1:52" s="8" customFormat="1" ht="22.5" customHeight="1">
      <c r="A9" s="22">
        <v>2563</v>
      </c>
      <c r="B9" s="21" t="s">
        <v>12</v>
      </c>
      <c r="C9" s="397">
        <f t="shared" si="0"/>
        <v>389</v>
      </c>
      <c r="D9" s="399">
        <v>0</v>
      </c>
      <c r="E9" s="399">
        <v>0</v>
      </c>
      <c r="F9" s="399">
        <v>0</v>
      </c>
      <c r="G9" s="399">
        <v>0</v>
      </c>
      <c r="H9" s="407">
        <v>30</v>
      </c>
      <c r="I9" s="408">
        <v>28</v>
      </c>
      <c r="J9" s="399">
        <v>0</v>
      </c>
      <c r="K9" s="399">
        <v>0</v>
      </c>
      <c r="L9" s="399">
        <v>0</v>
      </c>
      <c r="M9" s="399">
        <v>0</v>
      </c>
      <c r="N9" s="408">
        <v>0</v>
      </c>
      <c r="O9" s="408">
        <v>97</v>
      </c>
      <c r="P9" s="408">
        <v>0</v>
      </c>
      <c r="Q9" s="408">
        <v>28</v>
      </c>
      <c r="R9" s="408">
        <v>6</v>
      </c>
      <c r="S9" s="409">
        <v>30</v>
      </c>
      <c r="T9" s="399">
        <v>0</v>
      </c>
      <c r="U9" s="404">
        <v>15</v>
      </c>
      <c r="V9" s="399">
        <v>0</v>
      </c>
      <c r="W9" s="1181">
        <v>0</v>
      </c>
      <c r="X9" s="399">
        <v>0</v>
      </c>
      <c r="Y9" s="399">
        <v>0</v>
      </c>
      <c r="Z9" s="399">
        <v>0</v>
      </c>
      <c r="AA9" s="399">
        <v>0</v>
      </c>
      <c r="AB9" s="402">
        <v>6</v>
      </c>
      <c r="AC9" s="415">
        <v>20</v>
      </c>
      <c r="AD9" s="399">
        <v>0</v>
      </c>
      <c r="AE9" s="416">
        <v>30</v>
      </c>
      <c r="AF9" s="399">
        <v>0</v>
      </c>
      <c r="AG9" s="399">
        <v>0</v>
      </c>
      <c r="AH9" s="399">
        <v>0</v>
      </c>
      <c r="AI9" s="399">
        <v>0</v>
      </c>
      <c r="AJ9" s="399">
        <v>0</v>
      </c>
      <c r="AK9" s="399">
        <v>0</v>
      </c>
      <c r="AL9" s="399">
        <v>0</v>
      </c>
      <c r="AM9" s="399">
        <v>0</v>
      </c>
      <c r="AN9" s="414">
        <v>54</v>
      </c>
      <c r="AO9" s="414">
        <v>45</v>
      </c>
      <c r="AP9" s="399">
        <v>0</v>
      </c>
      <c r="AQ9" s="399">
        <v>0</v>
      </c>
      <c r="AR9" s="413">
        <f>C9+C10</f>
        <v>551</v>
      </c>
      <c r="AT9" s="387" t="s">
        <v>6</v>
      </c>
      <c r="AU9" s="388">
        <v>0.12</v>
      </c>
      <c r="AV9" s="389">
        <v>40</v>
      </c>
      <c r="AW9" s="389">
        <v>200</v>
      </c>
      <c r="AX9" s="387">
        <v>74</v>
      </c>
      <c r="AY9" s="389" t="s">
        <v>455</v>
      </c>
      <c r="AZ9" s="387">
        <v>150</v>
      </c>
    </row>
    <row r="10" spans="1:52" s="8" customFormat="1" ht="21" customHeight="1">
      <c r="A10" s="20"/>
      <c r="B10" s="21" t="s">
        <v>13</v>
      </c>
      <c r="C10" s="397">
        <f t="shared" si="0"/>
        <v>162</v>
      </c>
      <c r="D10" s="399">
        <v>0</v>
      </c>
      <c r="E10" s="399">
        <v>0</v>
      </c>
      <c r="F10" s="399">
        <v>0</v>
      </c>
      <c r="G10" s="399">
        <v>0</v>
      </c>
      <c r="H10" s="407">
        <v>10</v>
      </c>
      <c r="I10" s="399">
        <v>0</v>
      </c>
      <c r="J10" s="399">
        <v>0</v>
      </c>
      <c r="K10" s="399">
        <v>0</v>
      </c>
      <c r="L10" s="399">
        <v>0</v>
      </c>
      <c r="M10" s="399">
        <v>0</v>
      </c>
      <c r="N10" s="408">
        <v>0</v>
      </c>
      <c r="O10" s="408">
        <v>50</v>
      </c>
      <c r="P10" s="408">
        <v>0</v>
      </c>
      <c r="Q10" s="408">
        <v>15</v>
      </c>
      <c r="R10" s="408">
        <v>0</v>
      </c>
      <c r="S10" s="409">
        <v>10</v>
      </c>
      <c r="T10" s="399">
        <v>0</v>
      </c>
      <c r="U10" s="410">
        <v>10</v>
      </c>
      <c r="V10" s="399">
        <v>0</v>
      </c>
      <c r="W10" s="1182">
        <v>0</v>
      </c>
      <c r="X10" s="399">
        <v>0</v>
      </c>
      <c r="Y10" s="399">
        <v>0</v>
      </c>
      <c r="Z10" s="417">
        <v>20</v>
      </c>
      <c r="AA10" s="399">
        <v>0</v>
      </c>
      <c r="AB10" s="399">
        <v>0</v>
      </c>
      <c r="AC10" s="399">
        <v>0</v>
      </c>
      <c r="AD10" s="399">
        <v>0</v>
      </c>
      <c r="AE10" s="416">
        <v>20</v>
      </c>
      <c r="AF10" s="399">
        <v>0</v>
      </c>
      <c r="AG10" s="399">
        <v>0</v>
      </c>
      <c r="AH10" s="399">
        <v>0</v>
      </c>
      <c r="AI10" s="399">
        <v>0</v>
      </c>
      <c r="AJ10" s="399">
        <v>0</v>
      </c>
      <c r="AK10" s="399">
        <v>0</v>
      </c>
      <c r="AL10" s="399">
        <v>0</v>
      </c>
      <c r="AM10" s="399">
        <v>0</v>
      </c>
      <c r="AN10" s="414">
        <v>6</v>
      </c>
      <c r="AO10" s="414">
        <v>15</v>
      </c>
      <c r="AP10" s="399">
        <v>0</v>
      </c>
      <c r="AQ10" s="411">
        <v>6</v>
      </c>
      <c r="AR10" s="412"/>
      <c r="AT10" s="389"/>
      <c r="AU10" s="389"/>
      <c r="AV10" s="389"/>
      <c r="AW10" s="389"/>
      <c r="AX10" s="387">
        <v>41</v>
      </c>
      <c r="AY10" s="389" t="s">
        <v>456</v>
      </c>
      <c r="AZ10" s="387">
        <v>60</v>
      </c>
    </row>
    <row r="11" spans="1:52" s="8" customFormat="1" ht="22.5" customHeight="1">
      <c r="A11" s="22">
        <v>2564</v>
      </c>
      <c r="B11" s="21" t="s">
        <v>12</v>
      </c>
      <c r="C11" s="397">
        <f t="shared" si="0"/>
        <v>147</v>
      </c>
      <c r="D11" s="399">
        <v>0</v>
      </c>
      <c r="E11" s="399">
        <v>0</v>
      </c>
      <c r="F11" s="399">
        <v>0</v>
      </c>
      <c r="G11" s="399">
        <v>0</v>
      </c>
      <c r="H11" s="399">
        <v>0</v>
      </c>
      <c r="I11" s="408">
        <v>5</v>
      </c>
      <c r="J11" s="399">
        <v>0</v>
      </c>
      <c r="K11" s="399">
        <v>0</v>
      </c>
      <c r="L11" s="399">
        <v>0</v>
      </c>
      <c r="M11" s="801">
        <v>60</v>
      </c>
      <c r="N11" s="408">
        <v>0</v>
      </c>
      <c r="O11" s="408">
        <v>0</v>
      </c>
      <c r="P11" s="408">
        <v>0</v>
      </c>
      <c r="Q11" s="408">
        <v>25</v>
      </c>
      <c r="R11" s="408">
        <v>6</v>
      </c>
      <c r="S11" s="409">
        <v>30</v>
      </c>
      <c r="T11" s="399">
        <v>0</v>
      </c>
      <c r="U11" s="404">
        <v>15</v>
      </c>
      <c r="V11" s="399">
        <v>0</v>
      </c>
      <c r="W11" s="1181">
        <v>0</v>
      </c>
      <c r="X11" s="399">
        <v>0</v>
      </c>
      <c r="Y11" s="399">
        <v>0</v>
      </c>
      <c r="Z11" s="399">
        <v>0</v>
      </c>
      <c r="AA11" s="399">
        <v>0</v>
      </c>
      <c r="AB11" s="402">
        <v>6</v>
      </c>
      <c r="AC11" s="399">
        <v>0</v>
      </c>
      <c r="AD11" s="399">
        <v>0</v>
      </c>
      <c r="AE11" s="399">
        <v>0</v>
      </c>
      <c r="AF11" s="399">
        <v>0</v>
      </c>
      <c r="AG11" s="399">
        <v>0</v>
      </c>
      <c r="AH11" s="399">
        <v>0</v>
      </c>
      <c r="AI11" s="399">
        <v>0</v>
      </c>
      <c r="AJ11" s="399">
        <v>0</v>
      </c>
      <c r="AK11" s="399">
        <v>0</v>
      </c>
      <c r="AL11" s="399">
        <v>0</v>
      </c>
      <c r="AM11" s="399">
        <v>0</v>
      </c>
      <c r="AN11" s="399">
        <v>0</v>
      </c>
      <c r="AO11" s="399">
        <v>0</v>
      </c>
      <c r="AP11" s="399">
        <v>0</v>
      </c>
      <c r="AQ11" s="399">
        <v>0</v>
      </c>
      <c r="AR11" s="413">
        <f>C11+C12</f>
        <v>179</v>
      </c>
    </row>
    <row r="12" spans="1:52" s="8" customFormat="1" ht="18.95" customHeight="1">
      <c r="A12" s="20"/>
      <c r="B12" s="21" t="s">
        <v>13</v>
      </c>
      <c r="C12" s="397">
        <f t="shared" si="0"/>
        <v>32</v>
      </c>
      <c r="D12" s="399">
        <v>0</v>
      </c>
      <c r="E12" s="399">
        <v>0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  <c r="L12" s="399">
        <v>0</v>
      </c>
      <c r="M12" s="399">
        <v>0</v>
      </c>
      <c r="N12" s="408">
        <v>0</v>
      </c>
      <c r="O12" s="408">
        <v>0</v>
      </c>
      <c r="P12" s="408">
        <v>0</v>
      </c>
      <c r="Q12" s="408">
        <v>0</v>
      </c>
      <c r="R12" s="408">
        <v>0</v>
      </c>
      <c r="S12" s="409">
        <v>10</v>
      </c>
      <c r="T12" s="399">
        <v>0</v>
      </c>
      <c r="U12" s="410">
        <v>10</v>
      </c>
      <c r="V12" s="399">
        <v>0</v>
      </c>
      <c r="W12" s="1182">
        <v>0</v>
      </c>
      <c r="X12" s="399">
        <v>0</v>
      </c>
      <c r="Y12" s="399">
        <v>0</v>
      </c>
      <c r="Z12" s="399">
        <v>0</v>
      </c>
      <c r="AA12" s="399">
        <v>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  <c r="AL12" s="399">
        <v>0</v>
      </c>
      <c r="AM12" s="399">
        <v>0</v>
      </c>
      <c r="AN12" s="399">
        <v>0</v>
      </c>
      <c r="AO12" s="399">
        <v>0</v>
      </c>
      <c r="AP12" s="399">
        <v>0</v>
      </c>
      <c r="AQ12" s="408">
        <v>12</v>
      </c>
      <c r="AR12" s="412"/>
    </row>
    <row r="13" spans="1:52" s="8" customFormat="1" ht="23.1" customHeight="1">
      <c r="A13" s="22">
        <v>2565</v>
      </c>
      <c r="B13" s="21" t="s">
        <v>12</v>
      </c>
      <c r="C13" s="397">
        <f t="shared" si="0"/>
        <v>304</v>
      </c>
      <c r="D13" s="399">
        <v>0</v>
      </c>
      <c r="E13" s="399">
        <v>0</v>
      </c>
      <c r="F13" s="399">
        <v>0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  <c r="L13" s="399">
        <v>0</v>
      </c>
      <c r="M13" s="408">
        <v>24</v>
      </c>
      <c r="N13" s="408">
        <v>0</v>
      </c>
      <c r="O13" s="408">
        <v>0</v>
      </c>
      <c r="P13" s="408">
        <v>0</v>
      </c>
      <c r="Q13" s="408">
        <v>20</v>
      </c>
      <c r="R13" s="408">
        <v>45</v>
      </c>
      <c r="S13" s="409">
        <v>30</v>
      </c>
      <c r="T13" s="399">
        <v>0</v>
      </c>
      <c r="U13" s="404">
        <v>15</v>
      </c>
      <c r="V13" s="399">
        <v>0</v>
      </c>
      <c r="W13" s="1181">
        <v>30</v>
      </c>
      <c r="X13" s="399">
        <v>0</v>
      </c>
      <c r="Y13" s="399">
        <v>0</v>
      </c>
      <c r="Z13" s="399">
        <v>0</v>
      </c>
      <c r="AA13" s="399">
        <v>0</v>
      </c>
      <c r="AB13" s="408">
        <f>30+6</f>
        <v>36</v>
      </c>
      <c r="AC13" s="415">
        <v>30</v>
      </c>
      <c r="AD13" s="399">
        <v>0</v>
      </c>
      <c r="AE13" s="399">
        <v>0</v>
      </c>
      <c r="AF13" s="408">
        <v>60</v>
      </c>
      <c r="AG13" s="408"/>
      <c r="AH13" s="399">
        <v>0</v>
      </c>
      <c r="AI13" s="399">
        <v>0</v>
      </c>
      <c r="AJ13" s="399">
        <v>0</v>
      </c>
      <c r="AK13" s="399">
        <v>0</v>
      </c>
      <c r="AL13" s="399">
        <v>0</v>
      </c>
      <c r="AM13" s="399">
        <v>0</v>
      </c>
      <c r="AN13" s="399">
        <v>0</v>
      </c>
      <c r="AO13" s="399">
        <v>0</v>
      </c>
      <c r="AP13" s="399">
        <v>0</v>
      </c>
      <c r="AQ13" s="408">
        <v>14</v>
      </c>
      <c r="AR13" s="413">
        <f>C13+C14</f>
        <v>427</v>
      </c>
    </row>
    <row r="14" spans="1:52" s="8" customFormat="1" ht="19.5" customHeight="1">
      <c r="A14" s="23"/>
      <c r="B14" s="24" t="s">
        <v>13</v>
      </c>
      <c r="C14" s="397">
        <f t="shared" si="0"/>
        <v>123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418">
        <v>30</v>
      </c>
      <c r="M14" s="418">
        <v>10</v>
      </c>
      <c r="N14" s="408">
        <v>0</v>
      </c>
      <c r="O14" s="408">
        <v>0</v>
      </c>
      <c r="P14" s="408">
        <v>0</v>
      </c>
      <c r="Q14" s="408">
        <v>0</v>
      </c>
      <c r="R14" s="418">
        <v>11</v>
      </c>
      <c r="S14" s="419">
        <v>10</v>
      </c>
      <c r="T14" s="399">
        <v>0</v>
      </c>
      <c r="U14" s="410">
        <v>10</v>
      </c>
      <c r="V14" s="399">
        <v>0</v>
      </c>
      <c r="W14" s="1182">
        <v>10</v>
      </c>
      <c r="X14" s="399">
        <v>0</v>
      </c>
      <c r="Y14" s="399">
        <v>0</v>
      </c>
      <c r="Z14" s="399">
        <v>0</v>
      </c>
      <c r="AA14" s="399">
        <v>0</v>
      </c>
      <c r="AB14" s="399">
        <v>0</v>
      </c>
      <c r="AC14" s="399">
        <v>0</v>
      </c>
      <c r="AD14" s="399">
        <v>0</v>
      </c>
      <c r="AE14" s="399">
        <v>0</v>
      </c>
      <c r="AF14" s="418">
        <v>36</v>
      </c>
      <c r="AG14" s="418"/>
      <c r="AH14" s="399">
        <v>0</v>
      </c>
      <c r="AI14" s="399">
        <v>0</v>
      </c>
      <c r="AJ14" s="399">
        <v>0</v>
      </c>
      <c r="AK14" s="399">
        <v>0</v>
      </c>
      <c r="AL14" s="399">
        <v>0</v>
      </c>
      <c r="AM14" s="399">
        <v>0</v>
      </c>
      <c r="AN14" s="399">
        <v>0</v>
      </c>
      <c r="AO14" s="399">
        <v>0</v>
      </c>
      <c r="AP14" s="399">
        <v>0</v>
      </c>
      <c r="AQ14" s="418">
        <v>6</v>
      </c>
      <c r="AR14" s="420"/>
    </row>
    <row r="15" spans="1:52" s="8" customFormat="1" ht="22.35" customHeight="1">
      <c r="A15" s="31" t="s">
        <v>8</v>
      </c>
      <c r="B15" s="25"/>
      <c r="C15" s="802">
        <f>SUM(C5:C14)</f>
        <v>2006</v>
      </c>
      <c r="D15" s="399">
        <v>0</v>
      </c>
      <c r="E15" s="399">
        <v>0</v>
      </c>
      <c r="F15" s="399">
        <v>0</v>
      </c>
      <c r="G15" s="399">
        <v>0</v>
      </c>
      <c r="H15" s="414">
        <v>40</v>
      </c>
      <c r="I15" s="421">
        <f t="shared" ref="I15:S15" si="1">SUM(I5:I14)</f>
        <v>61</v>
      </c>
      <c r="J15" s="422">
        <f t="shared" si="1"/>
        <v>0</v>
      </c>
      <c r="K15" s="422">
        <f t="shared" si="1"/>
        <v>0</v>
      </c>
      <c r="L15" s="421">
        <f t="shared" si="1"/>
        <v>60</v>
      </c>
      <c r="M15" s="429">
        <f t="shared" si="1"/>
        <v>156</v>
      </c>
      <c r="N15" s="429">
        <f t="shared" si="1"/>
        <v>0</v>
      </c>
      <c r="O15" s="429">
        <f t="shared" si="1"/>
        <v>215</v>
      </c>
      <c r="P15" s="429">
        <f t="shared" si="1"/>
        <v>0</v>
      </c>
      <c r="Q15" s="429">
        <f t="shared" si="1"/>
        <v>203</v>
      </c>
      <c r="R15" s="429">
        <f t="shared" si="1"/>
        <v>110</v>
      </c>
      <c r="S15" s="421">
        <f t="shared" si="1"/>
        <v>200</v>
      </c>
      <c r="T15" s="399">
        <v>0</v>
      </c>
      <c r="U15" s="421">
        <f>SUM(U5:U14)</f>
        <v>125</v>
      </c>
      <c r="V15" s="399">
        <v>0</v>
      </c>
      <c r="W15" s="1183">
        <f>SUM(W5:W14)</f>
        <v>40</v>
      </c>
      <c r="X15" s="421">
        <f>SUM(X5:X14)</f>
        <v>21</v>
      </c>
      <c r="Y15" s="399">
        <v>0</v>
      </c>
      <c r="Z15" s="421">
        <f>SUM(Z5:Z14)</f>
        <v>20</v>
      </c>
      <c r="AA15" s="399">
        <v>0</v>
      </c>
      <c r="AB15" s="421">
        <f t="shared" ref="AB15:AG15" si="2">SUM(AB5:AB14)</f>
        <v>83</v>
      </c>
      <c r="AC15" s="423">
        <f t="shared" si="2"/>
        <v>80</v>
      </c>
      <c r="AD15" s="422">
        <f t="shared" si="2"/>
        <v>0</v>
      </c>
      <c r="AE15" s="424">
        <f t="shared" si="2"/>
        <v>50</v>
      </c>
      <c r="AF15" s="422">
        <f t="shared" si="2"/>
        <v>96</v>
      </c>
      <c r="AG15" s="421">
        <f t="shared" si="2"/>
        <v>135</v>
      </c>
      <c r="AH15" s="399">
        <v>0</v>
      </c>
      <c r="AI15" s="399">
        <v>0</v>
      </c>
      <c r="AJ15" s="399">
        <v>0</v>
      </c>
      <c r="AK15" s="399">
        <v>0</v>
      </c>
      <c r="AL15" s="399">
        <v>0</v>
      </c>
      <c r="AM15" s="399">
        <v>0</v>
      </c>
      <c r="AN15" s="421"/>
      <c r="AO15" s="399">
        <v>0</v>
      </c>
      <c r="AP15" s="399">
        <v>0</v>
      </c>
      <c r="AQ15" s="421"/>
      <c r="AR15" s="422">
        <f>SUM(AR5:AR14)</f>
        <v>2006</v>
      </c>
      <c r="AS15" s="8">
        <f>X15+Z15+AB15</f>
        <v>124</v>
      </c>
    </row>
    <row r="16" spans="1:52" s="8" customFormat="1" ht="22.35" customHeight="1">
      <c r="A16" s="435"/>
      <c r="B16" s="436"/>
      <c r="C16" s="437"/>
      <c r="D16" s="438"/>
      <c r="E16" s="438"/>
      <c r="F16" s="438"/>
      <c r="G16" s="438"/>
      <c r="H16" s="439"/>
      <c r="I16" s="440"/>
      <c r="J16" s="441"/>
      <c r="K16" s="441"/>
      <c r="L16" s="440"/>
      <c r="M16" s="440"/>
      <c r="N16" s="442"/>
      <c r="O16" s="442"/>
      <c r="P16" s="442"/>
      <c r="Q16" s="442"/>
      <c r="R16" s="442"/>
      <c r="S16" s="440"/>
      <c r="T16" s="438"/>
      <c r="U16" s="440"/>
      <c r="V16" s="438"/>
      <c r="W16" s="438"/>
      <c r="X16" s="440"/>
      <c r="Y16" s="438"/>
      <c r="Z16" s="440"/>
      <c r="AA16" s="438"/>
      <c r="AB16" s="440"/>
      <c r="AC16" s="443"/>
      <c r="AD16" s="441"/>
      <c r="AE16" s="444"/>
      <c r="AF16" s="441"/>
      <c r="AG16" s="440"/>
      <c r="AH16" s="438"/>
      <c r="AI16" s="438"/>
      <c r="AJ16" s="438"/>
      <c r="AK16" s="438"/>
      <c r="AL16" s="438"/>
      <c r="AM16" s="438"/>
      <c r="AN16" s="440"/>
      <c r="AO16" s="438"/>
      <c r="AP16" s="438"/>
      <c r="AQ16" s="440"/>
      <c r="AR16" s="441"/>
    </row>
    <row r="17" spans="1:20" ht="19.5" thickBot="1">
      <c r="A17" s="1" t="s">
        <v>457</v>
      </c>
      <c r="B17" s="1"/>
      <c r="C17" s="1"/>
      <c r="D17" s="1"/>
    </row>
    <row r="18" spans="1:20" ht="19.5" thickBot="1">
      <c r="A18" s="393" t="s">
        <v>42</v>
      </c>
      <c r="B18" s="1347" t="s">
        <v>458</v>
      </c>
      <c r="C18" s="1348"/>
      <c r="D18" s="1329" t="s">
        <v>462</v>
      </c>
      <c r="E18" s="1349"/>
      <c r="F18" s="1349"/>
      <c r="G18" s="1349"/>
      <c r="H18" s="1349"/>
      <c r="I18" s="1349"/>
      <c r="J18" s="1349"/>
      <c r="K18" s="1349"/>
      <c r="L18" s="1349"/>
      <c r="M18" s="1349"/>
      <c r="N18" s="1349"/>
      <c r="O18" s="1349"/>
      <c r="P18" s="1349"/>
      <c r="Q18" s="1349"/>
      <c r="R18" s="1330"/>
      <c r="S18" s="1332" t="s">
        <v>8</v>
      </c>
      <c r="T18" s="1333"/>
    </row>
    <row r="19" spans="1:20" ht="19.5" thickBot="1">
      <c r="A19" s="394"/>
      <c r="B19" s="430" t="s">
        <v>459</v>
      </c>
      <c r="C19" s="431" t="s">
        <v>460</v>
      </c>
      <c r="D19" s="1329">
        <v>2561</v>
      </c>
      <c r="E19" s="1349"/>
      <c r="F19" s="1330"/>
      <c r="G19" s="1329">
        <v>2562</v>
      </c>
      <c r="H19" s="1349"/>
      <c r="I19" s="1330"/>
      <c r="J19" s="1329">
        <v>2563</v>
      </c>
      <c r="K19" s="1349"/>
      <c r="L19" s="1330"/>
      <c r="M19" s="1329">
        <v>2564</v>
      </c>
      <c r="N19" s="1349"/>
      <c r="O19" s="1330"/>
      <c r="P19" s="1329">
        <v>2565</v>
      </c>
      <c r="Q19" s="1349"/>
      <c r="R19" s="1330"/>
      <c r="S19" s="1334"/>
      <c r="T19" s="1335"/>
    </row>
    <row r="20" spans="1:20">
      <c r="A20" s="395" t="s">
        <v>2</v>
      </c>
      <c r="B20" s="432">
        <v>223</v>
      </c>
      <c r="C20" s="433">
        <v>1115</v>
      </c>
      <c r="D20" s="1346">
        <v>104</v>
      </c>
      <c r="E20" s="1350"/>
      <c r="F20" s="1351"/>
      <c r="G20" s="1346">
        <v>55</v>
      </c>
      <c r="H20" s="1350"/>
      <c r="I20" s="1351"/>
      <c r="J20" s="1346">
        <v>88</v>
      </c>
      <c r="K20" s="1350"/>
      <c r="L20" s="1351"/>
      <c r="M20" s="1346">
        <v>45</v>
      </c>
      <c r="N20" s="1350"/>
      <c r="O20" s="1351"/>
      <c r="P20" s="1346">
        <v>70</v>
      </c>
      <c r="Q20" s="1350"/>
      <c r="R20" s="1351"/>
      <c r="S20" s="1329">
        <f>SUM(D20:R20)</f>
        <v>362</v>
      </c>
      <c r="T20" s="1330"/>
    </row>
    <row r="21" spans="1:20">
      <c r="A21" s="396" t="s">
        <v>3</v>
      </c>
      <c r="B21" s="432">
        <v>47</v>
      </c>
      <c r="C21" s="434">
        <v>235</v>
      </c>
      <c r="D21" s="1346">
        <v>21</v>
      </c>
      <c r="E21" s="1344"/>
      <c r="F21" s="1345"/>
      <c r="G21" s="1343">
        <v>94</v>
      </c>
      <c r="H21" s="1344"/>
      <c r="I21" s="1345"/>
      <c r="J21" s="1343">
        <v>207</v>
      </c>
      <c r="K21" s="1344"/>
      <c r="L21" s="1345"/>
      <c r="M21" s="1343">
        <v>0</v>
      </c>
      <c r="N21" s="1344"/>
      <c r="O21" s="1345"/>
      <c r="P21" s="1343">
        <v>0</v>
      </c>
      <c r="Q21" s="1344"/>
      <c r="R21" s="1345"/>
      <c r="S21" s="1329">
        <f t="shared" ref="S21:S24" si="3">SUM(D21:R21)</f>
        <v>322</v>
      </c>
      <c r="T21" s="1330"/>
    </row>
    <row r="22" spans="1:20">
      <c r="A22" s="396" t="s">
        <v>4</v>
      </c>
      <c r="B22" s="432">
        <v>25</v>
      </c>
      <c r="C22" s="434">
        <v>125</v>
      </c>
      <c r="D22" s="1343">
        <v>25</v>
      </c>
      <c r="E22" s="1344"/>
      <c r="F22" s="1345"/>
      <c r="G22" s="1343">
        <v>25</v>
      </c>
      <c r="H22" s="1344"/>
      <c r="I22" s="1345"/>
      <c r="J22" s="1343">
        <v>155</v>
      </c>
      <c r="K22" s="1344"/>
      <c r="L22" s="1345"/>
      <c r="M22" s="1343">
        <v>25</v>
      </c>
      <c r="N22" s="1344"/>
      <c r="O22" s="1345"/>
      <c r="P22" s="1343">
        <v>25</v>
      </c>
      <c r="Q22" s="1344"/>
      <c r="R22" s="1345"/>
      <c r="S22" s="1329">
        <f t="shared" si="3"/>
        <v>255</v>
      </c>
      <c r="T22" s="1330"/>
    </row>
    <row r="23" spans="1:20">
      <c r="A23" s="396" t="s">
        <v>5</v>
      </c>
      <c r="B23" s="432">
        <v>25</v>
      </c>
      <c r="C23" s="434">
        <v>125</v>
      </c>
      <c r="D23" s="1343">
        <v>120</v>
      </c>
      <c r="E23" s="1344"/>
      <c r="F23" s="1345"/>
      <c r="G23" s="1343">
        <v>25</v>
      </c>
      <c r="H23" s="1344"/>
      <c r="I23" s="1345"/>
      <c r="J23" s="1343">
        <v>43</v>
      </c>
      <c r="K23" s="1344"/>
      <c r="L23" s="1345"/>
      <c r="M23" s="1343">
        <v>25</v>
      </c>
      <c r="N23" s="1344"/>
      <c r="O23" s="1345"/>
      <c r="P23" s="1343">
        <v>146</v>
      </c>
      <c r="Q23" s="1344"/>
      <c r="R23" s="1345"/>
      <c r="S23" s="1329">
        <f t="shared" si="3"/>
        <v>359</v>
      </c>
      <c r="T23" s="1330"/>
    </row>
    <row r="24" spans="1:20">
      <c r="A24" s="396" t="s">
        <v>461</v>
      </c>
      <c r="B24" s="432">
        <v>40</v>
      </c>
      <c r="C24" s="434">
        <v>200</v>
      </c>
      <c r="D24" s="1343">
        <v>206</v>
      </c>
      <c r="E24" s="1344"/>
      <c r="F24" s="1345"/>
      <c r="G24" s="1343">
        <f>114+30</f>
        <v>144</v>
      </c>
      <c r="H24" s="1344"/>
      <c r="I24" s="1345"/>
      <c r="J24" s="1343">
        <v>58</v>
      </c>
      <c r="K24" s="1344"/>
      <c r="L24" s="1345"/>
      <c r="M24" s="1343">
        <f>24+60</f>
        <v>84</v>
      </c>
      <c r="N24" s="1344"/>
      <c r="O24" s="1345"/>
      <c r="P24" s="1343">
        <v>146</v>
      </c>
      <c r="Q24" s="1344"/>
      <c r="R24" s="1345"/>
      <c r="S24" s="1329">
        <f t="shared" si="3"/>
        <v>638</v>
      </c>
      <c r="T24" s="1330"/>
    </row>
    <row r="25" spans="1:20">
      <c r="S25" s="1331">
        <f>SUM(S20:T24)</f>
        <v>1936</v>
      </c>
      <c r="T25" s="1331"/>
    </row>
  </sheetData>
  <mergeCells count="50">
    <mergeCell ref="P24:R24"/>
    <mergeCell ref="G23:I23"/>
    <mergeCell ref="G24:I24"/>
    <mergeCell ref="J24:L24"/>
    <mergeCell ref="M21:O21"/>
    <mergeCell ref="M22:O22"/>
    <mergeCell ref="M23:O23"/>
    <mergeCell ref="M24:O24"/>
    <mergeCell ref="J21:L21"/>
    <mergeCell ref="J22:L22"/>
    <mergeCell ref="J23:L23"/>
    <mergeCell ref="P21:R21"/>
    <mergeCell ref="P22:R22"/>
    <mergeCell ref="P23:R23"/>
    <mergeCell ref="G21:I21"/>
    <mergeCell ref="G22:I22"/>
    <mergeCell ref="D24:F24"/>
    <mergeCell ref="D23:F23"/>
    <mergeCell ref="D21:F21"/>
    <mergeCell ref="D22:F22"/>
    <mergeCell ref="B18:C18"/>
    <mergeCell ref="D19:F19"/>
    <mergeCell ref="D20:F20"/>
    <mergeCell ref="D18:R18"/>
    <mergeCell ref="M19:O19"/>
    <mergeCell ref="M20:O20"/>
    <mergeCell ref="P19:R19"/>
    <mergeCell ref="P20:R20"/>
    <mergeCell ref="G19:I19"/>
    <mergeCell ref="G20:I20"/>
    <mergeCell ref="J19:L19"/>
    <mergeCell ref="J20:L20"/>
    <mergeCell ref="B3:C3"/>
    <mergeCell ref="B4:C4"/>
    <mergeCell ref="AH3:AL3"/>
    <mergeCell ref="AM3:AQ3"/>
    <mergeCell ref="AR3:AR4"/>
    <mergeCell ref="I3:M3"/>
    <mergeCell ref="N3:R3"/>
    <mergeCell ref="S3:W3"/>
    <mergeCell ref="X3:AB3"/>
    <mergeCell ref="AC3:AG3"/>
    <mergeCell ref="D3:H3"/>
    <mergeCell ref="S24:T24"/>
    <mergeCell ref="S25:T25"/>
    <mergeCell ref="S18:T19"/>
    <mergeCell ref="S20:T20"/>
    <mergeCell ref="S21:T21"/>
    <mergeCell ref="S22:T22"/>
    <mergeCell ref="S23:T23"/>
  </mergeCells>
  <pageMargins left="0.25" right="0.25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94"/>
  <sheetViews>
    <sheetView topLeftCell="C1" workbookViewId="0">
      <pane ySplit="4" topLeftCell="A469" activePane="bottomLeft" state="frozen"/>
      <selection pane="bottomLeft" activeCell="J466" sqref="J466"/>
    </sheetView>
  </sheetViews>
  <sheetFormatPr defaultColWidth="9" defaultRowHeight="18.75"/>
  <cols>
    <col min="1" max="1" width="4.125" style="53" customWidth="1"/>
    <col min="2" max="2" width="4.125" style="41" customWidth="1"/>
    <col min="3" max="3" width="4.5" style="32" customWidth="1"/>
    <col min="4" max="4" width="4.125" style="32" customWidth="1"/>
    <col min="5" max="5" width="4.375" style="32" customWidth="1"/>
    <col min="6" max="6" width="4.125" style="32" customWidth="1"/>
    <col min="7" max="7" width="4.625" style="32" customWidth="1"/>
    <col min="8" max="9" width="4.125" style="32" customWidth="1"/>
    <col min="10" max="10" width="25.625" style="32" customWidth="1"/>
    <col min="11" max="11" width="14" style="32" customWidth="1"/>
    <col min="12" max="12" width="16.375" style="32" customWidth="1"/>
    <col min="13" max="18" width="3.125" style="32" customWidth="1"/>
    <col min="19" max="19" width="17.75" style="32" customWidth="1"/>
    <col min="20" max="24" width="3.25" style="32" customWidth="1"/>
    <col min="25" max="29" width="9" style="32"/>
    <col min="30" max="30" width="12.5" style="32" customWidth="1"/>
    <col min="31" max="16384" width="9" style="32"/>
  </cols>
  <sheetData>
    <row r="1" spans="1:24" ht="23.25" customHeight="1">
      <c r="A1" s="7" t="s">
        <v>14</v>
      </c>
      <c r="B1" s="39"/>
    </row>
    <row r="2" spans="1:24" ht="23.25" customHeight="1">
      <c r="A2" s="7" t="s">
        <v>36</v>
      </c>
      <c r="B2" s="40"/>
    </row>
    <row r="3" spans="1:24" s="5" customFormat="1" ht="23.25" customHeight="1">
      <c r="A3" s="1418" t="s">
        <v>37</v>
      </c>
      <c r="B3" s="1420" t="s">
        <v>38</v>
      </c>
      <c r="C3" s="1421"/>
      <c r="D3" s="1421"/>
      <c r="E3" s="1421"/>
      <c r="F3" s="1421"/>
      <c r="G3" s="1421"/>
      <c r="H3" s="1421"/>
      <c r="I3" s="1422"/>
      <c r="J3" s="1416" t="s">
        <v>39</v>
      </c>
      <c r="K3" s="1423" t="s">
        <v>40</v>
      </c>
      <c r="L3" s="1416" t="s">
        <v>41</v>
      </c>
      <c r="M3" s="1413" t="s">
        <v>42</v>
      </c>
      <c r="N3" s="1414"/>
      <c r="O3" s="1414"/>
      <c r="P3" s="1414"/>
      <c r="Q3" s="1414"/>
      <c r="R3" s="1415"/>
      <c r="S3" s="1416" t="s">
        <v>43</v>
      </c>
      <c r="T3" s="1413" t="s">
        <v>44</v>
      </c>
      <c r="U3" s="1414"/>
      <c r="V3" s="1414"/>
      <c r="W3" s="1414"/>
      <c r="X3" s="1415"/>
    </row>
    <row r="4" spans="1:24" s="46" customFormat="1" ht="23.25" customHeight="1">
      <c r="A4" s="1419"/>
      <c r="B4" s="42" t="s">
        <v>45</v>
      </c>
      <c r="C4" s="42" t="s">
        <v>46</v>
      </c>
      <c r="D4" s="42" t="s">
        <v>35</v>
      </c>
      <c r="E4" s="42" t="s">
        <v>47</v>
      </c>
      <c r="F4" s="42" t="s">
        <v>48</v>
      </c>
      <c r="G4" s="42" t="s">
        <v>49</v>
      </c>
      <c r="H4" s="42" t="s">
        <v>50</v>
      </c>
      <c r="I4" s="43" t="s">
        <v>51</v>
      </c>
      <c r="J4" s="1417"/>
      <c r="K4" s="1424"/>
      <c r="L4" s="1417"/>
      <c r="M4" s="44" t="s">
        <v>2</v>
      </c>
      <c r="N4" s="44" t="s">
        <v>3</v>
      </c>
      <c r="O4" s="44" t="s">
        <v>4</v>
      </c>
      <c r="P4" s="44" t="s">
        <v>5</v>
      </c>
      <c r="Q4" s="44" t="s">
        <v>6</v>
      </c>
      <c r="R4" s="44" t="s">
        <v>10</v>
      </c>
      <c r="S4" s="1417"/>
      <c r="T4" s="45">
        <v>61</v>
      </c>
      <c r="U4" s="45">
        <v>62</v>
      </c>
      <c r="V4" s="45">
        <v>63</v>
      </c>
      <c r="W4" s="45">
        <v>64</v>
      </c>
      <c r="X4" s="45">
        <v>65</v>
      </c>
    </row>
    <row r="5" spans="1:24" s="250" customFormat="1" ht="75">
      <c r="A5" s="246">
        <v>1</v>
      </c>
      <c r="B5" s="247"/>
      <c r="C5" s="248"/>
      <c r="D5" s="248"/>
      <c r="E5" s="248"/>
      <c r="F5" s="248"/>
      <c r="G5" s="172" t="s">
        <v>91</v>
      </c>
      <c r="H5" s="248"/>
      <c r="I5" s="248"/>
      <c r="J5" s="140" t="s">
        <v>178</v>
      </c>
      <c r="K5" s="249">
        <v>0.79</v>
      </c>
      <c r="L5" s="248" t="s">
        <v>179</v>
      </c>
      <c r="M5" s="248"/>
      <c r="N5" s="248"/>
      <c r="O5" s="248"/>
      <c r="P5" s="248"/>
      <c r="Q5" s="172" t="s">
        <v>91</v>
      </c>
      <c r="R5" s="248"/>
      <c r="S5" s="139" t="s">
        <v>17</v>
      </c>
      <c r="T5" s="172" t="s">
        <v>91</v>
      </c>
      <c r="U5" s="135"/>
      <c r="V5" s="135"/>
      <c r="W5" s="132"/>
      <c r="X5" s="135"/>
    </row>
    <row r="6" spans="1:24" s="250" customFormat="1">
      <c r="A6" s="246">
        <v>2</v>
      </c>
      <c r="B6" s="247"/>
      <c r="C6" s="172" t="s">
        <v>91</v>
      </c>
      <c r="D6" s="248"/>
      <c r="E6" s="248"/>
      <c r="F6" s="248"/>
      <c r="G6" s="248"/>
      <c r="H6" s="248"/>
      <c r="I6" s="248"/>
      <c r="J6" s="174" t="s">
        <v>183</v>
      </c>
      <c r="K6" s="249">
        <v>4</v>
      </c>
      <c r="L6" s="248" t="s">
        <v>184</v>
      </c>
      <c r="M6" s="248"/>
      <c r="N6" s="248"/>
      <c r="O6" s="248"/>
      <c r="P6" s="248"/>
      <c r="Q6" s="172" t="s">
        <v>91</v>
      </c>
      <c r="R6" s="248"/>
      <c r="S6" s="139" t="s">
        <v>17</v>
      </c>
      <c r="T6" s="175" t="s">
        <v>91</v>
      </c>
      <c r="U6" s="176"/>
      <c r="V6" s="176"/>
      <c r="W6" s="141"/>
      <c r="X6" s="172" t="s">
        <v>91</v>
      </c>
    </row>
    <row r="7" spans="1:24" s="250" customFormat="1">
      <c r="A7" s="246">
        <v>3</v>
      </c>
      <c r="B7" s="247"/>
      <c r="C7" s="172" t="s">
        <v>91</v>
      </c>
      <c r="D7" s="248"/>
      <c r="E7" s="248"/>
      <c r="F7" s="248"/>
      <c r="G7" s="248"/>
      <c r="H7" s="248"/>
      <c r="I7" s="248"/>
      <c r="J7" s="174" t="s">
        <v>183</v>
      </c>
      <c r="K7" s="249">
        <v>2</v>
      </c>
      <c r="L7" s="248" t="s">
        <v>179</v>
      </c>
      <c r="M7" s="248"/>
      <c r="N7" s="248"/>
      <c r="O7" s="248"/>
      <c r="P7" s="248"/>
      <c r="Q7" s="172" t="s">
        <v>91</v>
      </c>
      <c r="R7" s="248"/>
      <c r="S7" s="139" t="s">
        <v>17</v>
      </c>
      <c r="T7" s="175" t="s">
        <v>91</v>
      </c>
      <c r="U7" s="177"/>
      <c r="V7" s="177"/>
      <c r="W7" s="177"/>
      <c r="X7" s="175"/>
    </row>
    <row r="8" spans="1:24" s="250" customFormat="1">
      <c r="A8" s="246">
        <v>4</v>
      </c>
      <c r="B8" s="247"/>
      <c r="C8" s="172" t="s">
        <v>91</v>
      </c>
      <c r="D8" s="248"/>
      <c r="E8" s="248"/>
      <c r="F8" s="248"/>
      <c r="G8" s="248"/>
      <c r="H8" s="248"/>
      <c r="I8" s="248"/>
      <c r="J8" s="174" t="s">
        <v>183</v>
      </c>
      <c r="K8" s="249">
        <v>4</v>
      </c>
      <c r="L8" s="248" t="s">
        <v>187</v>
      </c>
      <c r="M8" s="248"/>
      <c r="N8" s="248"/>
      <c r="O8" s="248"/>
      <c r="P8" s="248"/>
      <c r="Q8" s="172" t="s">
        <v>91</v>
      </c>
      <c r="R8" s="248"/>
      <c r="S8" s="139" t="s">
        <v>17</v>
      </c>
      <c r="T8" s="177" t="s">
        <v>91</v>
      </c>
      <c r="U8" s="176"/>
      <c r="V8" s="176"/>
      <c r="W8" s="141"/>
      <c r="X8" s="172" t="s">
        <v>91</v>
      </c>
    </row>
    <row r="9" spans="1:24" s="250" customFormat="1" ht="56.25">
      <c r="A9" s="246">
        <v>5</v>
      </c>
      <c r="B9" s="247"/>
      <c r="C9" s="172" t="s">
        <v>91</v>
      </c>
      <c r="D9" s="248"/>
      <c r="E9" s="248"/>
      <c r="F9" s="248"/>
      <c r="G9" s="248"/>
      <c r="H9" s="248"/>
      <c r="I9" s="248"/>
      <c r="J9" s="179" t="s">
        <v>190</v>
      </c>
      <c r="K9" s="249">
        <v>1</v>
      </c>
      <c r="L9" s="248" t="s">
        <v>191</v>
      </c>
      <c r="M9" s="248"/>
      <c r="N9" s="248"/>
      <c r="O9" s="248"/>
      <c r="P9" s="248"/>
      <c r="Q9" s="248"/>
      <c r="R9" s="172" t="s">
        <v>91</v>
      </c>
      <c r="S9" s="139" t="s">
        <v>17</v>
      </c>
      <c r="T9" s="172" t="s">
        <v>91</v>
      </c>
      <c r="U9" s="176"/>
      <c r="V9" s="177"/>
      <c r="W9" s="177"/>
      <c r="X9" s="177"/>
    </row>
    <row r="10" spans="1:24" s="250" customFormat="1" ht="56.25">
      <c r="A10" s="246">
        <v>6</v>
      </c>
      <c r="B10" s="247"/>
      <c r="C10" s="172" t="s">
        <v>91</v>
      </c>
      <c r="D10" s="248"/>
      <c r="E10" s="248"/>
      <c r="F10" s="248"/>
      <c r="G10" s="248"/>
      <c r="H10" s="248"/>
      <c r="I10" s="248"/>
      <c r="J10" s="179" t="s">
        <v>190</v>
      </c>
      <c r="K10" s="249">
        <v>1</v>
      </c>
      <c r="L10" s="248" t="s">
        <v>194</v>
      </c>
      <c r="M10" s="248"/>
      <c r="N10" s="248"/>
      <c r="O10" s="248"/>
      <c r="P10" s="248"/>
      <c r="Q10" s="248"/>
      <c r="R10" s="172" t="s">
        <v>91</v>
      </c>
      <c r="S10" s="139" t="s">
        <v>17</v>
      </c>
      <c r="T10" s="172" t="s">
        <v>91</v>
      </c>
      <c r="U10" s="176"/>
      <c r="V10" s="177"/>
      <c r="W10" s="177"/>
      <c r="X10" s="177"/>
    </row>
    <row r="11" spans="1:24" s="250" customFormat="1" ht="37.5">
      <c r="A11" s="246">
        <v>7</v>
      </c>
      <c r="B11" s="247"/>
      <c r="C11" s="172" t="s">
        <v>91</v>
      </c>
      <c r="D11" s="248"/>
      <c r="E11" s="248"/>
      <c r="F11" s="248"/>
      <c r="G11" s="248"/>
      <c r="H11" s="248"/>
      <c r="I11" s="248"/>
      <c r="J11" s="180" t="s">
        <v>195</v>
      </c>
      <c r="K11" s="249">
        <v>2</v>
      </c>
      <c r="L11" s="248" t="s">
        <v>196</v>
      </c>
      <c r="M11" s="172" t="s">
        <v>91</v>
      </c>
      <c r="N11" s="248"/>
      <c r="O11" s="248"/>
      <c r="P11" s="248"/>
      <c r="Q11" s="248"/>
      <c r="R11" s="248"/>
      <c r="S11" s="139" t="s">
        <v>17</v>
      </c>
      <c r="T11" s="182"/>
      <c r="U11" s="172"/>
      <c r="V11" s="183"/>
      <c r="W11" s="172" t="s">
        <v>91</v>
      </c>
      <c r="X11" s="182"/>
    </row>
    <row r="12" spans="1:24" s="250" customFormat="1" ht="75">
      <c r="A12" s="246">
        <v>8</v>
      </c>
      <c r="B12" s="247"/>
      <c r="C12" s="248"/>
      <c r="D12" s="172" t="s">
        <v>91</v>
      </c>
      <c r="E12" s="248"/>
      <c r="F12" s="248"/>
      <c r="G12" s="248"/>
      <c r="H12" s="248"/>
      <c r="I12" s="248"/>
      <c r="J12" s="188" t="s">
        <v>198</v>
      </c>
      <c r="K12" s="249">
        <v>2</v>
      </c>
      <c r="L12" s="248" t="s">
        <v>196</v>
      </c>
      <c r="M12" s="172" t="s">
        <v>91</v>
      </c>
      <c r="N12" s="248"/>
      <c r="O12" s="248"/>
      <c r="P12" s="248"/>
      <c r="Q12" s="248"/>
      <c r="R12" s="248"/>
      <c r="S12" s="139" t="s">
        <v>17</v>
      </c>
      <c r="T12" s="172" t="s">
        <v>91</v>
      </c>
      <c r="U12" s="182"/>
      <c r="V12" s="182"/>
      <c r="W12" s="182"/>
      <c r="X12" s="182"/>
    </row>
    <row r="13" spans="1:24" s="250" customFormat="1" ht="37.5">
      <c r="A13" s="246">
        <v>9</v>
      </c>
      <c r="B13" s="247"/>
      <c r="C13" s="248"/>
      <c r="D13" s="248"/>
      <c r="E13" s="248"/>
      <c r="F13" s="172" t="s">
        <v>91</v>
      </c>
      <c r="G13" s="248"/>
      <c r="H13" s="248"/>
      <c r="I13" s="248"/>
      <c r="J13" s="152" t="s">
        <v>199</v>
      </c>
      <c r="K13" s="249">
        <v>3.09</v>
      </c>
      <c r="L13" s="248" t="s">
        <v>196</v>
      </c>
      <c r="M13" s="172" t="s">
        <v>91</v>
      </c>
      <c r="N13" s="248"/>
      <c r="O13" s="248"/>
      <c r="P13" s="248"/>
      <c r="Q13" s="248"/>
      <c r="R13" s="248"/>
      <c r="S13" s="139" t="s">
        <v>17</v>
      </c>
      <c r="T13" s="172" t="s">
        <v>91</v>
      </c>
      <c r="U13" s="182"/>
      <c r="V13" s="182"/>
      <c r="W13" s="182"/>
      <c r="X13" s="182"/>
    </row>
    <row r="14" spans="1:24" s="250" customFormat="1" ht="37.5">
      <c r="A14" s="246">
        <v>10</v>
      </c>
      <c r="B14" s="247"/>
      <c r="C14" s="248"/>
      <c r="D14" s="172" t="s">
        <v>91</v>
      </c>
      <c r="E14" s="248"/>
      <c r="F14" s="248"/>
      <c r="G14" s="248"/>
      <c r="H14" s="248"/>
      <c r="I14" s="248"/>
      <c r="J14" s="188" t="s">
        <v>200</v>
      </c>
      <c r="K14" s="249">
        <v>2.8</v>
      </c>
      <c r="L14" s="248" t="s">
        <v>196</v>
      </c>
      <c r="M14" s="172" t="s">
        <v>91</v>
      </c>
      <c r="N14" s="248"/>
      <c r="O14" s="248"/>
      <c r="P14" s="248"/>
      <c r="Q14" s="248"/>
      <c r="R14" s="248"/>
      <c r="S14" s="139" t="s">
        <v>17</v>
      </c>
      <c r="T14" s="172" t="s">
        <v>91</v>
      </c>
      <c r="U14" s="172" t="s">
        <v>91</v>
      </c>
      <c r="V14" s="182"/>
      <c r="W14" s="182"/>
      <c r="X14" s="182"/>
    </row>
    <row r="15" spans="1:24" s="250" customFormat="1">
      <c r="A15" s="246">
        <v>11</v>
      </c>
      <c r="B15" s="247"/>
      <c r="C15" s="248"/>
      <c r="D15" s="172" t="s">
        <v>91</v>
      </c>
      <c r="E15" s="248"/>
      <c r="F15" s="248"/>
      <c r="G15" s="248"/>
      <c r="H15" s="248"/>
      <c r="I15" s="248"/>
      <c r="J15" s="152" t="s">
        <v>78</v>
      </c>
      <c r="K15" s="249">
        <v>1.1000000000000001</v>
      </c>
      <c r="L15" s="248" t="s">
        <v>196</v>
      </c>
      <c r="M15" s="172" t="s">
        <v>91</v>
      </c>
      <c r="N15" s="248"/>
      <c r="O15" s="248"/>
      <c r="P15" s="248"/>
      <c r="Q15" s="248"/>
      <c r="R15" s="248"/>
      <c r="S15" s="139" t="s">
        <v>17</v>
      </c>
      <c r="T15" s="172" t="s">
        <v>91</v>
      </c>
      <c r="U15" s="172" t="s">
        <v>91</v>
      </c>
      <c r="V15" s="182"/>
      <c r="W15" s="182"/>
      <c r="X15" s="182"/>
    </row>
    <row r="16" spans="1:24" s="250" customFormat="1" ht="37.5">
      <c r="A16" s="246">
        <v>12</v>
      </c>
      <c r="B16" s="247"/>
      <c r="C16" s="248"/>
      <c r="D16" s="172" t="s">
        <v>91</v>
      </c>
      <c r="E16" s="248"/>
      <c r="F16" s="248"/>
      <c r="G16" s="248"/>
      <c r="H16" s="248"/>
      <c r="I16" s="248"/>
      <c r="J16" s="152" t="s">
        <v>201</v>
      </c>
      <c r="K16" s="249">
        <v>0.37</v>
      </c>
      <c r="L16" s="248" t="s">
        <v>202</v>
      </c>
      <c r="M16" s="248"/>
      <c r="N16" s="248"/>
      <c r="O16" s="248"/>
      <c r="P16" s="248"/>
      <c r="Q16" s="172" t="s">
        <v>91</v>
      </c>
      <c r="R16" s="248"/>
      <c r="S16" s="139" t="s">
        <v>17</v>
      </c>
      <c r="T16" s="172" t="s">
        <v>91</v>
      </c>
      <c r="U16" s="182"/>
      <c r="V16" s="182"/>
      <c r="W16" s="182"/>
      <c r="X16" s="182"/>
    </row>
    <row r="17" spans="1:24" s="250" customFormat="1" ht="37.5">
      <c r="A17" s="246">
        <v>13</v>
      </c>
      <c r="B17" s="247"/>
      <c r="C17" s="248"/>
      <c r="D17" s="172" t="s">
        <v>91</v>
      </c>
      <c r="E17" s="248"/>
      <c r="F17" s="248"/>
      <c r="G17" s="248"/>
      <c r="H17" s="248"/>
      <c r="I17" s="248"/>
      <c r="J17" s="152" t="s">
        <v>114</v>
      </c>
      <c r="K17" s="249">
        <v>3.09</v>
      </c>
      <c r="L17" s="248" t="s">
        <v>196</v>
      </c>
      <c r="M17" s="172" t="s">
        <v>91</v>
      </c>
      <c r="N17" s="248"/>
      <c r="O17" s="248"/>
      <c r="P17" s="248"/>
      <c r="Q17" s="248"/>
      <c r="R17" s="248"/>
      <c r="S17" s="139" t="s">
        <v>17</v>
      </c>
      <c r="T17" s="172" t="s">
        <v>91</v>
      </c>
      <c r="U17" s="182"/>
      <c r="V17" s="182"/>
      <c r="W17" s="182"/>
      <c r="X17" s="182"/>
    </row>
    <row r="18" spans="1:24" s="250" customFormat="1">
      <c r="A18" s="246">
        <v>14</v>
      </c>
      <c r="B18" s="247"/>
      <c r="C18" s="248"/>
      <c r="D18" s="248"/>
      <c r="E18" s="248"/>
      <c r="F18" s="172" t="s">
        <v>91</v>
      </c>
      <c r="G18" s="248"/>
      <c r="H18" s="248"/>
      <c r="I18" s="248"/>
      <c r="J18" s="152" t="s">
        <v>205</v>
      </c>
      <c r="K18" s="249">
        <v>0.53500000000000003</v>
      </c>
      <c r="L18" s="248" t="s">
        <v>196</v>
      </c>
      <c r="M18" s="172" t="s">
        <v>91</v>
      </c>
      <c r="N18" s="248"/>
      <c r="O18" s="248"/>
      <c r="P18" s="248"/>
      <c r="Q18" s="248"/>
      <c r="R18" s="248"/>
      <c r="S18" s="139" t="s">
        <v>17</v>
      </c>
      <c r="T18" s="183"/>
      <c r="U18" s="172" t="s">
        <v>91</v>
      </c>
      <c r="V18" s="182"/>
      <c r="W18" s="182"/>
      <c r="X18" s="182"/>
    </row>
    <row r="19" spans="1:24" s="250" customFormat="1">
      <c r="A19" s="246">
        <v>15</v>
      </c>
      <c r="B19" s="247"/>
      <c r="C19" s="248"/>
      <c r="D19" s="172" t="s">
        <v>91</v>
      </c>
      <c r="E19" s="248"/>
      <c r="F19" s="248"/>
      <c r="G19" s="248"/>
      <c r="H19" s="248"/>
      <c r="I19" s="248"/>
      <c r="J19" s="152" t="s">
        <v>206</v>
      </c>
      <c r="K19" s="249">
        <v>4.6500000000000004</v>
      </c>
      <c r="L19" s="248" t="s">
        <v>196</v>
      </c>
      <c r="M19" s="172" t="s">
        <v>91</v>
      </c>
      <c r="N19" s="248"/>
      <c r="O19" s="248"/>
      <c r="P19" s="248"/>
      <c r="Q19" s="248"/>
      <c r="R19" s="248"/>
      <c r="S19" s="139" t="s">
        <v>17</v>
      </c>
      <c r="T19" s="172" t="s">
        <v>91</v>
      </c>
      <c r="U19" s="172" t="s">
        <v>91</v>
      </c>
      <c r="V19" s="172" t="s">
        <v>91</v>
      </c>
      <c r="W19" s="182"/>
      <c r="X19" s="182"/>
    </row>
    <row r="20" spans="1:24" s="250" customFormat="1">
      <c r="A20" s="246">
        <v>16</v>
      </c>
      <c r="B20" s="247"/>
      <c r="C20" s="172" t="s">
        <v>91</v>
      </c>
      <c r="D20" s="248"/>
      <c r="E20" s="248"/>
      <c r="F20" s="248"/>
      <c r="G20" s="248"/>
      <c r="H20" s="248"/>
      <c r="I20" s="248"/>
      <c r="J20" s="174" t="s">
        <v>183</v>
      </c>
      <c r="K20" s="249">
        <v>2</v>
      </c>
      <c r="L20" s="248" t="s">
        <v>207</v>
      </c>
      <c r="M20" s="248"/>
      <c r="N20" s="248"/>
      <c r="O20" s="248"/>
      <c r="P20" s="248"/>
      <c r="Q20" s="172" t="s">
        <v>91</v>
      </c>
      <c r="R20" s="248"/>
      <c r="S20" s="139" t="s">
        <v>17</v>
      </c>
      <c r="T20" s="175"/>
      <c r="U20" s="172" t="s">
        <v>91</v>
      </c>
      <c r="V20" s="175"/>
      <c r="W20" s="175"/>
      <c r="X20" s="175"/>
    </row>
    <row r="21" spans="1:24" s="250" customFormat="1">
      <c r="A21" s="246">
        <v>17</v>
      </c>
      <c r="B21" s="247"/>
      <c r="C21" s="172" t="s">
        <v>91</v>
      </c>
      <c r="D21" s="248"/>
      <c r="E21" s="248"/>
      <c r="F21" s="248"/>
      <c r="G21" s="248"/>
      <c r="H21" s="248"/>
      <c r="I21" s="248"/>
      <c r="J21" s="174" t="s">
        <v>183</v>
      </c>
      <c r="K21" s="249">
        <v>2</v>
      </c>
      <c r="L21" s="248" t="s">
        <v>208</v>
      </c>
      <c r="M21" s="248"/>
      <c r="N21" s="248"/>
      <c r="O21" s="248"/>
      <c r="P21" s="248"/>
      <c r="Q21" s="172" t="s">
        <v>91</v>
      </c>
      <c r="R21" s="248"/>
      <c r="S21" s="139" t="s">
        <v>17</v>
      </c>
      <c r="T21" s="175"/>
      <c r="U21" s="172" t="s">
        <v>91</v>
      </c>
      <c r="V21" s="177"/>
      <c r="W21" s="177"/>
      <c r="X21" s="175"/>
    </row>
    <row r="22" spans="1:24" s="250" customFormat="1">
      <c r="A22" s="246">
        <v>18</v>
      </c>
      <c r="B22" s="247"/>
      <c r="C22" s="172" t="s">
        <v>91</v>
      </c>
      <c r="D22" s="248"/>
      <c r="E22" s="248"/>
      <c r="F22" s="248"/>
      <c r="G22" s="248"/>
      <c r="H22" s="248"/>
      <c r="I22" s="248"/>
      <c r="J22" s="174" t="s">
        <v>183</v>
      </c>
      <c r="K22" s="249">
        <v>2</v>
      </c>
      <c r="L22" s="248" t="s">
        <v>211</v>
      </c>
      <c r="M22" s="248"/>
      <c r="N22" s="248"/>
      <c r="O22" s="248"/>
      <c r="P22" s="248"/>
      <c r="Q22" s="172" t="s">
        <v>91</v>
      </c>
      <c r="R22" s="248"/>
      <c r="S22" s="139" t="s">
        <v>17</v>
      </c>
      <c r="T22" s="175"/>
      <c r="U22" s="176"/>
      <c r="V22" s="177"/>
      <c r="W22" s="172" t="s">
        <v>91</v>
      </c>
      <c r="X22" s="175"/>
    </row>
    <row r="23" spans="1:24" s="250" customFormat="1">
      <c r="A23" s="246">
        <v>19</v>
      </c>
      <c r="B23" s="247"/>
      <c r="C23" s="172" t="s">
        <v>91</v>
      </c>
      <c r="D23" s="248"/>
      <c r="E23" s="248"/>
      <c r="F23" s="248"/>
      <c r="G23" s="248"/>
      <c r="H23" s="248"/>
      <c r="I23" s="248"/>
      <c r="J23" s="174" t="s">
        <v>183</v>
      </c>
      <c r="K23" s="249">
        <v>2</v>
      </c>
      <c r="L23" s="248" t="s">
        <v>214</v>
      </c>
      <c r="M23" s="248"/>
      <c r="N23" s="248"/>
      <c r="O23" s="248"/>
      <c r="P23" s="248"/>
      <c r="Q23" s="172" t="s">
        <v>91</v>
      </c>
      <c r="R23" s="248"/>
      <c r="S23" s="139" t="s">
        <v>17</v>
      </c>
      <c r="T23" s="175"/>
      <c r="U23" s="176"/>
      <c r="V23" s="172" t="s">
        <v>91</v>
      </c>
      <c r="W23" s="177"/>
      <c r="X23" s="175"/>
    </row>
    <row r="24" spans="1:24" s="250" customFormat="1" ht="37.5">
      <c r="A24" s="246">
        <v>20</v>
      </c>
      <c r="B24" s="247"/>
      <c r="C24" s="248"/>
      <c r="D24" s="172" t="s">
        <v>91</v>
      </c>
      <c r="E24" s="248"/>
      <c r="F24" s="248"/>
      <c r="G24" s="248"/>
      <c r="H24" s="248"/>
      <c r="I24" s="248"/>
      <c r="J24" s="152" t="s">
        <v>215</v>
      </c>
      <c r="K24" s="249">
        <v>4.6399999999999997</v>
      </c>
      <c r="L24" s="248" t="s">
        <v>196</v>
      </c>
      <c r="M24" s="172" t="s">
        <v>91</v>
      </c>
      <c r="N24" s="248"/>
      <c r="O24" s="248"/>
      <c r="P24" s="248"/>
      <c r="Q24" s="248"/>
      <c r="R24" s="248"/>
      <c r="S24" s="139" t="s">
        <v>17</v>
      </c>
      <c r="T24" s="182"/>
      <c r="U24" s="172" t="s">
        <v>91</v>
      </c>
      <c r="V24" s="182"/>
      <c r="W24" s="182"/>
      <c r="X24" s="182"/>
    </row>
    <row r="25" spans="1:24" s="250" customFormat="1" ht="37.5">
      <c r="A25" s="246">
        <v>21</v>
      </c>
      <c r="B25" s="247"/>
      <c r="C25" s="248"/>
      <c r="D25" s="248"/>
      <c r="E25" s="248"/>
      <c r="F25" s="172" t="s">
        <v>91</v>
      </c>
      <c r="G25" s="248"/>
      <c r="H25" s="248"/>
      <c r="I25" s="248"/>
      <c r="J25" s="188" t="s">
        <v>216</v>
      </c>
      <c r="K25" s="249">
        <v>0.245</v>
      </c>
      <c r="L25" s="248" t="s">
        <v>196</v>
      </c>
      <c r="M25" s="172" t="s">
        <v>91</v>
      </c>
      <c r="N25" s="248"/>
      <c r="O25" s="248"/>
      <c r="P25" s="248"/>
      <c r="Q25" s="248"/>
      <c r="R25" s="248"/>
      <c r="S25" s="139" t="s">
        <v>17</v>
      </c>
      <c r="T25" s="182"/>
      <c r="U25" s="172" t="s">
        <v>91</v>
      </c>
      <c r="V25" s="182"/>
      <c r="W25" s="182"/>
      <c r="X25" s="182"/>
    </row>
    <row r="26" spans="1:24" s="250" customFormat="1" ht="37.5">
      <c r="A26" s="246">
        <v>22</v>
      </c>
      <c r="B26" s="247"/>
      <c r="C26" s="248"/>
      <c r="D26" s="248"/>
      <c r="E26" s="248"/>
      <c r="F26" s="172" t="s">
        <v>91</v>
      </c>
      <c r="G26" s="248"/>
      <c r="H26" s="248"/>
      <c r="I26" s="248"/>
      <c r="J26" s="188" t="s">
        <v>217</v>
      </c>
      <c r="K26" s="249">
        <v>5</v>
      </c>
      <c r="L26" s="248" t="s">
        <v>196</v>
      </c>
      <c r="M26" s="172" t="s">
        <v>91</v>
      </c>
      <c r="N26" s="248"/>
      <c r="O26" s="248"/>
      <c r="P26" s="248"/>
      <c r="Q26" s="248"/>
      <c r="R26" s="248"/>
      <c r="S26" s="139" t="s">
        <v>17</v>
      </c>
      <c r="T26" s="182"/>
      <c r="U26" s="172" t="s">
        <v>91</v>
      </c>
      <c r="V26" s="182"/>
      <c r="W26" s="182"/>
      <c r="X26" s="182"/>
    </row>
    <row r="27" spans="1:24" s="250" customFormat="1" ht="63">
      <c r="A27" s="246">
        <v>23</v>
      </c>
      <c r="B27" s="247"/>
      <c r="C27" s="248"/>
      <c r="D27" s="248"/>
      <c r="E27" s="248"/>
      <c r="F27" s="172" t="s">
        <v>91</v>
      </c>
      <c r="G27" s="248"/>
      <c r="H27" s="248"/>
      <c r="I27" s="248"/>
      <c r="J27" s="195" t="s">
        <v>218</v>
      </c>
      <c r="K27" s="249">
        <v>2.5</v>
      </c>
      <c r="L27" s="248" t="s">
        <v>196</v>
      </c>
      <c r="M27" s="172" t="s">
        <v>91</v>
      </c>
      <c r="N27" s="248"/>
      <c r="O27" s="248"/>
      <c r="P27" s="248"/>
      <c r="Q27" s="248"/>
      <c r="R27" s="248"/>
      <c r="S27" s="139" t="s">
        <v>17</v>
      </c>
      <c r="T27" s="182"/>
      <c r="U27" s="172" t="s">
        <v>91</v>
      </c>
      <c r="V27" s="182"/>
      <c r="W27" s="182"/>
      <c r="X27" s="182"/>
    </row>
    <row r="28" spans="1:24" s="250" customFormat="1" ht="56.25">
      <c r="A28" s="246">
        <v>24</v>
      </c>
      <c r="B28" s="247"/>
      <c r="C28" s="248"/>
      <c r="D28" s="248"/>
      <c r="E28" s="248"/>
      <c r="F28" s="172" t="s">
        <v>91</v>
      </c>
      <c r="G28" s="248"/>
      <c r="H28" s="248"/>
      <c r="I28" s="248"/>
      <c r="J28" s="140" t="s">
        <v>157</v>
      </c>
      <c r="K28" s="249">
        <v>4.2</v>
      </c>
      <c r="L28" s="248" t="s">
        <v>202</v>
      </c>
      <c r="M28" s="248"/>
      <c r="N28" s="248"/>
      <c r="O28" s="248"/>
      <c r="P28" s="248"/>
      <c r="Q28" s="172" t="s">
        <v>91</v>
      </c>
      <c r="R28" s="248"/>
      <c r="S28" s="139" t="s">
        <v>17</v>
      </c>
      <c r="T28" s="176"/>
      <c r="U28" s="141"/>
      <c r="V28" s="172" t="s">
        <v>91</v>
      </c>
      <c r="W28" s="132"/>
      <c r="X28" s="135"/>
    </row>
    <row r="29" spans="1:24" s="250" customFormat="1" ht="75">
      <c r="A29" s="246">
        <v>25</v>
      </c>
      <c r="B29" s="247"/>
      <c r="C29" s="248"/>
      <c r="D29" s="248"/>
      <c r="E29" s="248"/>
      <c r="F29" s="248"/>
      <c r="G29" s="172" t="s">
        <v>91</v>
      </c>
      <c r="H29" s="248"/>
      <c r="I29" s="248"/>
      <c r="J29" s="140" t="s">
        <v>219</v>
      </c>
      <c r="K29" s="249">
        <v>2.5</v>
      </c>
      <c r="L29" s="248" t="s">
        <v>202</v>
      </c>
      <c r="M29" s="248"/>
      <c r="N29" s="248"/>
      <c r="O29" s="248"/>
      <c r="P29" s="248"/>
      <c r="Q29" s="172" t="s">
        <v>91</v>
      </c>
      <c r="R29" s="248"/>
      <c r="S29" s="139" t="s">
        <v>17</v>
      </c>
      <c r="T29" s="176"/>
      <c r="U29" s="135"/>
      <c r="V29" s="172" t="s">
        <v>91</v>
      </c>
      <c r="W29" s="132"/>
      <c r="X29" s="135"/>
    </row>
    <row r="30" spans="1:24" s="250" customFormat="1" ht="37.5">
      <c r="A30" s="246">
        <v>26</v>
      </c>
      <c r="B30" s="247"/>
      <c r="C30" s="248"/>
      <c r="D30" s="248"/>
      <c r="E30" s="248"/>
      <c r="F30" s="248"/>
      <c r="G30" s="172" t="s">
        <v>91</v>
      </c>
      <c r="H30" s="248"/>
      <c r="I30" s="248"/>
      <c r="J30" s="140" t="s">
        <v>220</v>
      </c>
      <c r="K30" s="249">
        <v>1.34</v>
      </c>
      <c r="L30" s="248" t="s">
        <v>202</v>
      </c>
      <c r="M30" s="248"/>
      <c r="N30" s="248"/>
      <c r="O30" s="248"/>
      <c r="P30" s="248"/>
      <c r="Q30" s="172" t="s">
        <v>91</v>
      </c>
      <c r="R30" s="248"/>
      <c r="S30" s="139" t="s">
        <v>17</v>
      </c>
      <c r="T30" s="176"/>
      <c r="U30" s="135"/>
      <c r="V30" s="172" t="s">
        <v>91</v>
      </c>
      <c r="W30" s="132"/>
      <c r="X30" s="135"/>
    </row>
    <row r="31" spans="1:24" s="250" customFormat="1" ht="56.25">
      <c r="A31" s="246">
        <v>27</v>
      </c>
      <c r="B31" s="172"/>
      <c r="C31" s="248"/>
      <c r="D31" s="172" t="s">
        <v>91</v>
      </c>
      <c r="E31" s="248"/>
      <c r="F31" s="248"/>
      <c r="G31" s="172"/>
      <c r="H31" s="248"/>
      <c r="I31" s="248"/>
      <c r="J31" s="140" t="s">
        <v>221</v>
      </c>
      <c r="K31" s="249">
        <v>5.0999999999999996</v>
      </c>
      <c r="L31" s="248" t="s">
        <v>202</v>
      </c>
      <c r="M31" s="248"/>
      <c r="N31" s="248"/>
      <c r="O31" s="248"/>
      <c r="P31" s="248"/>
      <c r="Q31" s="172" t="s">
        <v>91</v>
      </c>
      <c r="R31" s="248"/>
      <c r="S31" s="139" t="s">
        <v>17</v>
      </c>
      <c r="T31" s="176"/>
      <c r="U31" s="176"/>
      <c r="V31" s="172" t="s">
        <v>91</v>
      </c>
      <c r="W31" s="132"/>
      <c r="X31" s="135"/>
    </row>
    <row r="32" spans="1:24" s="250" customFormat="1" ht="37.5">
      <c r="A32" s="246">
        <v>28</v>
      </c>
      <c r="B32" s="247"/>
      <c r="C32" s="248"/>
      <c r="D32" s="248"/>
      <c r="E32" s="248"/>
      <c r="F32" s="248"/>
      <c r="G32" s="172" t="s">
        <v>91</v>
      </c>
      <c r="H32" s="248"/>
      <c r="I32" s="248"/>
      <c r="J32" s="140" t="s">
        <v>222</v>
      </c>
      <c r="K32" s="249">
        <v>0.78</v>
      </c>
      <c r="L32" s="248" t="s">
        <v>202</v>
      </c>
      <c r="M32" s="248"/>
      <c r="N32" s="248"/>
      <c r="O32" s="248"/>
      <c r="P32" s="248"/>
      <c r="Q32" s="172" t="s">
        <v>91</v>
      </c>
      <c r="R32" s="248"/>
      <c r="S32" s="139" t="s">
        <v>17</v>
      </c>
      <c r="T32" s="176"/>
      <c r="U32" s="176"/>
      <c r="V32" s="172" t="s">
        <v>91</v>
      </c>
      <c r="W32" s="132"/>
      <c r="X32" s="135"/>
    </row>
    <row r="33" spans="1:24" s="250" customFormat="1" ht="37.5">
      <c r="A33" s="246">
        <v>29</v>
      </c>
      <c r="B33" s="247"/>
      <c r="C33" s="248"/>
      <c r="D33" s="172" t="s">
        <v>91</v>
      </c>
      <c r="E33" s="248"/>
      <c r="F33" s="248"/>
      <c r="G33" s="172"/>
      <c r="H33" s="248"/>
      <c r="I33" s="248"/>
      <c r="J33" s="198" t="s">
        <v>223</v>
      </c>
      <c r="K33" s="249">
        <v>1.6</v>
      </c>
      <c r="L33" s="248" t="s">
        <v>202</v>
      </c>
      <c r="M33" s="248"/>
      <c r="N33" s="248"/>
      <c r="O33" s="248"/>
      <c r="P33" s="248"/>
      <c r="Q33" s="172" t="s">
        <v>91</v>
      </c>
      <c r="R33" s="248"/>
      <c r="S33" s="139" t="s">
        <v>17</v>
      </c>
      <c r="T33" s="182"/>
      <c r="U33" s="182"/>
      <c r="V33" s="172" t="s">
        <v>91</v>
      </c>
      <c r="W33" s="172" t="s">
        <v>91</v>
      </c>
      <c r="X33" s="182"/>
    </row>
    <row r="34" spans="1:24" s="250" customFormat="1">
      <c r="A34" s="246">
        <v>30</v>
      </c>
      <c r="B34" s="247"/>
      <c r="C34" s="248"/>
      <c r="D34" s="248"/>
      <c r="E34" s="248"/>
      <c r="F34" s="172" t="s">
        <v>91</v>
      </c>
      <c r="G34" s="248"/>
      <c r="H34" s="248"/>
      <c r="I34" s="248"/>
      <c r="J34" s="152" t="s">
        <v>224</v>
      </c>
      <c r="K34" s="249">
        <v>1.55</v>
      </c>
      <c r="L34" s="248" t="s">
        <v>196</v>
      </c>
      <c r="M34" s="172" t="s">
        <v>91</v>
      </c>
      <c r="N34" s="248"/>
      <c r="O34" s="248"/>
      <c r="P34" s="248"/>
      <c r="Q34" s="248"/>
      <c r="R34" s="248"/>
      <c r="S34" s="139" t="s">
        <v>17</v>
      </c>
      <c r="T34" s="182"/>
      <c r="U34" s="182"/>
      <c r="V34" s="172" t="s">
        <v>91</v>
      </c>
      <c r="W34" s="182"/>
      <c r="X34" s="182"/>
    </row>
    <row r="35" spans="1:24" s="250" customFormat="1">
      <c r="A35" s="246">
        <v>31</v>
      </c>
      <c r="B35" s="247"/>
      <c r="C35" s="248"/>
      <c r="D35" s="248"/>
      <c r="E35" s="248"/>
      <c r="F35" s="172" t="s">
        <v>91</v>
      </c>
      <c r="G35" s="248"/>
      <c r="H35" s="248"/>
      <c r="I35" s="248"/>
      <c r="J35" s="152" t="s">
        <v>225</v>
      </c>
      <c r="K35" s="249">
        <v>11.77</v>
      </c>
      <c r="L35" s="248" t="s">
        <v>196</v>
      </c>
      <c r="M35" s="172" t="s">
        <v>91</v>
      </c>
      <c r="N35" s="248"/>
      <c r="O35" s="248"/>
      <c r="P35" s="248"/>
      <c r="Q35" s="248"/>
      <c r="R35" s="248"/>
      <c r="S35" s="139" t="s">
        <v>17</v>
      </c>
      <c r="T35" s="182"/>
      <c r="U35" s="182"/>
      <c r="V35" s="183"/>
      <c r="W35" s="172" t="s">
        <v>91</v>
      </c>
      <c r="X35" s="182"/>
    </row>
    <row r="36" spans="1:24" s="250" customFormat="1" ht="56.25">
      <c r="A36" s="246">
        <v>32</v>
      </c>
      <c r="B36" s="247"/>
      <c r="C36" s="248"/>
      <c r="D36" s="248"/>
      <c r="E36" s="248"/>
      <c r="F36" s="248"/>
      <c r="G36" s="248"/>
      <c r="H36" s="172" t="s">
        <v>91</v>
      </c>
      <c r="I36" s="248"/>
      <c r="J36" s="199" t="s">
        <v>226</v>
      </c>
      <c r="K36" s="249">
        <v>1.294</v>
      </c>
      <c r="L36" s="248" t="s">
        <v>227</v>
      </c>
      <c r="M36" s="248"/>
      <c r="N36" s="248"/>
      <c r="O36" s="248"/>
      <c r="P36" s="248"/>
      <c r="Q36" s="172" t="s">
        <v>91</v>
      </c>
      <c r="R36" s="248"/>
      <c r="S36" s="139" t="s">
        <v>17</v>
      </c>
      <c r="T36" s="200"/>
      <c r="U36" s="176"/>
      <c r="V36" s="176"/>
      <c r="W36" s="176"/>
      <c r="X36" s="172" t="s">
        <v>91</v>
      </c>
    </row>
    <row r="37" spans="1:24" s="250" customFormat="1" ht="56.25">
      <c r="A37" s="246">
        <v>33</v>
      </c>
      <c r="B37" s="247"/>
      <c r="C37" s="248"/>
      <c r="D37" s="248"/>
      <c r="E37" s="248"/>
      <c r="F37" s="248"/>
      <c r="G37" s="248"/>
      <c r="H37" s="172" t="s">
        <v>91</v>
      </c>
      <c r="I37" s="248"/>
      <c r="J37" s="199" t="s">
        <v>226</v>
      </c>
      <c r="K37" s="249">
        <v>1.294</v>
      </c>
      <c r="L37" s="248" t="s">
        <v>179</v>
      </c>
      <c r="M37" s="248"/>
      <c r="N37" s="248"/>
      <c r="O37" s="248"/>
      <c r="P37" s="248"/>
      <c r="Q37" s="172" t="s">
        <v>91</v>
      </c>
      <c r="R37" s="248"/>
      <c r="S37" s="139" t="s">
        <v>17</v>
      </c>
      <c r="T37" s="200"/>
      <c r="U37" s="176"/>
      <c r="V37" s="176"/>
      <c r="W37" s="176"/>
      <c r="X37" s="172" t="s">
        <v>91</v>
      </c>
    </row>
    <row r="38" spans="1:24" s="250" customFormat="1" ht="56.25">
      <c r="A38" s="246">
        <v>34</v>
      </c>
      <c r="B38" s="247"/>
      <c r="C38" s="248"/>
      <c r="D38" s="248"/>
      <c r="E38" s="248"/>
      <c r="F38" s="248"/>
      <c r="G38" s="248"/>
      <c r="H38" s="172" t="s">
        <v>91</v>
      </c>
      <c r="I38" s="248"/>
      <c r="J38" s="199" t="s">
        <v>226</v>
      </c>
      <c r="K38" s="249">
        <v>1.294</v>
      </c>
      <c r="L38" s="248" t="s">
        <v>184</v>
      </c>
      <c r="M38" s="248"/>
      <c r="N38" s="248"/>
      <c r="O38" s="248"/>
      <c r="P38" s="248"/>
      <c r="Q38" s="172" t="s">
        <v>91</v>
      </c>
      <c r="R38" s="248"/>
      <c r="S38" s="139" t="s">
        <v>17</v>
      </c>
      <c r="T38" s="200"/>
      <c r="U38" s="176"/>
      <c r="V38" s="176"/>
      <c r="W38" s="176"/>
      <c r="X38" s="172" t="s">
        <v>91</v>
      </c>
    </row>
    <row r="39" spans="1:24" s="250" customFormat="1" ht="56.25">
      <c r="A39" s="246">
        <v>35</v>
      </c>
      <c r="B39" s="247"/>
      <c r="C39" s="248"/>
      <c r="D39" s="248"/>
      <c r="E39" s="248"/>
      <c r="F39" s="248"/>
      <c r="G39" s="248"/>
      <c r="H39" s="172" t="s">
        <v>91</v>
      </c>
      <c r="I39" s="248"/>
      <c r="J39" s="199" t="s">
        <v>226</v>
      </c>
      <c r="K39" s="249">
        <v>1.294</v>
      </c>
      <c r="L39" s="248" t="s">
        <v>229</v>
      </c>
      <c r="M39" s="248"/>
      <c r="N39" s="248"/>
      <c r="O39" s="248"/>
      <c r="P39" s="248"/>
      <c r="Q39" s="172" t="s">
        <v>91</v>
      </c>
      <c r="R39" s="248"/>
      <c r="S39" s="139" t="s">
        <v>17</v>
      </c>
      <c r="T39" s="200"/>
      <c r="U39" s="176"/>
      <c r="V39" s="176"/>
      <c r="W39" s="176"/>
      <c r="X39" s="172" t="s">
        <v>91</v>
      </c>
    </row>
    <row r="40" spans="1:24" s="250" customFormat="1" ht="56.25">
      <c r="A40" s="246">
        <v>36</v>
      </c>
      <c r="B40" s="247"/>
      <c r="C40" s="248"/>
      <c r="D40" s="248"/>
      <c r="E40" s="248"/>
      <c r="F40" s="248"/>
      <c r="G40" s="248"/>
      <c r="H40" s="172" t="s">
        <v>91</v>
      </c>
      <c r="I40" s="248"/>
      <c r="J40" s="199" t="s">
        <v>226</v>
      </c>
      <c r="K40" s="249">
        <v>1.294</v>
      </c>
      <c r="L40" s="248" t="s">
        <v>231</v>
      </c>
      <c r="M40" s="248"/>
      <c r="N40" s="248"/>
      <c r="O40" s="248"/>
      <c r="P40" s="248"/>
      <c r="Q40" s="172" t="s">
        <v>91</v>
      </c>
      <c r="R40" s="248"/>
      <c r="S40" s="139" t="s">
        <v>17</v>
      </c>
      <c r="T40" s="175"/>
      <c r="U40" s="200"/>
      <c r="V40" s="176"/>
      <c r="W40" s="176"/>
      <c r="X40" s="172" t="s">
        <v>91</v>
      </c>
    </row>
    <row r="41" spans="1:24" s="250" customFormat="1" ht="56.25">
      <c r="A41" s="246">
        <v>37</v>
      </c>
      <c r="B41" s="247"/>
      <c r="C41" s="248"/>
      <c r="D41" s="248"/>
      <c r="E41" s="248"/>
      <c r="F41" s="248"/>
      <c r="G41" s="248"/>
      <c r="H41" s="172" t="s">
        <v>91</v>
      </c>
      <c r="I41" s="248"/>
      <c r="J41" s="199" t="s">
        <v>226</v>
      </c>
      <c r="K41" s="249">
        <v>1.294</v>
      </c>
      <c r="L41" s="248" t="s">
        <v>187</v>
      </c>
      <c r="M41" s="248"/>
      <c r="N41" s="248"/>
      <c r="O41" s="248"/>
      <c r="P41" s="248"/>
      <c r="Q41" s="172" t="s">
        <v>91</v>
      </c>
      <c r="R41" s="248"/>
      <c r="S41" s="139" t="s">
        <v>17</v>
      </c>
      <c r="T41" s="175"/>
      <c r="U41" s="200"/>
      <c r="V41" s="176"/>
      <c r="W41" s="176"/>
      <c r="X41" s="172" t="s">
        <v>91</v>
      </c>
    </row>
    <row r="42" spans="1:24" s="250" customFormat="1" ht="56.25">
      <c r="A42" s="246">
        <v>38</v>
      </c>
      <c r="B42" s="247"/>
      <c r="C42" s="248"/>
      <c r="D42" s="248"/>
      <c r="E42" s="248"/>
      <c r="F42" s="248"/>
      <c r="G42" s="248"/>
      <c r="H42" s="172" t="s">
        <v>91</v>
      </c>
      <c r="I42" s="248"/>
      <c r="J42" s="199" t="s">
        <v>226</v>
      </c>
      <c r="K42" s="249">
        <v>1.294</v>
      </c>
      <c r="L42" s="248" t="s">
        <v>211</v>
      </c>
      <c r="M42" s="248"/>
      <c r="N42" s="248"/>
      <c r="O42" s="248"/>
      <c r="P42" s="248"/>
      <c r="Q42" s="172" t="s">
        <v>91</v>
      </c>
      <c r="R42" s="248"/>
      <c r="S42" s="139" t="s">
        <v>17</v>
      </c>
      <c r="T42" s="175"/>
      <c r="U42" s="176"/>
      <c r="V42" s="176"/>
      <c r="W42" s="176"/>
      <c r="X42" s="172" t="s">
        <v>91</v>
      </c>
    </row>
    <row r="43" spans="1:24" s="250" customFormat="1" ht="56.25">
      <c r="A43" s="246">
        <v>39</v>
      </c>
      <c r="B43" s="247"/>
      <c r="C43" s="248"/>
      <c r="D43" s="248"/>
      <c r="E43" s="248"/>
      <c r="F43" s="248"/>
      <c r="G43" s="248"/>
      <c r="H43" s="172" t="s">
        <v>91</v>
      </c>
      <c r="I43" s="248"/>
      <c r="J43" s="199" t="s">
        <v>226</v>
      </c>
      <c r="K43" s="249">
        <v>1.294</v>
      </c>
      <c r="L43" s="248" t="s">
        <v>207</v>
      </c>
      <c r="M43" s="248"/>
      <c r="N43" s="248"/>
      <c r="O43" s="248"/>
      <c r="P43" s="248"/>
      <c r="Q43" s="172" t="s">
        <v>91</v>
      </c>
      <c r="R43" s="248"/>
      <c r="S43" s="139" t="s">
        <v>17</v>
      </c>
      <c r="T43" s="175"/>
      <c r="U43" s="176"/>
      <c r="V43" s="176"/>
      <c r="W43" s="176"/>
      <c r="X43" s="172" t="s">
        <v>91</v>
      </c>
    </row>
    <row r="44" spans="1:24" s="250" customFormat="1" ht="56.25">
      <c r="A44" s="246">
        <v>40</v>
      </c>
      <c r="B44" s="247"/>
      <c r="C44" s="248"/>
      <c r="D44" s="248"/>
      <c r="E44" s="248"/>
      <c r="F44" s="248"/>
      <c r="G44" s="248"/>
      <c r="H44" s="172" t="s">
        <v>91</v>
      </c>
      <c r="I44" s="248"/>
      <c r="J44" s="199" t="s">
        <v>226</v>
      </c>
      <c r="K44" s="249">
        <v>1.294</v>
      </c>
      <c r="L44" s="248" t="s">
        <v>202</v>
      </c>
      <c r="M44" s="248"/>
      <c r="N44" s="248"/>
      <c r="O44" s="248"/>
      <c r="P44" s="248"/>
      <c r="Q44" s="172" t="s">
        <v>91</v>
      </c>
      <c r="R44" s="248"/>
      <c r="S44" s="139" t="s">
        <v>17</v>
      </c>
      <c r="T44" s="175"/>
      <c r="U44" s="176"/>
      <c r="V44" s="176"/>
      <c r="W44" s="176"/>
      <c r="X44" s="172" t="s">
        <v>91</v>
      </c>
    </row>
    <row r="45" spans="1:24" s="250" customFormat="1" ht="56.25">
      <c r="A45" s="246">
        <v>41</v>
      </c>
      <c r="B45" s="247"/>
      <c r="C45" s="248"/>
      <c r="D45" s="248"/>
      <c r="E45" s="248"/>
      <c r="F45" s="172" t="s">
        <v>91</v>
      </c>
      <c r="G45" s="248"/>
      <c r="H45" s="248"/>
      <c r="I45" s="248"/>
      <c r="J45" s="188" t="s">
        <v>234</v>
      </c>
      <c r="K45" s="249">
        <v>4.2</v>
      </c>
      <c r="L45" s="248" t="s">
        <v>196</v>
      </c>
      <c r="M45" s="172" t="s">
        <v>91</v>
      </c>
      <c r="N45" s="248"/>
      <c r="O45" s="248"/>
      <c r="P45" s="248"/>
      <c r="Q45" s="248"/>
      <c r="R45" s="248"/>
      <c r="S45" s="139" t="s">
        <v>17</v>
      </c>
      <c r="T45" s="182"/>
      <c r="U45" s="182"/>
      <c r="V45" s="182"/>
      <c r="W45" s="172" t="s">
        <v>91</v>
      </c>
      <c r="X45" s="182"/>
    </row>
    <row r="46" spans="1:24" s="250" customFormat="1" ht="93.75">
      <c r="A46" s="246">
        <v>42</v>
      </c>
      <c r="B46" s="251"/>
      <c r="C46" s="252" t="s">
        <v>91</v>
      </c>
      <c r="D46" s="253"/>
      <c r="E46" s="253"/>
      <c r="F46" s="253"/>
      <c r="G46" s="253"/>
      <c r="H46" s="253"/>
      <c r="I46" s="253"/>
      <c r="J46" s="254" t="s">
        <v>235</v>
      </c>
      <c r="K46" s="255">
        <v>5.5705</v>
      </c>
      <c r="L46" s="253" t="s">
        <v>202</v>
      </c>
      <c r="M46" s="253"/>
      <c r="N46" s="253"/>
      <c r="O46" s="253"/>
      <c r="P46" s="253"/>
      <c r="Q46" s="252" t="s">
        <v>91</v>
      </c>
      <c r="R46" s="253"/>
      <c r="S46" s="256" t="s">
        <v>17</v>
      </c>
      <c r="T46" s="257"/>
      <c r="U46" s="258"/>
      <c r="V46" s="258"/>
      <c r="W46" s="258"/>
      <c r="X46" s="252" t="s">
        <v>91</v>
      </c>
    </row>
    <row r="47" spans="1:24" s="250" customFormat="1">
      <c r="A47" s="259"/>
      <c r="B47" s="260"/>
      <c r="C47" s="261">
        <v>11</v>
      </c>
      <c r="D47" s="261">
        <v>9</v>
      </c>
      <c r="E47" s="261"/>
      <c r="F47" s="261">
        <v>9</v>
      </c>
      <c r="G47" s="261">
        <v>5</v>
      </c>
      <c r="H47" s="261">
        <v>10</v>
      </c>
      <c r="I47" s="261"/>
      <c r="J47" s="261"/>
      <c r="K47" s="778">
        <f>SUM(K5:K46)</f>
        <v>103.06649999999996</v>
      </c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</row>
    <row r="48" spans="1:24" s="283" customFormat="1" ht="23.25" customHeight="1">
      <c r="A48" s="274">
        <v>1</v>
      </c>
      <c r="B48" s="275"/>
      <c r="C48" s="276"/>
      <c r="D48" s="277" t="s">
        <v>10</v>
      </c>
      <c r="E48" s="276"/>
      <c r="F48" s="276"/>
      <c r="G48" s="276"/>
      <c r="H48" s="276"/>
      <c r="I48" s="276"/>
      <c r="J48" s="278" t="s">
        <v>244</v>
      </c>
      <c r="K48" s="279">
        <v>2000000</v>
      </c>
      <c r="L48" s="280" t="s">
        <v>245</v>
      </c>
      <c r="M48" s="277" t="s">
        <v>10</v>
      </c>
      <c r="N48" s="276"/>
      <c r="O48" s="276"/>
      <c r="P48" s="276"/>
      <c r="Q48" s="276"/>
      <c r="R48" s="276"/>
      <c r="S48" s="276" t="s">
        <v>246</v>
      </c>
      <c r="T48" s="281">
        <v>1</v>
      </c>
      <c r="U48" s="282"/>
      <c r="V48" s="281"/>
      <c r="W48" s="281"/>
      <c r="X48" s="282"/>
    </row>
    <row r="49" spans="1:24" s="283" customFormat="1" ht="23.25" customHeight="1">
      <c r="A49" s="274">
        <v>2</v>
      </c>
      <c r="B49" s="275"/>
      <c r="C49" s="276"/>
      <c r="D49" s="277" t="s">
        <v>10</v>
      </c>
      <c r="E49" s="276"/>
      <c r="F49" s="276"/>
      <c r="G49" s="276"/>
      <c r="H49" s="276"/>
      <c r="I49" s="276"/>
      <c r="J49" s="278" t="s">
        <v>247</v>
      </c>
      <c r="K49" s="279">
        <v>1500000</v>
      </c>
      <c r="L49" s="280" t="s">
        <v>245</v>
      </c>
      <c r="M49" s="277" t="s">
        <v>10</v>
      </c>
      <c r="N49" s="276"/>
      <c r="O49" s="276"/>
      <c r="P49" s="276"/>
      <c r="Q49" s="276"/>
      <c r="R49" s="276"/>
      <c r="S49" s="276" t="s">
        <v>246</v>
      </c>
      <c r="T49" s="282">
        <v>10</v>
      </c>
      <c r="U49" s="282">
        <v>10</v>
      </c>
      <c r="V49" s="281">
        <v>1</v>
      </c>
      <c r="W49" s="281">
        <v>1</v>
      </c>
      <c r="X49" s="282">
        <v>3</v>
      </c>
    </row>
    <row r="50" spans="1:24" s="283" customFormat="1" ht="23.25" customHeight="1">
      <c r="A50" s="274">
        <v>3</v>
      </c>
      <c r="B50" s="275"/>
      <c r="C50" s="276"/>
      <c r="D50" s="277" t="s">
        <v>10</v>
      </c>
      <c r="E50" s="276"/>
      <c r="F50" s="276"/>
      <c r="G50" s="276"/>
      <c r="H50" s="276"/>
      <c r="I50" s="276"/>
      <c r="J50" s="278" t="s">
        <v>248</v>
      </c>
      <c r="K50" s="279">
        <v>4000000</v>
      </c>
      <c r="L50" s="280" t="s">
        <v>245</v>
      </c>
      <c r="M50" s="277" t="s">
        <v>10</v>
      </c>
      <c r="N50" s="276"/>
      <c r="O50" s="276"/>
      <c r="P50" s="276"/>
      <c r="Q50" s="276"/>
      <c r="R50" s="276"/>
      <c r="S50" s="276" t="s">
        <v>246</v>
      </c>
      <c r="T50" s="282">
        <v>2</v>
      </c>
      <c r="U50" s="282"/>
      <c r="V50" s="281"/>
      <c r="W50" s="281">
        <v>2</v>
      </c>
      <c r="X50" s="282"/>
    </row>
    <row r="51" spans="1:24" s="283" customFormat="1" ht="23.25" customHeight="1">
      <c r="A51" s="274">
        <v>4</v>
      </c>
      <c r="B51" s="275"/>
      <c r="C51" s="276"/>
      <c r="D51" s="277" t="s">
        <v>10</v>
      </c>
      <c r="E51" s="276"/>
      <c r="F51" s="276"/>
      <c r="G51" s="276"/>
      <c r="H51" s="276"/>
      <c r="I51" s="276"/>
      <c r="J51" s="278" t="s">
        <v>249</v>
      </c>
      <c r="K51" s="279">
        <v>900000</v>
      </c>
      <c r="L51" s="280" t="s">
        <v>245</v>
      </c>
      <c r="M51" s="277" t="s">
        <v>10</v>
      </c>
      <c r="N51" s="276"/>
      <c r="O51" s="276"/>
      <c r="P51" s="276"/>
      <c r="Q51" s="276"/>
      <c r="R51" s="276"/>
      <c r="S51" s="276" t="s">
        <v>246</v>
      </c>
      <c r="T51" s="282">
        <v>1</v>
      </c>
      <c r="U51" s="282">
        <v>1</v>
      </c>
      <c r="V51" s="281"/>
      <c r="W51" s="281"/>
      <c r="X51" s="282"/>
    </row>
    <row r="52" spans="1:24" s="283" customFormat="1" ht="23.25" customHeight="1">
      <c r="A52" s="274">
        <v>5</v>
      </c>
      <c r="B52" s="275"/>
      <c r="C52" s="276"/>
      <c r="D52" s="277" t="s">
        <v>10</v>
      </c>
      <c r="E52" s="276"/>
      <c r="F52" s="276"/>
      <c r="G52" s="276"/>
      <c r="H52" s="276"/>
      <c r="I52" s="276"/>
      <c r="J52" s="278" t="s">
        <v>78</v>
      </c>
      <c r="K52" s="279">
        <v>2200000</v>
      </c>
      <c r="L52" s="280" t="s">
        <v>245</v>
      </c>
      <c r="M52" s="277" t="s">
        <v>10</v>
      </c>
      <c r="N52" s="276"/>
      <c r="O52" s="276"/>
      <c r="P52" s="276"/>
      <c r="Q52" s="276"/>
      <c r="R52" s="276"/>
      <c r="S52" s="276" t="s">
        <v>246</v>
      </c>
      <c r="T52" s="282">
        <v>2</v>
      </c>
      <c r="U52" s="282"/>
      <c r="V52" s="281"/>
      <c r="W52" s="281">
        <v>2</v>
      </c>
      <c r="X52" s="282"/>
    </row>
    <row r="53" spans="1:24" s="283" customFormat="1" ht="23.25" customHeight="1">
      <c r="A53" s="274">
        <v>6</v>
      </c>
      <c r="B53" s="275"/>
      <c r="C53" s="276"/>
      <c r="D53" s="277" t="s">
        <v>10</v>
      </c>
      <c r="E53" s="276"/>
      <c r="F53" s="276"/>
      <c r="G53" s="276"/>
      <c r="H53" s="276"/>
      <c r="I53" s="276"/>
      <c r="J53" s="278" t="s">
        <v>250</v>
      </c>
      <c r="K53" s="279">
        <v>1760000</v>
      </c>
      <c r="L53" s="280" t="s">
        <v>245</v>
      </c>
      <c r="M53" s="277" t="s">
        <v>10</v>
      </c>
      <c r="N53" s="276"/>
      <c r="O53" s="276"/>
      <c r="P53" s="276"/>
      <c r="Q53" s="276"/>
      <c r="R53" s="276"/>
      <c r="S53" s="276" t="s">
        <v>246</v>
      </c>
      <c r="T53" s="282">
        <v>1</v>
      </c>
      <c r="U53" s="282"/>
      <c r="V53" s="281"/>
      <c r="W53" s="281"/>
      <c r="X53" s="282"/>
    </row>
    <row r="54" spans="1:24" s="283" customFormat="1" ht="19.5" customHeight="1">
      <c r="A54" s="274">
        <v>7</v>
      </c>
      <c r="B54" s="284"/>
      <c r="C54" s="276"/>
      <c r="D54" s="276" t="s">
        <v>52</v>
      </c>
      <c r="E54" s="276"/>
      <c r="F54" s="276"/>
      <c r="G54" s="276"/>
      <c r="H54" s="276"/>
      <c r="I54" s="276"/>
      <c r="J54" s="285" t="s">
        <v>251</v>
      </c>
      <c r="K54" s="279">
        <v>700000</v>
      </c>
      <c r="L54" s="280" t="s">
        <v>252</v>
      </c>
      <c r="M54" s="276"/>
      <c r="N54" s="276"/>
      <c r="O54" s="276"/>
      <c r="P54" s="276"/>
      <c r="Q54" s="277" t="s">
        <v>10</v>
      </c>
      <c r="R54" s="276"/>
      <c r="S54" s="276" t="s">
        <v>246</v>
      </c>
      <c r="T54" s="276">
        <v>1</v>
      </c>
      <c r="U54" s="276"/>
      <c r="V54" s="281"/>
      <c r="W54" s="281"/>
      <c r="X54" s="276"/>
    </row>
    <row r="55" spans="1:24" s="283" customFormat="1" ht="19.5" customHeight="1">
      <c r="A55" s="274">
        <v>8</v>
      </c>
      <c r="B55" s="284"/>
      <c r="C55" s="276"/>
      <c r="D55" s="276"/>
      <c r="E55" s="276"/>
      <c r="F55" s="276"/>
      <c r="G55" s="276"/>
      <c r="H55" s="276" t="s">
        <v>52</v>
      </c>
      <c r="I55" s="276"/>
      <c r="J55" s="285" t="s">
        <v>253</v>
      </c>
      <c r="K55" s="279">
        <v>787000</v>
      </c>
      <c r="L55" s="280" t="s">
        <v>252</v>
      </c>
      <c r="M55" s="276"/>
      <c r="N55" s="276"/>
      <c r="O55" s="276"/>
      <c r="P55" s="276"/>
      <c r="Q55" s="277" t="s">
        <v>10</v>
      </c>
      <c r="R55" s="276"/>
      <c r="S55" s="276" t="s">
        <v>246</v>
      </c>
      <c r="T55" s="276">
        <v>1</v>
      </c>
      <c r="U55" s="276"/>
      <c r="V55" s="281"/>
      <c r="W55" s="281"/>
      <c r="X55" s="276"/>
    </row>
    <row r="56" spans="1:24" s="283" customFormat="1" ht="19.5" customHeight="1">
      <c r="A56" s="274">
        <v>9</v>
      </c>
      <c r="B56" s="284"/>
      <c r="C56" s="276"/>
      <c r="D56" s="276"/>
      <c r="E56" s="276"/>
      <c r="F56" s="276" t="s">
        <v>52</v>
      </c>
      <c r="G56" s="276"/>
      <c r="H56" s="276"/>
      <c r="I56" s="276"/>
      <c r="J56" s="285" t="s">
        <v>254</v>
      </c>
      <c r="K56" s="279">
        <v>150000</v>
      </c>
      <c r="L56" s="280" t="s">
        <v>252</v>
      </c>
      <c r="M56" s="276"/>
      <c r="N56" s="276"/>
      <c r="O56" s="276"/>
      <c r="P56" s="276"/>
      <c r="Q56" s="277" t="s">
        <v>10</v>
      </c>
      <c r="R56" s="276"/>
      <c r="S56" s="276" t="s">
        <v>246</v>
      </c>
      <c r="T56" s="276">
        <v>1</v>
      </c>
      <c r="U56" s="276"/>
      <c r="V56" s="281"/>
      <c r="W56" s="281"/>
      <c r="X56" s="276"/>
    </row>
    <row r="57" spans="1:24" s="283" customFormat="1" ht="23.25" customHeight="1">
      <c r="A57" s="274">
        <v>10</v>
      </c>
      <c r="B57" s="275"/>
      <c r="C57" s="276"/>
      <c r="D57" s="276"/>
      <c r="E57" s="276"/>
      <c r="F57" s="277" t="s">
        <v>10</v>
      </c>
      <c r="G57" s="276"/>
      <c r="H57" s="276"/>
      <c r="I57" s="276"/>
      <c r="J57" s="278" t="s">
        <v>255</v>
      </c>
      <c r="K57" s="279">
        <v>8000000</v>
      </c>
      <c r="L57" s="280" t="s">
        <v>245</v>
      </c>
      <c r="M57" s="277" t="s">
        <v>10</v>
      </c>
      <c r="N57" s="276"/>
      <c r="O57" s="276"/>
      <c r="P57" s="276"/>
      <c r="Q57" s="276"/>
      <c r="R57" s="276"/>
      <c r="S57" s="276" t="s">
        <v>246</v>
      </c>
      <c r="T57" s="282"/>
      <c r="U57" s="282"/>
      <c r="V57" s="281">
        <v>1</v>
      </c>
      <c r="W57" s="281"/>
      <c r="X57" s="282"/>
    </row>
    <row r="58" spans="1:24" s="283" customFormat="1" ht="23.25" customHeight="1">
      <c r="A58" s="274">
        <v>11</v>
      </c>
      <c r="B58" s="275"/>
      <c r="C58" s="276"/>
      <c r="D58" s="276"/>
      <c r="E58" s="276"/>
      <c r="F58" s="277" t="s">
        <v>10</v>
      </c>
      <c r="G58" s="276"/>
      <c r="H58" s="276"/>
      <c r="I58" s="276"/>
      <c r="J58" s="278" t="s">
        <v>256</v>
      </c>
      <c r="K58" s="279">
        <v>750000</v>
      </c>
      <c r="L58" s="280" t="s">
        <v>245</v>
      </c>
      <c r="M58" s="277" t="s">
        <v>10</v>
      </c>
      <c r="N58" s="276"/>
      <c r="O58" s="276"/>
      <c r="P58" s="276"/>
      <c r="Q58" s="276"/>
      <c r="R58" s="276"/>
      <c r="S58" s="276" t="s">
        <v>246</v>
      </c>
      <c r="T58" s="282">
        <v>1</v>
      </c>
      <c r="U58" s="282"/>
      <c r="V58" s="281"/>
      <c r="W58" s="281">
        <v>4</v>
      </c>
      <c r="X58" s="282"/>
    </row>
    <row r="59" spans="1:24" s="283" customFormat="1" ht="19.5" customHeight="1">
      <c r="A59" s="274">
        <v>12</v>
      </c>
      <c r="B59" s="275"/>
      <c r="C59" s="276"/>
      <c r="D59" s="277" t="s">
        <v>10</v>
      </c>
      <c r="E59" s="276"/>
      <c r="F59" s="276"/>
      <c r="G59" s="276"/>
      <c r="H59" s="276"/>
      <c r="I59" s="276"/>
      <c r="J59" s="278" t="s">
        <v>257</v>
      </c>
      <c r="K59" s="279">
        <v>40000</v>
      </c>
      <c r="L59" s="280" t="s">
        <v>245</v>
      </c>
      <c r="M59" s="277" t="s">
        <v>10</v>
      </c>
      <c r="N59" s="276"/>
      <c r="O59" s="276"/>
      <c r="P59" s="276"/>
      <c r="Q59" s="276"/>
      <c r="R59" s="276"/>
      <c r="S59" s="276" t="s">
        <v>246</v>
      </c>
      <c r="T59" s="282">
        <v>1</v>
      </c>
      <c r="U59" s="282"/>
      <c r="V59" s="281">
        <v>1</v>
      </c>
      <c r="W59" s="281">
        <v>1</v>
      </c>
      <c r="X59" s="282">
        <v>1</v>
      </c>
    </row>
    <row r="60" spans="1:24" s="283" customFormat="1" ht="40.5">
      <c r="A60" s="274">
        <v>13</v>
      </c>
      <c r="B60" s="287"/>
      <c r="C60" s="287"/>
      <c r="D60" s="287" t="s">
        <v>52</v>
      </c>
      <c r="E60" s="287"/>
      <c r="F60" s="287"/>
      <c r="G60" s="287"/>
      <c r="H60" s="287"/>
      <c r="I60" s="287"/>
      <c r="J60" s="288" t="s">
        <v>258</v>
      </c>
      <c r="K60" s="289">
        <v>550000</v>
      </c>
      <c r="L60" s="290" t="s">
        <v>259</v>
      </c>
      <c r="M60" s="287"/>
      <c r="N60" s="287"/>
      <c r="O60" s="287"/>
      <c r="P60" s="287"/>
      <c r="Q60" s="277" t="s">
        <v>10</v>
      </c>
      <c r="R60" s="287"/>
      <c r="S60" s="276" t="s">
        <v>246</v>
      </c>
      <c r="T60" s="286">
        <v>1</v>
      </c>
      <c r="U60" s="291"/>
      <c r="V60" s="292"/>
      <c r="W60" s="292"/>
      <c r="X60" s="291"/>
    </row>
    <row r="61" spans="1:24" s="283" customFormat="1" ht="20.25">
      <c r="A61" s="274">
        <v>14</v>
      </c>
      <c r="B61" s="287"/>
      <c r="C61" s="287"/>
      <c r="D61" s="287" t="s">
        <v>52</v>
      </c>
      <c r="E61" s="287"/>
      <c r="F61" s="287"/>
      <c r="G61" s="287"/>
      <c r="H61" s="287"/>
      <c r="I61" s="287"/>
      <c r="J61" s="288" t="s">
        <v>260</v>
      </c>
      <c r="K61" s="289">
        <v>380000</v>
      </c>
      <c r="L61" s="290" t="s">
        <v>259</v>
      </c>
      <c r="M61" s="287"/>
      <c r="N61" s="287"/>
      <c r="O61" s="287"/>
      <c r="P61" s="287"/>
      <c r="Q61" s="277" t="s">
        <v>10</v>
      </c>
      <c r="R61" s="287"/>
      <c r="S61" s="276" t="s">
        <v>246</v>
      </c>
      <c r="T61" s="286">
        <v>1</v>
      </c>
      <c r="U61" s="291"/>
      <c r="V61" s="292"/>
      <c r="W61" s="292"/>
      <c r="X61" s="291"/>
    </row>
    <row r="62" spans="1:24" s="283" customFormat="1" ht="20.25">
      <c r="A62" s="274">
        <v>15</v>
      </c>
      <c r="B62" s="284"/>
      <c r="C62" s="276"/>
      <c r="D62" s="276"/>
      <c r="E62" s="276"/>
      <c r="F62" s="276" t="s">
        <v>52</v>
      </c>
      <c r="G62" s="276"/>
      <c r="H62" s="276"/>
      <c r="I62" s="276"/>
      <c r="J62" s="293" t="s">
        <v>261</v>
      </c>
      <c r="K62" s="294">
        <v>1750000</v>
      </c>
      <c r="L62" s="280" t="s">
        <v>262</v>
      </c>
      <c r="M62" s="276"/>
      <c r="N62" s="276"/>
      <c r="O62" s="276"/>
      <c r="P62" s="276"/>
      <c r="Q62" s="277" t="s">
        <v>10</v>
      </c>
      <c r="R62" s="276"/>
      <c r="S62" s="276" t="s">
        <v>246</v>
      </c>
      <c r="T62" s="295">
        <v>1</v>
      </c>
      <c r="U62" s="295"/>
      <c r="V62" s="296"/>
      <c r="W62" s="296"/>
      <c r="X62" s="296"/>
    </row>
    <row r="63" spans="1:24" s="283" customFormat="1" ht="45" customHeight="1">
      <c r="A63" s="274">
        <v>16</v>
      </c>
      <c r="B63" s="287"/>
      <c r="C63" s="287"/>
      <c r="D63" s="287"/>
      <c r="E63" s="287"/>
      <c r="F63" s="287"/>
      <c r="G63" s="303" t="s">
        <v>52</v>
      </c>
      <c r="H63" s="287"/>
      <c r="I63" s="287"/>
      <c r="J63" s="288" t="s">
        <v>263</v>
      </c>
      <c r="K63" s="289">
        <v>840000</v>
      </c>
      <c r="L63" s="826" t="s">
        <v>259</v>
      </c>
      <c r="M63" s="287"/>
      <c r="N63" s="287"/>
      <c r="O63" s="287"/>
      <c r="P63" s="287"/>
      <c r="Q63" s="277" t="s">
        <v>10</v>
      </c>
      <c r="R63" s="287"/>
      <c r="S63" s="276" t="s">
        <v>246</v>
      </c>
      <c r="T63" s="286">
        <v>1</v>
      </c>
      <c r="U63" s="291"/>
      <c r="V63" s="292"/>
      <c r="W63" s="292"/>
      <c r="X63" s="291"/>
    </row>
    <row r="64" spans="1:24" s="283" customFormat="1" ht="20.25">
      <c r="A64" s="274">
        <v>17</v>
      </c>
      <c r="B64" s="284"/>
      <c r="C64" s="276"/>
      <c r="D64" s="276" t="s">
        <v>264</v>
      </c>
      <c r="E64" s="276"/>
      <c r="F64" s="276"/>
      <c r="G64" s="276"/>
      <c r="H64" s="276"/>
      <c r="I64" s="276"/>
      <c r="J64" s="280" t="s">
        <v>265</v>
      </c>
      <c r="K64" s="297">
        <v>460000</v>
      </c>
      <c r="L64" s="280" t="s">
        <v>266</v>
      </c>
      <c r="M64" s="276"/>
      <c r="N64" s="276"/>
      <c r="O64" s="276"/>
      <c r="P64" s="276"/>
      <c r="Q64" s="277" t="s">
        <v>10</v>
      </c>
      <c r="R64" s="276"/>
      <c r="S64" s="276" t="s">
        <v>246</v>
      </c>
      <c r="T64" s="276">
        <v>1</v>
      </c>
      <c r="U64" s="276"/>
      <c r="V64" s="281"/>
      <c r="W64" s="281"/>
      <c r="X64" s="276"/>
    </row>
    <row r="65" spans="1:24" s="283" customFormat="1" ht="20.25">
      <c r="A65" s="274">
        <v>18</v>
      </c>
      <c r="B65" s="284"/>
      <c r="C65" s="276"/>
      <c r="D65" s="276"/>
      <c r="E65" s="276"/>
      <c r="F65" s="276" t="s">
        <v>264</v>
      </c>
      <c r="G65" s="276"/>
      <c r="H65" s="276"/>
      <c r="I65" s="276"/>
      <c r="J65" s="280" t="s">
        <v>267</v>
      </c>
      <c r="K65" s="297">
        <v>25000</v>
      </c>
      <c r="L65" s="280" t="s">
        <v>266</v>
      </c>
      <c r="M65" s="276"/>
      <c r="N65" s="276"/>
      <c r="O65" s="276"/>
      <c r="P65" s="276"/>
      <c r="Q65" s="277" t="s">
        <v>10</v>
      </c>
      <c r="R65" s="276"/>
      <c r="S65" s="276" t="s">
        <v>246</v>
      </c>
      <c r="T65" s="276">
        <v>1</v>
      </c>
      <c r="U65" s="276"/>
      <c r="V65" s="281"/>
      <c r="W65" s="281"/>
      <c r="X65" s="276"/>
    </row>
    <row r="66" spans="1:24" s="283" customFormat="1" ht="37.5">
      <c r="A66" s="274">
        <v>19</v>
      </c>
      <c r="B66" s="284"/>
      <c r="C66" s="276"/>
      <c r="D66" s="276"/>
      <c r="E66" s="276"/>
      <c r="F66" s="276" t="s">
        <v>52</v>
      </c>
      <c r="G66" s="276"/>
      <c r="H66" s="276"/>
      <c r="I66" s="276"/>
      <c r="J66" s="298" t="s">
        <v>268</v>
      </c>
      <c r="K66" s="297">
        <v>3610000</v>
      </c>
      <c r="L66" s="280" t="s">
        <v>269</v>
      </c>
      <c r="M66" s="276"/>
      <c r="N66" s="276"/>
      <c r="O66" s="276"/>
      <c r="P66" s="277" t="s">
        <v>10</v>
      </c>
      <c r="Q66" s="276"/>
      <c r="R66" s="276"/>
      <c r="S66" s="276" t="s">
        <v>246</v>
      </c>
      <c r="T66" s="276">
        <v>1</v>
      </c>
      <c r="U66" s="276"/>
      <c r="V66" s="281"/>
      <c r="W66" s="281"/>
      <c r="X66" s="276"/>
    </row>
    <row r="67" spans="1:24" s="283" customFormat="1" ht="20.25">
      <c r="A67" s="274">
        <v>20</v>
      </c>
      <c r="B67" s="284"/>
      <c r="C67" s="276"/>
      <c r="D67" s="276"/>
      <c r="E67" s="276"/>
      <c r="F67" s="276" t="s">
        <v>52</v>
      </c>
      <c r="G67" s="276"/>
      <c r="H67" s="276"/>
      <c r="I67" s="276"/>
      <c r="J67" s="280" t="s">
        <v>270</v>
      </c>
      <c r="K67" s="297">
        <v>150000</v>
      </c>
      <c r="L67" s="280" t="s">
        <v>271</v>
      </c>
      <c r="M67" s="276"/>
      <c r="N67" s="276"/>
      <c r="O67" s="276"/>
      <c r="P67" s="276"/>
      <c r="Q67" s="277" t="s">
        <v>10</v>
      </c>
      <c r="R67" s="276"/>
      <c r="S67" s="276" t="s">
        <v>246</v>
      </c>
      <c r="T67" s="276">
        <v>1</v>
      </c>
      <c r="U67" s="276"/>
      <c r="V67" s="281"/>
      <c r="W67" s="281"/>
      <c r="X67" s="276"/>
    </row>
    <row r="68" spans="1:24" s="283" customFormat="1" ht="20.25">
      <c r="A68" s="274">
        <v>21</v>
      </c>
      <c r="B68" s="284"/>
      <c r="C68" s="276"/>
      <c r="D68" s="276"/>
      <c r="E68" s="276"/>
      <c r="F68" s="276" t="s">
        <v>52</v>
      </c>
      <c r="G68" s="276"/>
      <c r="H68" s="276"/>
      <c r="I68" s="276"/>
      <c r="J68" s="280" t="s">
        <v>272</v>
      </c>
      <c r="K68" s="297">
        <v>400000</v>
      </c>
      <c r="L68" s="280" t="s">
        <v>271</v>
      </c>
      <c r="M68" s="276"/>
      <c r="N68" s="276"/>
      <c r="O68" s="276"/>
      <c r="P68" s="276"/>
      <c r="Q68" s="277" t="s">
        <v>10</v>
      </c>
      <c r="R68" s="276"/>
      <c r="S68" s="276" t="s">
        <v>246</v>
      </c>
      <c r="T68" s="276">
        <v>1</v>
      </c>
      <c r="U68" s="276"/>
      <c r="V68" s="281"/>
      <c r="W68" s="281"/>
      <c r="X68" s="276"/>
    </row>
    <row r="69" spans="1:24" s="283" customFormat="1" ht="37.5">
      <c r="A69" s="274">
        <v>22</v>
      </c>
      <c r="B69" s="284"/>
      <c r="C69" s="276"/>
      <c r="D69" s="276" t="s">
        <v>52</v>
      </c>
      <c r="E69" s="276"/>
      <c r="F69" s="276"/>
      <c r="G69" s="276"/>
      <c r="H69" s="276"/>
      <c r="I69" s="276"/>
      <c r="J69" s="298" t="s">
        <v>273</v>
      </c>
      <c r="K69" s="297">
        <v>750000</v>
      </c>
      <c r="L69" s="280" t="s">
        <v>269</v>
      </c>
      <c r="M69" s="276"/>
      <c r="N69" s="276"/>
      <c r="O69" s="276"/>
      <c r="P69" s="277" t="s">
        <v>10</v>
      </c>
      <c r="Q69" s="276"/>
      <c r="R69" s="276"/>
      <c r="S69" s="276" t="s">
        <v>246</v>
      </c>
      <c r="T69" s="276">
        <v>1</v>
      </c>
      <c r="U69" s="276"/>
      <c r="V69" s="281"/>
      <c r="W69" s="281"/>
      <c r="X69" s="276"/>
    </row>
    <row r="70" spans="1:24" s="283" customFormat="1" ht="56.25">
      <c r="A70" s="274">
        <v>23</v>
      </c>
      <c r="B70" s="284"/>
      <c r="C70" s="276"/>
      <c r="D70" s="276"/>
      <c r="E70" s="276"/>
      <c r="F70" s="276" t="s">
        <v>52</v>
      </c>
      <c r="G70" s="276"/>
      <c r="H70" s="276"/>
      <c r="I70" s="276"/>
      <c r="J70" s="299" t="s">
        <v>274</v>
      </c>
      <c r="K70" s="297">
        <v>360000</v>
      </c>
      <c r="L70" s="280" t="s">
        <v>271</v>
      </c>
      <c r="M70" s="276"/>
      <c r="N70" s="276"/>
      <c r="O70" s="276"/>
      <c r="P70" s="276"/>
      <c r="Q70" s="277" t="s">
        <v>10</v>
      </c>
      <c r="R70" s="276"/>
      <c r="S70" s="276" t="s">
        <v>246</v>
      </c>
      <c r="T70" s="276">
        <v>3</v>
      </c>
      <c r="U70" s="276"/>
      <c r="V70" s="281"/>
      <c r="W70" s="281"/>
      <c r="X70" s="276"/>
    </row>
    <row r="71" spans="1:24" s="283" customFormat="1" ht="20.25">
      <c r="A71" s="274">
        <v>24</v>
      </c>
      <c r="B71" s="284"/>
      <c r="C71" s="276"/>
      <c r="D71" s="276"/>
      <c r="E71" s="276"/>
      <c r="F71" s="276" t="s">
        <v>52</v>
      </c>
      <c r="G71" s="276"/>
      <c r="H71" s="276"/>
      <c r="I71" s="276"/>
      <c r="J71" s="299" t="s">
        <v>275</v>
      </c>
      <c r="K71" s="297">
        <v>75000</v>
      </c>
      <c r="L71" s="280" t="s">
        <v>271</v>
      </c>
      <c r="M71" s="276"/>
      <c r="N71" s="276"/>
      <c r="O71" s="276"/>
      <c r="P71" s="276"/>
      <c r="Q71" s="277" t="s">
        <v>10</v>
      </c>
      <c r="R71" s="276"/>
      <c r="S71" s="276" t="s">
        <v>246</v>
      </c>
      <c r="T71" s="276">
        <v>2</v>
      </c>
      <c r="U71" s="276">
        <v>1</v>
      </c>
      <c r="V71" s="281"/>
      <c r="W71" s="281"/>
      <c r="X71" s="276"/>
    </row>
    <row r="72" spans="1:24" s="283" customFormat="1" ht="20.25">
      <c r="A72" s="274">
        <v>25</v>
      </c>
      <c r="B72" s="284"/>
      <c r="C72" s="276"/>
      <c r="D72" s="276"/>
      <c r="E72" s="276"/>
      <c r="F72" s="276" t="s">
        <v>52</v>
      </c>
      <c r="G72" s="276"/>
      <c r="H72" s="276"/>
      <c r="I72" s="276"/>
      <c r="J72" s="300" t="s">
        <v>276</v>
      </c>
      <c r="K72" s="301">
        <v>375000</v>
      </c>
      <c r="L72" s="280" t="s">
        <v>277</v>
      </c>
      <c r="M72" s="276"/>
      <c r="N72" s="276"/>
      <c r="O72" s="276"/>
      <c r="P72" s="276"/>
      <c r="Q72" s="277" t="s">
        <v>10</v>
      </c>
      <c r="R72" s="276"/>
      <c r="S72" s="276" t="s">
        <v>246</v>
      </c>
      <c r="T72" s="300">
        <v>1</v>
      </c>
      <c r="U72" s="300"/>
      <c r="V72" s="302"/>
      <c r="W72" s="302"/>
      <c r="X72" s="300"/>
    </row>
    <row r="73" spans="1:24" s="283" customFormat="1" ht="20.25">
      <c r="A73" s="274">
        <v>26</v>
      </c>
      <c r="B73" s="284"/>
      <c r="C73" s="276"/>
      <c r="D73" s="276"/>
      <c r="E73" s="276"/>
      <c r="F73" s="276" t="s">
        <v>52</v>
      </c>
      <c r="G73" s="276"/>
      <c r="H73" s="276"/>
      <c r="I73" s="276"/>
      <c r="J73" s="300" t="s">
        <v>63</v>
      </c>
      <c r="K73" s="301">
        <v>260000</v>
      </c>
      <c r="L73" s="280" t="s">
        <v>277</v>
      </c>
      <c r="M73" s="276"/>
      <c r="N73" s="276"/>
      <c r="O73" s="276"/>
      <c r="P73" s="276"/>
      <c r="Q73" s="277" t="s">
        <v>10</v>
      </c>
      <c r="R73" s="276"/>
      <c r="S73" s="276" t="s">
        <v>246</v>
      </c>
      <c r="T73" s="300">
        <v>1</v>
      </c>
      <c r="U73" s="300"/>
      <c r="V73" s="302"/>
      <c r="W73" s="302"/>
      <c r="X73" s="300"/>
    </row>
    <row r="74" spans="1:24" s="283" customFormat="1" ht="20.25">
      <c r="A74" s="274">
        <v>27</v>
      </c>
      <c r="B74" s="284"/>
      <c r="C74" s="276"/>
      <c r="D74" s="276"/>
      <c r="E74" s="276"/>
      <c r="F74" s="276"/>
      <c r="G74" s="276" t="s">
        <v>52</v>
      </c>
      <c r="H74" s="276"/>
      <c r="I74" s="276"/>
      <c r="J74" s="300" t="s">
        <v>278</v>
      </c>
      <c r="K74" s="301">
        <v>270000</v>
      </c>
      <c r="L74" s="280" t="s">
        <v>277</v>
      </c>
      <c r="M74" s="276"/>
      <c r="N74" s="276"/>
      <c r="O74" s="276"/>
      <c r="P74" s="276"/>
      <c r="Q74" s="277" t="s">
        <v>10</v>
      </c>
      <c r="R74" s="276"/>
      <c r="S74" s="276" t="s">
        <v>246</v>
      </c>
      <c r="T74" s="300">
        <v>1</v>
      </c>
      <c r="U74" s="300"/>
      <c r="V74" s="302"/>
      <c r="W74" s="302"/>
      <c r="X74" s="300"/>
    </row>
    <row r="75" spans="1:24" s="283" customFormat="1" ht="37.5">
      <c r="A75" s="274">
        <v>28</v>
      </c>
      <c r="B75" s="284"/>
      <c r="C75" s="276"/>
      <c r="D75" s="276" t="s">
        <v>52</v>
      </c>
      <c r="E75" s="276"/>
      <c r="F75" s="276"/>
      <c r="G75" s="276"/>
      <c r="H75" s="276"/>
      <c r="I75" s="276"/>
      <c r="J75" s="298" t="s">
        <v>279</v>
      </c>
      <c r="K75" s="279">
        <v>260000</v>
      </c>
      <c r="L75" s="280" t="s">
        <v>280</v>
      </c>
      <c r="M75" s="276"/>
      <c r="N75" s="276"/>
      <c r="O75" s="276"/>
      <c r="P75" s="276"/>
      <c r="Q75" s="277" t="s">
        <v>10</v>
      </c>
      <c r="R75" s="276"/>
      <c r="S75" s="276" t="s">
        <v>246</v>
      </c>
      <c r="T75" s="276">
        <v>1</v>
      </c>
      <c r="U75" s="276"/>
      <c r="V75" s="281"/>
      <c r="W75" s="281"/>
      <c r="X75" s="276"/>
    </row>
    <row r="76" spans="1:24" s="283" customFormat="1" ht="20.25">
      <c r="A76" s="274">
        <v>29</v>
      </c>
      <c r="B76" s="284"/>
      <c r="C76" s="276"/>
      <c r="D76" s="276"/>
      <c r="E76" s="276"/>
      <c r="F76" s="276" t="s">
        <v>52</v>
      </c>
      <c r="G76" s="276"/>
      <c r="H76" s="276"/>
      <c r="I76" s="276"/>
      <c r="J76" s="280" t="s">
        <v>281</v>
      </c>
      <c r="K76" s="279">
        <v>150000</v>
      </c>
      <c r="L76" s="280" t="s">
        <v>280</v>
      </c>
      <c r="M76" s="276"/>
      <c r="N76" s="276"/>
      <c r="O76" s="276"/>
      <c r="P76" s="276"/>
      <c r="Q76" s="277" t="s">
        <v>10</v>
      </c>
      <c r="R76" s="276"/>
      <c r="S76" s="276" t="s">
        <v>246</v>
      </c>
      <c r="T76" s="276">
        <v>1</v>
      </c>
      <c r="U76" s="276"/>
      <c r="V76" s="281"/>
      <c r="W76" s="281"/>
      <c r="X76" s="276"/>
    </row>
    <row r="77" spans="1:24" s="283" customFormat="1" ht="37.5">
      <c r="A77" s="274">
        <v>30</v>
      </c>
      <c r="B77" s="284"/>
      <c r="C77" s="276"/>
      <c r="D77" s="276" t="s">
        <v>52</v>
      </c>
      <c r="E77" s="276"/>
      <c r="F77" s="276"/>
      <c r="G77" s="276"/>
      <c r="H77" s="276"/>
      <c r="I77" s="276"/>
      <c r="J77" s="298" t="s">
        <v>282</v>
      </c>
      <c r="K77" s="279">
        <v>175000</v>
      </c>
      <c r="L77" s="280" t="s">
        <v>280</v>
      </c>
      <c r="M77" s="276"/>
      <c r="N77" s="276"/>
      <c r="O77" s="276"/>
      <c r="P77" s="276"/>
      <c r="Q77" s="277" t="s">
        <v>10</v>
      </c>
      <c r="R77" s="276"/>
      <c r="S77" s="276" t="s">
        <v>246</v>
      </c>
      <c r="T77" s="276">
        <v>1</v>
      </c>
      <c r="U77" s="276"/>
      <c r="V77" s="281"/>
      <c r="W77" s="281"/>
      <c r="X77" s="276"/>
    </row>
    <row r="78" spans="1:24" s="283" customFormat="1" ht="20.25">
      <c r="A78" s="274">
        <v>31</v>
      </c>
      <c r="B78" s="284"/>
      <c r="C78" s="276"/>
      <c r="D78" s="276" t="s">
        <v>52</v>
      </c>
      <c r="E78" s="276"/>
      <c r="F78" s="276"/>
      <c r="G78" s="276"/>
      <c r="H78" s="276"/>
      <c r="I78" s="276"/>
      <c r="J78" s="300" t="s">
        <v>283</v>
      </c>
      <c r="K78" s="301">
        <v>215000</v>
      </c>
      <c r="L78" s="280" t="s">
        <v>277</v>
      </c>
      <c r="M78" s="276"/>
      <c r="N78" s="276"/>
      <c r="O78" s="276"/>
      <c r="P78" s="276"/>
      <c r="Q78" s="277" t="s">
        <v>10</v>
      </c>
      <c r="R78" s="276"/>
      <c r="S78" s="276" t="s">
        <v>246</v>
      </c>
      <c r="T78" s="300">
        <v>1</v>
      </c>
      <c r="U78" s="300"/>
      <c r="V78" s="302"/>
      <c r="W78" s="302"/>
      <c r="X78" s="300"/>
    </row>
    <row r="79" spans="1:24" s="283" customFormat="1" ht="20.25">
      <c r="A79" s="274">
        <v>32</v>
      </c>
      <c r="B79" s="284"/>
      <c r="C79" s="276"/>
      <c r="D79" s="276"/>
      <c r="E79" s="276"/>
      <c r="F79" s="276"/>
      <c r="G79" s="276" t="s">
        <v>52</v>
      </c>
      <c r="H79" s="276"/>
      <c r="I79" s="276"/>
      <c r="J79" s="300" t="s">
        <v>284</v>
      </c>
      <c r="K79" s="301">
        <v>97000</v>
      </c>
      <c r="L79" s="280" t="s">
        <v>277</v>
      </c>
      <c r="M79" s="276"/>
      <c r="N79" s="276"/>
      <c r="O79" s="276"/>
      <c r="P79" s="276"/>
      <c r="Q79" s="277" t="s">
        <v>10</v>
      </c>
      <c r="R79" s="276"/>
      <c r="S79" s="276" t="s">
        <v>246</v>
      </c>
      <c r="T79" s="300">
        <v>1</v>
      </c>
      <c r="U79" s="300"/>
      <c r="V79" s="302"/>
      <c r="W79" s="302"/>
      <c r="X79" s="300"/>
    </row>
    <row r="80" spans="1:24" s="283" customFormat="1" ht="20.25">
      <c r="A80" s="274">
        <v>33</v>
      </c>
      <c r="B80" s="284"/>
      <c r="C80" s="276"/>
      <c r="D80" s="276" t="s">
        <v>52</v>
      </c>
      <c r="E80" s="276"/>
      <c r="F80" s="276"/>
      <c r="G80" s="276"/>
      <c r="H80" s="276"/>
      <c r="I80" s="276"/>
      <c r="J80" s="300" t="s">
        <v>285</v>
      </c>
      <c r="K80" s="301">
        <v>38000</v>
      </c>
      <c r="L80" s="280" t="s">
        <v>277</v>
      </c>
      <c r="M80" s="276"/>
      <c r="N80" s="276"/>
      <c r="O80" s="276"/>
      <c r="P80" s="276"/>
      <c r="Q80" s="277" t="s">
        <v>10</v>
      </c>
      <c r="R80" s="276"/>
      <c r="S80" s="276" t="s">
        <v>246</v>
      </c>
      <c r="T80" s="300">
        <v>1</v>
      </c>
      <c r="U80" s="300"/>
      <c r="V80" s="302"/>
      <c r="W80" s="302"/>
      <c r="X80" s="300"/>
    </row>
    <row r="81" spans="1:24" s="283" customFormat="1" ht="37.5">
      <c r="A81" s="274">
        <v>34</v>
      </c>
      <c r="B81" s="284"/>
      <c r="C81" s="276"/>
      <c r="D81" s="276"/>
      <c r="E81" s="276"/>
      <c r="F81" s="276"/>
      <c r="G81" s="276" t="s">
        <v>52</v>
      </c>
      <c r="H81" s="276"/>
      <c r="I81" s="276"/>
      <c r="J81" s="298" t="s">
        <v>286</v>
      </c>
      <c r="K81" s="297">
        <v>860000</v>
      </c>
      <c r="L81" s="280" t="s">
        <v>287</v>
      </c>
      <c r="M81" s="276"/>
      <c r="N81" s="276"/>
      <c r="O81" s="276"/>
      <c r="P81" s="276"/>
      <c r="Q81" s="277" t="s">
        <v>10</v>
      </c>
      <c r="R81" s="276"/>
      <c r="S81" s="276" t="s">
        <v>246</v>
      </c>
      <c r="T81" s="276">
        <v>1</v>
      </c>
      <c r="U81" s="276"/>
      <c r="V81" s="281"/>
      <c r="W81" s="281"/>
      <c r="X81" s="276"/>
    </row>
    <row r="82" spans="1:24" s="283" customFormat="1" ht="20.25">
      <c r="A82" s="274">
        <v>35</v>
      </c>
      <c r="B82" s="284"/>
      <c r="C82" s="276"/>
      <c r="D82" s="276"/>
      <c r="E82" s="276"/>
      <c r="F82" s="276"/>
      <c r="G82" s="276" t="s">
        <v>52</v>
      </c>
      <c r="H82" s="276"/>
      <c r="I82" s="276"/>
      <c r="J82" s="300" t="s">
        <v>288</v>
      </c>
      <c r="K82" s="301">
        <v>54000</v>
      </c>
      <c r="L82" s="280" t="s">
        <v>277</v>
      </c>
      <c r="M82" s="276"/>
      <c r="N82" s="276"/>
      <c r="O82" s="276"/>
      <c r="P82" s="276"/>
      <c r="Q82" s="277" t="s">
        <v>10</v>
      </c>
      <c r="R82" s="276"/>
      <c r="S82" s="276" t="s">
        <v>246</v>
      </c>
      <c r="T82" s="300">
        <v>1</v>
      </c>
      <c r="U82" s="300"/>
      <c r="V82" s="302"/>
      <c r="W82" s="302"/>
      <c r="X82" s="300"/>
    </row>
    <row r="83" spans="1:24" s="283" customFormat="1" ht="20.25">
      <c r="A83" s="274">
        <v>36</v>
      </c>
      <c r="B83" s="284"/>
      <c r="C83" s="276"/>
      <c r="D83" s="276" t="s">
        <v>52</v>
      </c>
      <c r="E83" s="276"/>
      <c r="F83" s="276"/>
      <c r="G83" s="276"/>
      <c r="H83" s="276"/>
      <c r="I83" s="276"/>
      <c r="J83" s="300" t="s">
        <v>289</v>
      </c>
      <c r="K83" s="301">
        <v>65000</v>
      </c>
      <c r="L83" s="280" t="s">
        <v>277</v>
      </c>
      <c r="M83" s="276"/>
      <c r="N83" s="276"/>
      <c r="O83" s="276"/>
      <c r="P83" s="276"/>
      <c r="Q83" s="277" t="s">
        <v>10</v>
      </c>
      <c r="R83" s="276"/>
      <c r="S83" s="276" t="s">
        <v>246</v>
      </c>
      <c r="T83" s="300">
        <v>1</v>
      </c>
      <c r="U83" s="300"/>
      <c r="V83" s="302"/>
      <c r="W83" s="302"/>
      <c r="X83" s="300"/>
    </row>
    <row r="84" spans="1:24" s="283" customFormat="1" ht="20.25">
      <c r="A84" s="274">
        <v>37</v>
      </c>
      <c r="B84" s="284"/>
      <c r="C84" s="276"/>
      <c r="D84" s="276"/>
      <c r="E84" s="276"/>
      <c r="F84" s="276" t="s">
        <v>52</v>
      </c>
      <c r="G84" s="276"/>
      <c r="H84" s="276"/>
      <c r="I84" s="276"/>
      <c r="J84" s="280" t="s">
        <v>290</v>
      </c>
      <c r="K84" s="279">
        <v>150000</v>
      </c>
      <c r="L84" s="280" t="s">
        <v>280</v>
      </c>
      <c r="M84" s="276"/>
      <c r="N84" s="276"/>
      <c r="O84" s="276"/>
      <c r="P84" s="276"/>
      <c r="Q84" s="277" t="s">
        <v>10</v>
      </c>
      <c r="R84" s="276"/>
      <c r="S84" s="276" t="s">
        <v>246</v>
      </c>
      <c r="T84" s="276">
        <v>1</v>
      </c>
      <c r="U84" s="276"/>
      <c r="V84" s="281"/>
      <c r="W84" s="281"/>
      <c r="X84" s="276"/>
    </row>
    <row r="85" spans="1:24" s="283" customFormat="1" ht="75">
      <c r="A85" s="274">
        <v>38</v>
      </c>
      <c r="B85" s="284"/>
      <c r="C85" s="276"/>
      <c r="D85" s="276"/>
      <c r="E85" s="276"/>
      <c r="F85" s="276" t="s">
        <v>52</v>
      </c>
      <c r="G85" s="276"/>
      <c r="H85" s="276"/>
      <c r="I85" s="276"/>
      <c r="J85" s="298" t="s">
        <v>291</v>
      </c>
      <c r="K85" s="304">
        <v>300000</v>
      </c>
      <c r="L85" s="280" t="s">
        <v>280</v>
      </c>
      <c r="M85" s="276"/>
      <c r="N85" s="276"/>
      <c r="O85" s="276"/>
      <c r="P85" s="276"/>
      <c r="Q85" s="277" t="s">
        <v>10</v>
      </c>
      <c r="R85" s="276"/>
      <c r="S85" s="276" t="s">
        <v>246</v>
      </c>
      <c r="T85" s="276">
        <v>1</v>
      </c>
      <c r="U85" s="276"/>
      <c r="V85" s="281"/>
      <c r="W85" s="281"/>
      <c r="X85" s="276"/>
    </row>
    <row r="86" spans="1:24" s="283" customFormat="1" ht="37.5">
      <c r="A86" s="274">
        <v>39</v>
      </c>
      <c r="B86" s="284"/>
      <c r="C86" s="276"/>
      <c r="D86" s="276" t="s">
        <v>52</v>
      </c>
      <c r="E86" s="276"/>
      <c r="F86" s="276"/>
      <c r="G86" s="276"/>
      <c r="H86" s="276"/>
      <c r="I86" s="276"/>
      <c r="J86" s="298" t="s">
        <v>292</v>
      </c>
      <c r="K86" s="279">
        <v>150000</v>
      </c>
      <c r="L86" s="280" t="s">
        <v>280</v>
      </c>
      <c r="M86" s="276"/>
      <c r="N86" s="276"/>
      <c r="O86" s="276"/>
      <c r="P86" s="276"/>
      <c r="Q86" s="277" t="s">
        <v>10</v>
      </c>
      <c r="R86" s="276"/>
      <c r="S86" s="276" t="s">
        <v>246</v>
      </c>
      <c r="T86" s="276">
        <v>1</v>
      </c>
      <c r="U86" s="276"/>
      <c r="V86" s="281"/>
      <c r="W86" s="281"/>
      <c r="X86" s="276"/>
    </row>
    <row r="87" spans="1:24" s="283" customFormat="1" ht="56.25">
      <c r="A87" s="274">
        <v>40</v>
      </c>
      <c r="B87" s="284"/>
      <c r="C87" s="276"/>
      <c r="D87" s="276"/>
      <c r="E87" s="276"/>
      <c r="F87" s="276"/>
      <c r="G87" s="276"/>
      <c r="H87" s="276" t="s">
        <v>52</v>
      </c>
      <c r="I87" s="276"/>
      <c r="J87" s="305" t="s">
        <v>293</v>
      </c>
      <c r="K87" s="279">
        <v>787000</v>
      </c>
      <c r="L87" s="280" t="s">
        <v>294</v>
      </c>
      <c r="M87" s="276"/>
      <c r="N87" s="276"/>
      <c r="O87" s="276"/>
      <c r="P87" s="276"/>
      <c r="Q87" s="277" t="s">
        <v>10</v>
      </c>
      <c r="R87" s="276"/>
      <c r="S87" s="276" t="s">
        <v>246</v>
      </c>
      <c r="T87" s="276">
        <v>1</v>
      </c>
      <c r="U87" s="276"/>
      <c r="V87" s="281"/>
      <c r="W87" s="281"/>
      <c r="X87" s="276"/>
    </row>
    <row r="88" spans="1:24" s="283" customFormat="1" ht="20.25">
      <c r="A88" s="274">
        <v>41</v>
      </c>
      <c r="B88" s="284"/>
      <c r="C88" s="276"/>
      <c r="D88" s="276" t="s">
        <v>52</v>
      </c>
      <c r="E88" s="276"/>
      <c r="F88" s="276"/>
      <c r="G88" s="276"/>
      <c r="H88" s="276"/>
      <c r="I88" s="276"/>
      <c r="J88" s="298" t="s">
        <v>257</v>
      </c>
      <c r="K88" s="279">
        <v>11000</v>
      </c>
      <c r="L88" s="280" t="s">
        <v>280</v>
      </c>
      <c r="M88" s="276"/>
      <c r="N88" s="276"/>
      <c r="O88" s="276"/>
      <c r="P88" s="276"/>
      <c r="Q88" s="277" t="s">
        <v>10</v>
      </c>
      <c r="R88" s="276"/>
      <c r="S88" s="276" t="s">
        <v>246</v>
      </c>
      <c r="T88" s="276">
        <v>1</v>
      </c>
      <c r="U88" s="276"/>
      <c r="V88" s="281"/>
      <c r="W88" s="281"/>
      <c r="X88" s="276"/>
    </row>
    <row r="89" spans="1:24" s="283" customFormat="1" ht="37.5">
      <c r="A89" s="274">
        <v>42</v>
      </c>
      <c r="B89" s="284"/>
      <c r="C89" s="276"/>
      <c r="D89" s="276"/>
      <c r="E89" s="276"/>
      <c r="F89" s="276" t="s">
        <v>52</v>
      </c>
      <c r="G89" s="276"/>
      <c r="H89" s="276"/>
      <c r="I89" s="276"/>
      <c r="J89" s="298" t="s">
        <v>295</v>
      </c>
      <c r="K89" s="279">
        <v>25000</v>
      </c>
      <c r="L89" s="280" t="s">
        <v>280</v>
      </c>
      <c r="M89" s="276"/>
      <c r="N89" s="276"/>
      <c r="O89" s="276"/>
      <c r="P89" s="276"/>
      <c r="Q89" s="277" t="s">
        <v>10</v>
      </c>
      <c r="R89" s="276"/>
      <c r="S89" s="276" t="s">
        <v>246</v>
      </c>
      <c r="T89" s="276">
        <v>1</v>
      </c>
      <c r="U89" s="276"/>
      <c r="V89" s="281"/>
      <c r="W89" s="281"/>
      <c r="X89" s="276"/>
    </row>
    <row r="90" spans="1:24" s="283" customFormat="1" ht="20.25">
      <c r="A90" s="274">
        <v>43</v>
      </c>
      <c r="B90" s="284"/>
      <c r="C90" s="276"/>
      <c r="D90" s="276"/>
      <c r="E90" s="276"/>
      <c r="F90" s="276" t="s">
        <v>52</v>
      </c>
      <c r="G90" s="276"/>
      <c r="H90" s="276"/>
      <c r="I90" s="276"/>
      <c r="J90" s="299" t="s">
        <v>281</v>
      </c>
      <c r="K90" s="297">
        <v>150000</v>
      </c>
      <c r="L90" s="280" t="s">
        <v>271</v>
      </c>
      <c r="M90" s="276"/>
      <c r="N90" s="276"/>
      <c r="O90" s="276"/>
      <c r="P90" s="276"/>
      <c r="Q90" s="277" t="s">
        <v>10</v>
      </c>
      <c r="R90" s="276"/>
      <c r="S90" s="276" t="s">
        <v>246</v>
      </c>
      <c r="T90" s="276">
        <v>1</v>
      </c>
      <c r="U90" s="276"/>
      <c r="V90" s="281"/>
      <c r="W90" s="281"/>
      <c r="X90" s="276"/>
    </row>
    <row r="91" spans="1:24" s="283" customFormat="1" ht="37.5">
      <c r="A91" s="274">
        <v>44</v>
      </c>
      <c r="B91" s="284"/>
      <c r="C91" s="276"/>
      <c r="D91" s="276"/>
      <c r="E91" s="276"/>
      <c r="F91" s="276" t="s">
        <v>52</v>
      </c>
      <c r="G91" s="276"/>
      <c r="H91" s="276"/>
      <c r="I91" s="276"/>
      <c r="J91" s="299" t="s">
        <v>292</v>
      </c>
      <c r="K91" s="297">
        <v>450000</v>
      </c>
      <c r="L91" s="280" t="s">
        <v>271</v>
      </c>
      <c r="M91" s="276"/>
      <c r="N91" s="276"/>
      <c r="O91" s="276"/>
      <c r="P91" s="276"/>
      <c r="Q91" s="277" t="s">
        <v>10</v>
      </c>
      <c r="R91" s="276"/>
      <c r="S91" s="276" t="s">
        <v>246</v>
      </c>
      <c r="T91" s="276">
        <v>1</v>
      </c>
      <c r="U91" s="276"/>
      <c r="V91" s="281">
        <v>2</v>
      </c>
      <c r="W91" s="281"/>
      <c r="X91" s="276"/>
    </row>
    <row r="92" spans="1:24" s="315" customFormat="1" ht="20.25">
      <c r="A92" s="306"/>
      <c r="B92" s="307"/>
      <c r="C92" s="308"/>
      <c r="D92" s="308"/>
      <c r="E92" s="308"/>
      <c r="F92" s="308"/>
      <c r="G92" s="308"/>
      <c r="H92" s="308"/>
      <c r="I92" s="308"/>
      <c r="J92" s="309"/>
      <c r="K92" s="310">
        <v>0</v>
      </c>
      <c r="L92" s="311"/>
      <c r="M92" s="308"/>
      <c r="N92" s="308"/>
      <c r="O92" s="308"/>
      <c r="P92" s="308"/>
      <c r="Q92" s="312"/>
      <c r="R92" s="308"/>
      <c r="S92" s="308"/>
      <c r="T92" s="313"/>
      <c r="U92" s="313"/>
      <c r="V92" s="314"/>
      <c r="W92" s="314"/>
      <c r="X92" s="314"/>
    </row>
    <row r="93" spans="1:24" s="283" customFormat="1" ht="23.25" customHeight="1">
      <c r="A93" s="274">
        <v>45</v>
      </c>
      <c r="B93" s="277" t="s">
        <v>10</v>
      </c>
      <c r="C93" s="276"/>
      <c r="D93" s="276"/>
      <c r="E93" s="276"/>
      <c r="F93" s="276"/>
      <c r="G93" s="276"/>
      <c r="H93" s="276"/>
      <c r="I93" s="276"/>
      <c r="J93" s="280" t="s">
        <v>296</v>
      </c>
      <c r="K93" s="279">
        <v>480000</v>
      </c>
      <c r="L93" s="280" t="s">
        <v>245</v>
      </c>
      <c r="M93" s="277" t="s">
        <v>10</v>
      </c>
      <c r="N93" s="276"/>
      <c r="O93" s="276"/>
      <c r="P93" s="276"/>
      <c r="Q93" s="276"/>
      <c r="R93" s="276"/>
      <c r="S93" s="276" t="s">
        <v>246</v>
      </c>
      <c r="T93" s="282"/>
      <c r="U93" s="282">
        <v>1</v>
      </c>
      <c r="V93" s="281"/>
      <c r="W93" s="281"/>
      <c r="X93" s="282">
        <v>1</v>
      </c>
    </row>
    <row r="94" spans="1:24" s="283" customFormat="1" ht="23.25" customHeight="1">
      <c r="A94" s="274">
        <v>46</v>
      </c>
      <c r="B94" s="275"/>
      <c r="C94" s="276"/>
      <c r="D94" s="277" t="s">
        <v>10</v>
      </c>
      <c r="E94" s="276"/>
      <c r="F94" s="276"/>
      <c r="G94" s="276"/>
      <c r="H94" s="276"/>
      <c r="I94" s="276"/>
      <c r="J94" s="280" t="s">
        <v>297</v>
      </c>
      <c r="K94" s="279">
        <v>150000</v>
      </c>
      <c r="L94" s="280" t="s">
        <v>245</v>
      </c>
      <c r="M94" s="277" t="s">
        <v>10</v>
      </c>
      <c r="N94" s="276"/>
      <c r="O94" s="276"/>
      <c r="P94" s="276"/>
      <c r="Q94" s="276"/>
      <c r="R94" s="276"/>
      <c r="S94" s="276" t="s">
        <v>246</v>
      </c>
      <c r="T94" s="282"/>
      <c r="U94" s="282">
        <v>1</v>
      </c>
      <c r="V94" s="281"/>
      <c r="W94" s="281"/>
      <c r="X94" s="282"/>
    </row>
    <row r="95" spans="1:24" s="283" customFormat="1" ht="19.5" customHeight="1">
      <c r="A95" s="274">
        <v>47</v>
      </c>
      <c r="B95" s="284"/>
      <c r="C95" s="276"/>
      <c r="D95" s="276"/>
      <c r="E95" s="276"/>
      <c r="F95" s="276"/>
      <c r="G95" s="276"/>
      <c r="H95" s="276" t="s">
        <v>52</v>
      </c>
      <c r="I95" s="276"/>
      <c r="J95" s="285" t="s">
        <v>298</v>
      </c>
      <c r="K95" s="279">
        <v>688000</v>
      </c>
      <c r="L95" s="280" t="s">
        <v>252</v>
      </c>
      <c r="M95" s="276"/>
      <c r="N95" s="276"/>
      <c r="O95" s="276"/>
      <c r="P95" s="276"/>
      <c r="Q95" s="277" t="s">
        <v>10</v>
      </c>
      <c r="R95" s="276"/>
      <c r="S95" s="276" t="s">
        <v>246</v>
      </c>
      <c r="T95" s="276"/>
      <c r="U95" s="276">
        <v>1</v>
      </c>
      <c r="V95" s="281"/>
      <c r="W95" s="281"/>
      <c r="X95" s="276"/>
    </row>
    <row r="96" spans="1:24" s="283" customFormat="1" ht="19.5" customHeight="1">
      <c r="A96" s="274">
        <v>48</v>
      </c>
      <c r="B96" s="284"/>
      <c r="C96" s="276"/>
      <c r="D96" s="276" t="s">
        <v>52</v>
      </c>
      <c r="E96" s="276"/>
      <c r="F96" s="276"/>
      <c r="G96" s="276"/>
      <c r="H96" s="276"/>
      <c r="I96" s="276"/>
      <c r="J96" s="285" t="s">
        <v>265</v>
      </c>
      <c r="K96" s="279">
        <v>460000</v>
      </c>
      <c r="L96" s="280" t="s">
        <v>252</v>
      </c>
      <c r="M96" s="276"/>
      <c r="N96" s="276"/>
      <c r="O96" s="276"/>
      <c r="P96" s="276"/>
      <c r="Q96" s="277" t="s">
        <v>10</v>
      </c>
      <c r="R96" s="276"/>
      <c r="S96" s="276" t="s">
        <v>246</v>
      </c>
      <c r="T96" s="276"/>
      <c r="U96" s="276">
        <v>1</v>
      </c>
      <c r="V96" s="281"/>
      <c r="W96" s="281"/>
      <c r="X96" s="276"/>
    </row>
    <row r="97" spans="1:24" s="283" customFormat="1" ht="40.5">
      <c r="A97" s="274">
        <v>49</v>
      </c>
      <c r="B97" s="287"/>
      <c r="C97" s="287"/>
      <c r="D97" s="287"/>
      <c r="E97" s="287"/>
      <c r="F97" s="287" t="s">
        <v>52</v>
      </c>
      <c r="G97" s="287"/>
      <c r="H97" s="287"/>
      <c r="I97" s="287"/>
      <c r="J97" s="288" t="s">
        <v>87</v>
      </c>
      <c r="K97" s="289">
        <v>310000</v>
      </c>
      <c r="L97" s="290" t="s">
        <v>259</v>
      </c>
      <c r="M97" s="287"/>
      <c r="N97" s="287"/>
      <c r="O97" s="287"/>
      <c r="P97" s="287"/>
      <c r="Q97" s="277" t="s">
        <v>10</v>
      </c>
      <c r="R97" s="287"/>
      <c r="S97" s="276" t="s">
        <v>246</v>
      </c>
      <c r="T97" s="291"/>
      <c r="U97" s="286">
        <v>1</v>
      </c>
      <c r="V97" s="292"/>
      <c r="W97" s="292"/>
      <c r="X97" s="291"/>
    </row>
    <row r="98" spans="1:24" s="283" customFormat="1" ht="20.25">
      <c r="A98" s="274">
        <v>50</v>
      </c>
      <c r="B98" s="284"/>
      <c r="C98" s="276"/>
      <c r="D98" s="276"/>
      <c r="E98" s="276"/>
      <c r="F98" s="276" t="s">
        <v>52</v>
      </c>
      <c r="G98" s="276"/>
      <c r="H98" s="276"/>
      <c r="I98" s="276"/>
      <c r="J98" s="293" t="s">
        <v>261</v>
      </c>
      <c r="K98" s="294">
        <v>1750000</v>
      </c>
      <c r="L98" s="280" t="s">
        <v>271</v>
      </c>
      <c r="M98" s="276"/>
      <c r="N98" s="276"/>
      <c r="O98" s="276"/>
      <c r="P98" s="276"/>
      <c r="Q98" s="277" t="s">
        <v>10</v>
      </c>
      <c r="R98" s="276"/>
      <c r="S98" s="276" t="s">
        <v>246</v>
      </c>
      <c r="T98" s="295">
        <v>1</v>
      </c>
      <c r="U98" s="295"/>
      <c r="V98" s="296"/>
      <c r="W98" s="296"/>
      <c r="X98" s="296"/>
    </row>
    <row r="99" spans="1:24" s="283" customFormat="1" ht="40.5">
      <c r="A99" s="274">
        <v>51</v>
      </c>
      <c r="B99" s="284"/>
      <c r="C99" s="276"/>
      <c r="D99" s="276"/>
      <c r="E99" s="276"/>
      <c r="F99" s="276"/>
      <c r="G99" s="276" t="s">
        <v>52</v>
      </c>
      <c r="H99" s="276"/>
      <c r="I99" s="276"/>
      <c r="J99" s="316" t="s">
        <v>299</v>
      </c>
      <c r="K99" s="317">
        <v>550000</v>
      </c>
      <c r="L99" s="280" t="s">
        <v>262</v>
      </c>
      <c r="M99" s="276"/>
      <c r="N99" s="276"/>
      <c r="O99" s="276"/>
      <c r="P99" s="276"/>
      <c r="Q99" s="277" t="s">
        <v>10</v>
      </c>
      <c r="R99" s="276"/>
      <c r="S99" s="276" t="s">
        <v>246</v>
      </c>
      <c r="T99" s="295"/>
      <c r="U99" s="295">
        <v>1</v>
      </c>
      <c r="V99" s="296"/>
      <c r="W99" s="296"/>
      <c r="X99" s="296"/>
    </row>
    <row r="100" spans="1:24" s="283" customFormat="1" ht="23.25" customHeight="1">
      <c r="A100" s="274">
        <v>52</v>
      </c>
      <c r="B100" s="284"/>
      <c r="C100" s="276"/>
      <c r="D100" s="276" t="s">
        <v>52</v>
      </c>
      <c r="E100" s="276"/>
      <c r="F100" s="276"/>
      <c r="G100" s="276"/>
      <c r="H100" s="276"/>
      <c r="I100" s="276"/>
      <c r="J100" s="293" t="s">
        <v>300</v>
      </c>
      <c r="K100" s="294">
        <v>260000</v>
      </c>
      <c r="L100" s="280" t="s">
        <v>262</v>
      </c>
      <c r="M100" s="276"/>
      <c r="N100" s="276"/>
      <c r="O100" s="276"/>
      <c r="P100" s="276"/>
      <c r="Q100" s="277" t="s">
        <v>10</v>
      </c>
      <c r="R100" s="276"/>
      <c r="S100" s="276" t="s">
        <v>246</v>
      </c>
      <c r="T100" s="295"/>
      <c r="U100" s="295">
        <v>1</v>
      </c>
      <c r="V100" s="296"/>
      <c r="W100" s="296"/>
      <c r="X100" s="296"/>
    </row>
    <row r="101" spans="1:24" s="283" customFormat="1" ht="23.25" customHeight="1">
      <c r="A101" s="274">
        <v>53</v>
      </c>
      <c r="B101" s="275"/>
      <c r="C101" s="276"/>
      <c r="D101" s="277" t="s">
        <v>10</v>
      </c>
      <c r="E101" s="276"/>
      <c r="F101" s="276"/>
      <c r="G101" s="276"/>
      <c r="H101" s="276"/>
      <c r="I101" s="276"/>
      <c r="J101" s="280" t="s">
        <v>221</v>
      </c>
      <c r="K101" s="279">
        <v>3400000</v>
      </c>
      <c r="L101" s="280" t="s">
        <v>245</v>
      </c>
      <c r="M101" s="277" t="s">
        <v>10</v>
      </c>
      <c r="N101" s="276"/>
      <c r="O101" s="276"/>
      <c r="P101" s="276"/>
      <c r="Q101" s="276"/>
      <c r="R101" s="276"/>
      <c r="S101" s="276" t="s">
        <v>246</v>
      </c>
      <c r="T101" s="282"/>
      <c r="U101" s="282">
        <v>2</v>
      </c>
      <c r="V101" s="281"/>
      <c r="W101" s="281"/>
      <c r="X101" s="282">
        <v>2</v>
      </c>
    </row>
    <row r="102" spans="1:24" s="283" customFormat="1" ht="20.25">
      <c r="A102" s="274">
        <v>54</v>
      </c>
      <c r="B102" s="275"/>
      <c r="C102" s="276"/>
      <c r="D102" s="277" t="s">
        <v>10</v>
      </c>
      <c r="E102" s="276"/>
      <c r="F102" s="276"/>
      <c r="G102" s="276"/>
      <c r="H102" s="276"/>
      <c r="I102" s="276"/>
      <c r="J102" s="280" t="s">
        <v>301</v>
      </c>
      <c r="K102" s="279">
        <v>1400000</v>
      </c>
      <c r="L102" s="280" t="s">
        <v>245</v>
      </c>
      <c r="M102" s="277" t="s">
        <v>10</v>
      </c>
      <c r="N102" s="276"/>
      <c r="O102" s="276"/>
      <c r="P102" s="276"/>
      <c r="Q102" s="276"/>
      <c r="R102" s="276"/>
      <c r="S102" s="276" t="s">
        <v>246</v>
      </c>
      <c r="T102" s="282"/>
      <c r="U102" s="282">
        <v>1</v>
      </c>
      <c r="V102" s="281"/>
      <c r="W102" s="281"/>
      <c r="X102" s="282">
        <v>1</v>
      </c>
    </row>
    <row r="103" spans="1:24" s="283" customFormat="1" ht="23.25" customHeight="1">
      <c r="A103" s="274">
        <v>55</v>
      </c>
      <c r="B103" s="284"/>
      <c r="C103" s="276"/>
      <c r="D103" s="276"/>
      <c r="E103" s="276"/>
      <c r="F103" s="276" t="s">
        <v>264</v>
      </c>
      <c r="G103" s="276"/>
      <c r="H103" s="276"/>
      <c r="I103" s="276"/>
      <c r="J103" s="280" t="s">
        <v>302</v>
      </c>
      <c r="K103" s="297">
        <v>1500000</v>
      </c>
      <c r="L103" s="280" t="s">
        <v>266</v>
      </c>
      <c r="M103" s="276"/>
      <c r="N103" s="276"/>
      <c r="O103" s="276"/>
      <c r="P103" s="276"/>
      <c r="Q103" s="277" t="s">
        <v>10</v>
      </c>
      <c r="R103" s="276"/>
      <c r="S103" s="276" t="s">
        <v>246</v>
      </c>
      <c r="T103" s="276"/>
      <c r="U103" s="276">
        <v>1</v>
      </c>
      <c r="V103" s="281"/>
      <c r="W103" s="281"/>
      <c r="X103" s="276"/>
    </row>
    <row r="104" spans="1:24" s="283" customFormat="1" ht="45.75" customHeight="1">
      <c r="A104" s="274">
        <v>56</v>
      </c>
      <c r="B104" s="275"/>
      <c r="C104" s="276"/>
      <c r="D104" s="277" t="s">
        <v>10</v>
      </c>
      <c r="E104" s="276"/>
      <c r="F104" s="276"/>
      <c r="G104" s="276"/>
      <c r="H104" s="276"/>
      <c r="I104" s="276"/>
      <c r="J104" s="280" t="s">
        <v>303</v>
      </c>
      <c r="K104" s="279">
        <v>1400000</v>
      </c>
      <c r="L104" s="280" t="s">
        <v>245</v>
      </c>
      <c r="M104" s="277" t="s">
        <v>10</v>
      </c>
      <c r="N104" s="276"/>
      <c r="O104" s="276"/>
      <c r="P104" s="276"/>
      <c r="Q104" s="276"/>
      <c r="R104" s="276"/>
      <c r="S104" s="276" t="s">
        <v>246</v>
      </c>
      <c r="T104" s="282"/>
      <c r="U104" s="282">
        <v>1</v>
      </c>
      <c r="V104" s="281"/>
      <c r="W104" s="281"/>
      <c r="X104" s="282"/>
    </row>
    <row r="105" spans="1:24" s="283" customFormat="1" ht="23.25" customHeight="1">
      <c r="A105" s="274">
        <v>57</v>
      </c>
      <c r="B105" s="275"/>
      <c r="C105" s="276"/>
      <c r="D105" s="277" t="s">
        <v>10</v>
      </c>
      <c r="E105" s="276"/>
      <c r="F105" s="276"/>
      <c r="G105" s="276"/>
      <c r="H105" s="276"/>
      <c r="I105" s="276"/>
      <c r="J105" s="299" t="s">
        <v>304</v>
      </c>
      <c r="K105" s="279">
        <v>4000000</v>
      </c>
      <c r="L105" s="280" t="s">
        <v>245</v>
      </c>
      <c r="M105" s="277" t="s">
        <v>10</v>
      </c>
      <c r="N105" s="276"/>
      <c r="O105" s="276"/>
      <c r="P105" s="276"/>
      <c r="Q105" s="276"/>
      <c r="R105" s="276"/>
      <c r="S105" s="276" t="s">
        <v>246</v>
      </c>
      <c r="T105" s="282"/>
      <c r="U105" s="282">
        <v>1</v>
      </c>
      <c r="V105" s="281"/>
      <c r="W105" s="281">
        <v>1</v>
      </c>
      <c r="X105" s="282"/>
    </row>
    <row r="106" spans="1:24" s="283" customFormat="1" ht="21.75" customHeight="1">
      <c r="A106" s="274">
        <v>58</v>
      </c>
      <c r="B106" s="275"/>
      <c r="C106" s="276"/>
      <c r="D106" s="277" t="s">
        <v>10</v>
      </c>
      <c r="E106" s="276"/>
      <c r="F106" s="276"/>
      <c r="G106" s="276"/>
      <c r="H106" s="276"/>
      <c r="I106" s="276"/>
      <c r="J106" s="280" t="s">
        <v>305</v>
      </c>
      <c r="K106" s="279">
        <v>605000</v>
      </c>
      <c r="L106" s="280" t="s">
        <v>245</v>
      </c>
      <c r="M106" s="277" t="s">
        <v>10</v>
      </c>
      <c r="N106" s="276"/>
      <c r="O106" s="276"/>
      <c r="P106" s="276"/>
      <c r="Q106" s="276"/>
      <c r="R106" s="276"/>
      <c r="S106" s="276" t="s">
        <v>246</v>
      </c>
      <c r="T106" s="282"/>
      <c r="U106" s="282">
        <v>11</v>
      </c>
      <c r="V106" s="281"/>
      <c r="W106" s="281"/>
      <c r="X106" s="282"/>
    </row>
    <row r="107" spans="1:24" s="283" customFormat="1" ht="25.5" customHeight="1">
      <c r="A107" s="274">
        <v>59</v>
      </c>
      <c r="B107" s="284"/>
      <c r="C107" s="276"/>
      <c r="D107" s="276" t="s">
        <v>52</v>
      </c>
      <c r="E107" s="276"/>
      <c r="F107" s="276"/>
      <c r="G107" s="276"/>
      <c r="H107" s="276"/>
      <c r="I107" s="276"/>
      <c r="J107" s="285" t="s">
        <v>265</v>
      </c>
      <c r="K107" s="279">
        <v>460000</v>
      </c>
      <c r="L107" s="280" t="s">
        <v>252</v>
      </c>
      <c r="M107" s="276"/>
      <c r="N107" s="276"/>
      <c r="O107" s="276"/>
      <c r="P107" s="276"/>
      <c r="Q107" s="277" t="s">
        <v>10</v>
      </c>
      <c r="R107" s="276"/>
      <c r="S107" s="276" t="s">
        <v>246</v>
      </c>
      <c r="T107" s="276"/>
      <c r="U107" s="276">
        <v>1</v>
      </c>
      <c r="V107" s="281"/>
      <c r="W107" s="281"/>
      <c r="X107" s="276"/>
    </row>
    <row r="108" spans="1:24" s="283" customFormat="1" ht="40.5">
      <c r="A108" s="274">
        <v>60</v>
      </c>
      <c r="B108" s="287"/>
      <c r="C108" s="287"/>
      <c r="D108" s="287"/>
      <c r="E108" s="287"/>
      <c r="F108" s="287"/>
      <c r="G108" s="287" t="s">
        <v>52</v>
      </c>
      <c r="H108" s="287"/>
      <c r="I108" s="287"/>
      <c r="J108" s="288" t="s">
        <v>306</v>
      </c>
      <c r="K108" s="289">
        <v>1350000</v>
      </c>
      <c r="L108" s="290" t="s">
        <v>259</v>
      </c>
      <c r="M108" s="287"/>
      <c r="N108" s="287"/>
      <c r="O108" s="287"/>
      <c r="P108" s="287"/>
      <c r="Q108" s="277" t="s">
        <v>10</v>
      </c>
      <c r="R108" s="287"/>
      <c r="S108" s="276" t="s">
        <v>246</v>
      </c>
      <c r="T108" s="291"/>
      <c r="U108" s="286">
        <v>1</v>
      </c>
      <c r="V108" s="292"/>
      <c r="W108" s="292"/>
      <c r="X108" s="291"/>
    </row>
    <row r="109" spans="1:24" s="283" customFormat="1" ht="20.25">
      <c r="A109" s="274">
        <v>61</v>
      </c>
      <c r="B109" s="284"/>
      <c r="C109" s="276"/>
      <c r="D109" s="276"/>
      <c r="E109" s="276"/>
      <c r="F109" s="276"/>
      <c r="G109" s="276" t="s">
        <v>52</v>
      </c>
      <c r="H109" s="276"/>
      <c r="I109" s="276"/>
      <c r="J109" s="293" t="s">
        <v>307</v>
      </c>
      <c r="K109" s="294">
        <v>400000</v>
      </c>
      <c r="L109" s="280" t="s">
        <v>262</v>
      </c>
      <c r="M109" s="276"/>
      <c r="N109" s="276"/>
      <c r="O109" s="276"/>
      <c r="P109" s="276"/>
      <c r="Q109" s="277" t="s">
        <v>10</v>
      </c>
      <c r="R109" s="276"/>
      <c r="S109" s="276" t="s">
        <v>246</v>
      </c>
      <c r="T109" s="295"/>
      <c r="U109" s="295">
        <v>1</v>
      </c>
      <c r="V109" s="296"/>
      <c r="W109" s="296"/>
      <c r="X109" s="296"/>
    </row>
    <row r="110" spans="1:24" s="283" customFormat="1" ht="20.25">
      <c r="A110" s="274">
        <v>62</v>
      </c>
      <c r="B110" s="284"/>
      <c r="C110" s="276"/>
      <c r="D110" s="276" t="s">
        <v>52</v>
      </c>
      <c r="E110" s="276"/>
      <c r="F110" s="276"/>
      <c r="G110" s="276"/>
      <c r="H110" s="276"/>
      <c r="I110" s="276"/>
      <c r="J110" s="293" t="s">
        <v>308</v>
      </c>
      <c r="K110" s="294">
        <v>165000</v>
      </c>
      <c r="L110" s="280" t="s">
        <v>262</v>
      </c>
      <c r="M110" s="276"/>
      <c r="N110" s="276"/>
      <c r="O110" s="276"/>
      <c r="P110" s="276"/>
      <c r="Q110" s="277" t="s">
        <v>10</v>
      </c>
      <c r="R110" s="276"/>
      <c r="S110" s="276" t="s">
        <v>246</v>
      </c>
      <c r="T110" s="295"/>
      <c r="U110" s="295">
        <v>1</v>
      </c>
      <c r="V110" s="296"/>
      <c r="W110" s="296"/>
      <c r="X110" s="296"/>
    </row>
    <row r="111" spans="1:24" s="315" customFormat="1" ht="56.25">
      <c r="A111" s="274">
        <v>63</v>
      </c>
      <c r="B111" s="827"/>
      <c r="C111" s="828"/>
      <c r="D111" s="828"/>
      <c r="E111" s="828"/>
      <c r="F111" s="828"/>
      <c r="G111" s="828" t="s">
        <v>52</v>
      </c>
      <c r="H111" s="828"/>
      <c r="I111" s="828"/>
      <c r="J111" s="829" t="s">
        <v>805</v>
      </c>
      <c r="K111" s="830">
        <v>300000</v>
      </c>
      <c r="L111" s="831" t="s">
        <v>294</v>
      </c>
      <c r="M111" s="828"/>
      <c r="N111" s="828"/>
      <c r="O111" s="828"/>
      <c r="P111" s="828"/>
      <c r="Q111" s="832" t="s">
        <v>10</v>
      </c>
      <c r="R111" s="828"/>
      <c r="S111" s="281" t="s">
        <v>246</v>
      </c>
      <c r="T111" s="833"/>
      <c r="U111" s="833">
        <v>1</v>
      </c>
      <c r="V111" s="833"/>
      <c r="W111" s="833"/>
      <c r="X111" s="833"/>
    </row>
    <row r="112" spans="1:24" s="283" customFormat="1" ht="20.25">
      <c r="A112" s="274">
        <v>64</v>
      </c>
      <c r="B112" s="284" t="s">
        <v>52</v>
      </c>
      <c r="C112" s="276"/>
      <c r="D112" s="276"/>
      <c r="E112" s="276"/>
      <c r="F112" s="276"/>
      <c r="G112" s="276"/>
      <c r="H112" s="276"/>
      <c r="I112" s="276"/>
      <c r="J112" s="318" t="s">
        <v>309</v>
      </c>
      <c r="K112" s="294">
        <v>160000</v>
      </c>
      <c r="L112" s="280" t="s">
        <v>262</v>
      </c>
      <c r="M112" s="276"/>
      <c r="N112" s="276"/>
      <c r="O112" s="276"/>
      <c r="P112" s="276"/>
      <c r="Q112" s="277" t="s">
        <v>10</v>
      </c>
      <c r="R112" s="276"/>
      <c r="S112" s="276" t="s">
        <v>246</v>
      </c>
      <c r="T112" s="296"/>
      <c r="U112" s="295">
        <v>1</v>
      </c>
      <c r="V112" s="296"/>
      <c r="W112" s="296"/>
      <c r="X112" s="296"/>
    </row>
    <row r="113" spans="1:24" s="283" customFormat="1" ht="56.25">
      <c r="A113" s="274">
        <v>65</v>
      </c>
      <c r="B113" s="284"/>
      <c r="C113" s="276"/>
      <c r="D113" s="276"/>
      <c r="E113" s="276"/>
      <c r="F113" s="276"/>
      <c r="G113" s="276"/>
      <c r="H113" s="276" t="s">
        <v>52</v>
      </c>
      <c r="I113" s="276"/>
      <c r="J113" s="298" t="s">
        <v>310</v>
      </c>
      <c r="K113" s="297">
        <v>1294000</v>
      </c>
      <c r="L113" s="280" t="s">
        <v>269</v>
      </c>
      <c r="M113" s="276"/>
      <c r="N113" s="276"/>
      <c r="O113" s="276"/>
      <c r="P113" s="277" t="s">
        <v>10</v>
      </c>
      <c r="Q113" s="276"/>
      <c r="R113" s="276"/>
      <c r="S113" s="276" t="s">
        <v>246</v>
      </c>
      <c r="T113" s="276"/>
      <c r="U113" s="276">
        <v>1</v>
      </c>
      <c r="V113" s="281"/>
      <c r="W113" s="281"/>
      <c r="X113" s="276"/>
    </row>
    <row r="114" spans="1:24" s="283" customFormat="1" ht="37.5">
      <c r="A114" s="274">
        <v>66</v>
      </c>
      <c r="B114" s="284"/>
      <c r="C114" s="276"/>
      <c r="D114" s="276"/>
      <c r="E114" s="276"/>
      <c r="F114" s="276" t="s">
        <v>52</v>
      </c>
      <c r="G114" s="276"/>
      <c r="H114" s="276"/>
      <c r="I114" s="276"/>
      <c r="J114" s="299" t="s">
        <v>311</v>
      </c>
      <c r="K114" s="297">
        <v>70000</v>
      </c>
      <c r="L114" s="280" t="s">
        <v>271</v>
      </c>
      <c r="M114" s="276"/>
      <c r="N114" s="276"/>
      <c r="O114" s="276"/>
      <c r="P114" s="276"/>
      <c r="Q114" s="277" t="s">
        <v>10</v>
      </c>
      <c r="R114" s="276"/>
      <c r="S114" s="276" t="s">
        <v>246</v>
      </c>
      <c r="T114" s="276"/>
      <c r="U114" s="276">
        <v>1</v>
      </c>
      <c r="V114" s="281"/>
      <c r="W114" s="281"/>
      <c r="X114" s="276"/>
    </row>
    <row r="115" spans="1:24" s="283" customFormat="1" ht="20.25">
      <c r="A115" s="274">
        <v>67</v>
      </c>
      <c r="B115" s="284"/>
      <c r="C115" s="276"/>
      <c r="D115" s="276"/>
      <c r="E115" s="276"/>
      <c r="F115" s="276" t="s">
        <v>52</v>
      </c>
      <c r="G115" s="276"/>
      <c r="H115" s="276"/>
      <c r="I115" s="276"/>
      <c r="J115" s="299" t="s">
        <v>312</v>
      </c>
      <c r="K115" s="297">
        <v>50000</v>
      </c>
      <c r="L115" s="280" t="s">
        <v>271</v>
      </c>
      <c r="M115" s="276"/>
      <c r="N115" s="276"/>
      <c r="O115" s="276"/>
      <c r="P115" s="276"/>
      <c r="Q115" s="277" t="s">
        <v>10</v>
      </c>
      <c r="R115" s="276"/>
      <c r="S115" s="276" t="s">
        <v>246</v>
      </c>
      <c r="T115" s="276"/>
      <c r="U115" s="276">
        <v>1</v>
      </c>
      <c r="V115" s="281"/>
      <c r="W115" s="281"/>
      <c r="X115" s="276"/>
    </row>
    <row r="116" spans="1:24" s="283" customFormat="1" ht="20.25">
      <c r="A116" s="274">
        <v>68</v>
      </c>
      <c r="B116" s="284"/>
      <c r="C116" s="276"/>
      <c r="D116" s="276"/>
      <c r="E116" s="276"/>
      <c r="F116" s="276" t="s">
        <v>52</v>
      </c>
      <c r="G116" s="276"/>
      <c r="H116" s="276"/>
      <c r="I116" s="276"/>
      <c r="J116" s="299" t="s">
        <v>313</v>
      </c>
      <c r="K116" s="297">
        <v>75000</v>
      </c>
      <c r="L116" s="280" t="s">
        <v>271</v>
      </c>
      <c r="M116" s="276"/>
      <c r="N116" s="276"/>
      <c r="O116" s="276"/>
      <c r="P116" s="276"/>
      <c r="Q116" s="277" t="s">
        <v>10</v>
      </c>
      <c r="R116" s="276"/>
      <c r="S116" s="276" t="s">
        <v>246</v>
      </c>
      <c r="T116" s="276"/>
      <c r="U116" s="276">
        <v>1</v>
      </c>
      <c r="V116" s="281"/>
      <c r="W116" s="281"/>
      <c r="X116" s="276"/>
    </row>
    <row r="117" spans="1:24" s="283" customFormat="1" ht="37.5">
      <c r="A117" s="274">
        <v>69</v>
      </c>
      <c r="B117" s="284"/>
      <c r="C117" s="276"/>
      <c r="D117" s="276" t="s">
        <v>52</v>
      </c>
      <c r="E117" s="276"/>
      <c r="F117" s="276"/>
      <c r="G117" s="276"/>
      <c r="H117" s="276"/>
      <c r="I117" s="276"/>
      <c r="J117" s="299" t="s">
        <v>314</v>
      </c>
      <c r="K117" s="297">
        <v>480000</v>
      </c>
      <c r="L117" s="280" t="s">
        <v>271</v>
      </c>
      <c r="M117" s="276"/>
      <c r="N117" s="276"/>
      <c r="O117" s="276"/>
      <c r="P117" s="276"/>
      <c r="Q117" s="277" t="s">
        <v>10</v>
      </c>
      <c r="R117" s="276"/>
      <c r="S117" s="276" t="s">
        <v>246</v>
      </c>
      <c r="T117" s="276"/>
      <c r="U117" s="276">
        <v>1</v>
      </c>
      <c r="V117" s="281"/>
      <c r="W117" s="281"/>
      <c r="X117" s="276"/>
    </row>
    <row r="118" spans="1:24" s="283" customFormat="1" ht="20.25">
      <c r="A118" s="274">
        <v>70</v>
      </c>
      <c r="B118" s="284"/>
      <c r="C118" s="276"/>
      <c r="D118" s="276"/>
      <c r="E118" s="276"/>
      <c r="F118" s="276"/>
      <c r="G118" s="276" t="s">
        <v>52</v>
      </c>
      <c r="H118" s="276"/>
      <c r="I118" s="276"/>
      <c r="J118" s="280" t="s">
        <v>315</v>
      </c>
      <c r="K118" s="279">
        <v>250000</v>
      </c>
      <c r="L118" s="280" t="s">
        <v>280</v>
      </c>
      <c r="M118" s="276"/>
      <c r="N118" s="276"/>
      <c r="O118" s="276"/>
      <c r="P118" s="276"/>
      <c r="Q118" s="277" t="s">
        <v>10</v>
      </c>
      <c r="R118" s="276"/>
      <c r="S118" s="276" t="s">
        <v>246</v>
      </c>
      <c r="T118" s="276"/>
      <c r="U118" s="276">
        <v>1</v>
      </c>
      <c r="V118" s="281"/>
      <c r="W118" s="281"/>
      <c r="X118" s="276"/>
    </row>
    <row r="119" spans="1:24" s="283" customFormat="1" ht="37.5">
      <c r="A119" s="274">
        <v>71</v>
      </c>
      <c r="B119" s="284"/>
      <c r="C119" s="276"/>
      <c r="D119" s="276"/>
      <c r="E119" s="276"/>
      <c r="F119" s="276" t="s">
        <v>52</v>
      </c>
      <c r="G119" s="276"/>
      <c r="H119" s="276"/>
      <c r="I119" s="276"/>
      <c r="J119" s="298" t="s">
        <v>316</v>
      </c>
      <c r="K119" s="279">
        <v>280000</v>
      </c>
      <c r="L119" s="280" t="s">
        <v>280</v>
      </c>
      <c r="M119" s="276"/>
      <c r="N119" s="276"/>
      <c r="O119" s="276"/>
      <c r="P119" s="276"/>
      <c r="Q119" s="277" t="s">
        <v>10</v>
      </c>
      <c r="R119" s="276"/>
      <c r="S119" s="276" t="s">
        <v>246</v>
      </c>
      <c r="T119" s="276"/>
      <c r="U119" s="276">
        <v>4</v>
      </c>
      <c r="V119" s="281"/>
      <c r="W119" s="281"/>
      <c r="X119" s="276"/>
    </row>
    <row r="120" spans="1:24" s="283" customFormat="1" ht="37.5">
      <c r="A120" s="274">
        <v>72</v>
      </c>
      <c r="B120" s="284"/>
      <c r="C120" s="276"/>
      <c r="D120" s="276" t="s">
        <v>52</v>
      </c>
      <c r="E120" s="276"/>
      <c r="F120" s="276"/>
      <c r="G120" s="276"/>
      <c r="H120" s="276"/>
      <c r="I120" s="276"/>
      <c r="J120" s="298" t="s">
        <v>317</v>
      </c>
      <c r="K120" s="279">
        <v>160000</v>
      </c>
      <c r="L120" s="280" t="s">
        <v>280</v>
      </c>
      <c r="M120" s="276"/>
      <c r="N120" s="276"/>
      <c r="O120" s="276"/>
      <c r="P120" s="276"/>
      <c r="Q120" s="277" t="s">
        <v>10</v>
      </c>
      <c r="R120" s="276"/>
      <c r="S120" s="276" t="s">
        <v>246</v>
      </c>
      <c r="T120" s="276"/>
      <c r="U120" s="276">
        <v>1</v>
      </c>
      <c r="V120" s="281"/>
      <c r="W120" s="281"/>
      <c r="X120" s="276"/>
    </row>
    <row r="121" spans="1:24" s="283" customFormat="1" ht="37.5">
      <c r="A121" s="274">
        <v>73</v>
      </c>
      <c r="B121" s="284"/>
      <c r="C121" s="276"/>
      <c r="D121" s="276" t="s">
        <v>52</v>
      </c>
      <c r="E121" s="276"/>
      <c r="F121" s="276"/>
      <c r="G121" s="276"/>
      <c r="H121" s="276"/>
      <c r="I121" s="276"/>
      <c r="J121" s="298" t="s">
        <v>318</v>
      </c>
      <c r="K121" s="279">
        <v>160000</v>
      </c>
      <c r="L121" s="280" t="s">
        <v>280</v>
      </c>
      <c r="M121" s="276"/>
      <c r="N121" s="276"/>
      <c r="O121" s="276"/>
      <c r="P121" s="276"/>
      <c r="Q121" s="277" t="s">
        <v>10</v>
      </c>
      <c r="R121" s="276"/>
      <c r="S121" s="276" t="s">
        <v>246</v>
      </c>
      <c r="T121" s="276"/>
      <c r="U121" s="276">
        <v>1</v>
      </c>
      <c r="V121" s="281"/>
      <c r="W121" s="281"/>
      <c r="X121" s="276"/>
    </row>
    <row r="122" spans="1:24" s="283" customFormat="1" ht="20.25">
      <c r="A122" s="274">
        <v>74</v>
      </c>
      <c r="B122" s="284"/>
      <c r="C122" s="276"/>
      <c r="D122" s="276"/>
      <c r="E122" s="276"/>
      <c r="F122" s="276"/>
      <c r="G122" s="276"/>
      <c r="H122" s="276" t="s">
        <v>52</v>
      </c>
      <c r="I122" s="276"/>
      <c r="J122" s="300" t="s">
        <v>319</v>
      </c>
      <c r="K122" s="301">
        <v>1489000</v>
      </c>
      <c r="L122" s="280" t="s">
        <v>277</v>
      </c>
      <c r="M122" s="276"/>
      <c r="N122" s="276"/>
      <c r="O122" s="276"/>
      <c r="P122" s="276"/>
      <c r="Q122" s="277" t="s">
        <v>10</v>
      </c>
      <c r="R122" s="276"/>
      <c r="S122" s="276" t="s">
        <v>246</v>
      </c>
      <c r="T122" s="300"/>
      <c r="U122" s="300">
        <v>1</v>
      </c>
      <c r="V122" s="302"/>
      <c r="W122" s="302"/>
      <c r="X122" s="300"/>
    </row>
    <row r="123" spans="1:24" s="283" customFormat="1" ht="40.5">
      <c r="A123" s="274">
        <v>75</v>
      </c>
      <c r="B123" s="284"/>
      <c r="C123" s="276"/>
      <c r="D123" s="276"/>
      <c r="E123" s="276"/>
      <c r="F123" s="276"/>
      <c r="G123" s="276"/>
      <c r="H123" s="276" t="s">
        <v>52</v>
      </c>
      <c r="I123" s="276"/>
      <c r="J123" s="319" t="s">
        <v>320</v>
      </c>
      <c r="K123" s="297">
        <v>44000</v>
      </c>
      <c r="L123" s="280" t="s">
        <v>294</v>
      </c>
      <c r="M123" s="276"/>
      <c r="N123" s="276"/>
      <c r="O123" s="276"/>
      <c r="P123" s="276"/>
      <c r="Q123" s="277" t="s">
        <v>10</v>
      </c>
      <c r="R123" s="276"/>
      <c r="S123" s="276" t="s">
        <v>246</v>
      </c>
      <c r="T123" s="276"/>
      <c r="U123" s="276">
        <v>1</v>
      </c>
      <c r="V123" s="281"/>
      <c r="W123" s="281"/>
      <c r="X123" s="276"/>
    </row>
    <row r="124" spans="1:24" s="283" customFormat="1" ht="40.5">
      <c r="A124" s="274">
        <v>76</v>
      </c>
      <c r="B124" s="284"/>
      <c r="C124" s="276"/>
      <c r="D124" s="276"/>
      <c r="E124" s="276"/>
      <c r="F124" s="276" t="s">
        <v>52</v>
      </c>
      <c r="G124" s="276"/>
      <c r="H124" s="276"/>
      <c r="I124" s="276"/>
      <c r="J124" s="320" t="s">
        <v>321</v>
      </c>
      <c r="K124" s="297">
        <v>70000</v>
      </c>
      <c r="L124" s="280" t="s">
        <v>294</v>
      </c>
      <c r="M124" s="276"/>
      <c r="N124" s="276"/>
      <c r="O124" s="276"/>
      <c r="P124" s="276"/>
      <c r="Q124" s="277" t="s">
        <v>10</v>
      </c>
      <c r="R124" s="276"/>
      <c r="S124" s="276" t="s">
        <v>246</v>
      </c>
      <c r="T124" s="276"/>
      <c r="U124" s="276">
        <v>1</v>
      </c>
      <c r="V124" s="281"/>
      <c r="W124" s="281"/>
      <c r="X124" s="276"/>
    </row>
    <row r="125" spans="1:24" s="283" customFormat="1" ht="40.5">
      <c r="A125" s="274">
        <v>77</v>
      </c>
      <c r="B125" s="284"/>
      <c r="C125" s="276"/>
      <c r="D125" s="276"/>
      <c r="E125" s="276"/>
      <c r="F125" s="276"/>
      <c r="G125" s="276"/>
      <c r="H125" s="276"/>
      <c r="I125" s="276" t="s">
        <v>52</v>
      </c>
      <c r="J125" s="320" t="s">
        <v>322</v>
      </c>
      <c r="K125" s="297">
        <v>15000</v>
      </c>
      <c r="L125" s="280" t="s">
        <v>294</v>
      </c>
      <c r="M125" s="276"/>
      <c r="N125" s="276"/>
      <c r="O125" s="276"/>
      <c r="P125" s="276"/>
      <c r="Q125" s="277" t="s">
        <v>10</v>
      </c>
      <c r="R125" s="276"/>
      <c r="S125" s="276" t="s">
        <v>246</v>
      </c>
      <c r="T125" s="276"/>
      <c r="U125" s="276">
        <v>1</v>
      </c>
      <c r="V125" s="281"/>
      <c r="W125" s="281"/>
      <c r="X125" s="276"/>
    </row>
    <row r="126" spans="1:24" s="283" customFormat="1" ht="37.5">
      <c r="A126" s="274">
        <v>78</v>
      </c>
      <c r="B126" s="284"/>
      <c r="C126" s="276"/>
      <c r="D126" s="276"/>
      <c r="E126" s="276"/>
      <c r="F126" s="276"/>
      <c r="G126" s="276"/>
      <c r="H126" s="276"/>
      <c r="I126" s="276" t="s">
        <v>52</v>
      </c>
      <c r="J126" s="305" t="s">
        <v>323</v>
      </c>
      <c r="K126" s="297">
        <v>19000</v>
      </c>
      <c r="L126" s="280" t="s">
        <v>294</v>
      </c>
      <c r="M126" s="276"/>
      <c r="N126" s="276"/>
      <c r="O126" s="276"/>
      <c r="P126" s="276"/>
      <c r="Q126" s="277" t="s">
        <v>10</v>
      </c>
      <c r="R126" s="276"/>
      <c r="S126" s="276" t="s">
        <v>246</v>
      </c>
      <c r="T126" s="276"/>
      <c r="U126" s="276">
        <v>1</v>
      </c>
      <c r="V126" s="281"/>
      <c r="W126" s="281"/>
      <c r="X126" s="276"/>
    </row>
    <row r="127" spans="1:24" s="283" customFormat="1" ht="37.5">
      <c r="A127" s="274">
        <v>79</v>
      </c>
      <c r="B127" s="284"/>
      <c r="C127" s="276"/>
      <c r="D127" s="276" t="s">
        <v>52</v>
      </c>
      <c r="E127" s="276"/>
      <c r="F127" s="276"/>
      <c r="G127" s="276"/>
      <c r="H127" s="276"/>
      <c r="I127" s="276"/>
      <c r="J127" s="298" t="s">
        <v>324</v>
      </c>
      <c r="K127" s="279">
        <v>60000</v>
      </c>
      <c r="L127" s="280" t="s">
        <v>280</v>
      </c>
      <c r="M127" s="276"/>
      <c r="N127" s="276"/>
      <c r="O127" s="276"/>
      <c r="P127" s="276"/>
      <c r="Q127" s="277" t="s">
        <v>10</v>
      </c>
      <c r="R127" s="276"/>
      <c r="S127" s="276" t="s">
        <v>246</v>
      </c>
      <c r="T127" s="276"/>
      <c r="U127" s="276">
        <v>1</v>
      </c>
      <c r="V127" s="281"/>
      <c r="W127" s="281"/>
      <c r="X127" s="276"/>
    </row>
    <row r="128" spans="1:24" s="283" customFormat="1" ht="20.25">
      <c r="A128" s="274">
        <v>80</v>
      </c>
      <c r="B128" s="284"/>
      <c r="C128" s="276"/>
      <c r="D128" s="276" t="s">
        <v>52</v>
      </c>
      <c r="E128" s="276"/>
      <c r="F128" s="276"/>
      <c r="G128" s="276"/>
      <c r="H128" s="276"/>
      <c r="I128" s="276"/>
      <c r="J128" s="298" t="s">
        <v>325</v>
      </c>
      <c r="K128" s="279">
        <v>300000</v>
      </c>
      <c r="L128" s="280" t="s">
        <v>280</v>
      </c>
      <c r="M128" s="276"/>
      <c r="N128" s="276"/>
      <c r="O128" s="276"/>
      <c r="P128" s="276"/>
      <c r="Q128" s="277" t="s">
        <v>10</v>
      </c>
      <c r="R128" s="276"/>
      <c r="S128" s="276" t="s">
        <v>246</v>
      </c>
      <c r="T128" s="276"/>
      <c r="U128" s="276">
        <v>1</v>
      </c>
      <c r="V128" s="281"/>
      <c r="W128" s="281"/>
      <c r="X128" s="276"/>
    </row>
    <row r="129" spans="1:24" s="283" customFormat="1" ht="20.25">
      <c r="A129" s="274">
        <v>81</v>
      </c>
      <c r="B129" s="284"/>
      <c r="C129" s="276"/>
      <c r="D129" s="276" t="s">
        <v>52</v>
      </c>
      <c r="E129" s="276"/>
      <c r="F129" s="276"/>
      <c r="G129" s="276"/>
      <c r="H129" s="276"/>
      <c r="I129" s="276"/>
      <c r="J129" s="298" t="s">
        <v>326</v>
      </c>
      <c r="K129" s="279">
        <v>22000</v>
      </c>
      <c r="L129" s="280" t="s">
        <v>280</v>
      </c>
      <c r="M129" s="276"/>
      <c r="N129" s="276"/>
      <c r="O129" s="276"/>
      <c r="P129" s="276"/>
      <c r="Q129" s="277" t="s">
        <v>10</v>
      </c>
      <c r="R129" s="276"/>
      <c r="S129" s="276" t="s">
        <v>246</v>
      </c>
      <c r="T129" s="276"/>
      <c r="U129" s="276">
        <v>2</v>
      </c>
      <c r="V129" s="281"/>
      <c r="W129" s="281"/>
      <c r="X129" s="276"/>
    </row>
    <row r="130" spans="1:24" s="283" customFormat="1" ht="37.5">
      <c r="A130" s="274">
        <v>82</v>
      </c>
      <c r="B130" s="284" t="s">
        <v>52</v>
      </c>
      <c r="C130" s="276"/>
      <c r="D130" s="276"/>
      <c r="E130" s="276"/>
      <c r="F130" s="276"/>
      <c r="G130" s="276"/>
      <c r="H130" s="276"/>
      <c r="I130" s="276"/>
      <c r="J130" s="298" t="s">
        <v>327</v>
      </c>
      <c r="K130" s="297">
        <v>150000</v>
      </c>
      <c r="L130" s="280" t="s">
        <v>287</v>
      </c>
      <c r="M130" s="276"/>
      <c r="N130" s="276"/>
      <c r="O130" s="276"/>
      <c r="P130" s="276"/>
      <c r="Q130" s="277" t="s">
        <v>10</v>
      </c>
      <c r="R130" s="276"/>
      <c r="S130" s="276" t="s">
        <v>246</v>
      </c>
      <c r="T130" s="276"/>
      <c r="U130" s="276">
        <v>1</v>
      </c>
      <c r="V130" s="281"/>
      <c r="W130" s="281"/>
      <c r="X130" s="276"/>
    </row>
    <row r="131" spans="1:24" s="283" customFormat="1" ht="37.5">
      <c r="A131" s="274">
        <v>83</v>
      </c>
      <c r="B131" s="284"/>
      <c r="C131" s="276"/>
      <c r="D131" s="276"/>
      <c r="E131" s="276" t="s">
        <v>52</v>
      </c>
      <c r="F131" s="276"/>
      <c r="G131" s="276"/>
      <c r="H131" s="276"/>
      <c r="I131" s="276"/>
      <c r="J131" s="298" t="s">
        <v>328</v>
      </c>
      <c r="K131" s="297">
        <v>450000</v>
      </c>
      <c r="L131" s="280" t="s">
        <v>287</v>
      </c>
      <c r="M131" s="276"/>
      <c r="N131" s="276"/>
      <c r="O131" s="276"/>
      <c r="P131" s="276"/>
      <c r="Q131" s="277" t="s">
        <v>10</v>
      </c>
      <c r="R131" s="276"/>
      <c r="S131" s="276" t="s">
        <v>246</v>
      </c>
      <c r="T131" s="276"/>
      <c r="U131" s="276">
        <v>1</v>
      </c>
      <c r="V131" s="281"/>
      <c r="W131" s="281"/>
      <c r="X131" s="276"/>
    </row>
    <row r="132" spans="1:24" s="283" customFormat="1" ht="37.5">
      <c r="A132" s="274">
        <v>84</v>
      </c>
      <c r="B132" s="284"/>
      <c r="C132" s="276"/>
      <c r="D132" s="276" t="s">
        <v>52</v>
      </c>
      <c r="E132" s="276"/>
      <c r="F132" s="276"/>
      <c r="G132" s="276"/>
      <c r="H132" s="276"/>
      <c r="I132" s="276"/>
      <c r="J132" s="298" t="s">
        <v>329</v>
      </c>
      <c r="K132" s="297">
        <v>250000</v>
      </c>
      <c r="L132" s="280" t="s">
        <v>287</v>
      </c>
      <c r="M132" s="276"/>
      <c r="N132" s="276"/>
      <c r="O132" s="276"/>
      <c r="P132" s="276"/>
      <c r="Q132" s="277" t="s">
        <v>10</v>
      </c>
      <c r="R132" s="276"/>
      <c r="S132" s="276" t="s">
        <v>246</v>
      </c>
      <c r="T132" s="276"/>
      <c r="U132" s="276">
        <v>1</v>
      </c>
      <c r="V132" s="281"/>
      <c r="W132" s="281"/>
      <c r="X132" s="276"/>
    </row>
    <row r="133" spans="1:24" s="283" customFormat="1" ht="20.25">
      <c r="A133" s="274">
        <v>85</v>
      </c>
      <c r="B133" s="284"/>
      <c r="C133" s="276"/>
      <c r="D133" s="276"/>
      <c r="E133" s="276"/>
      <c r="F133" s="276"/>
      <c r="G133" s="276"/>
      <c r="H133" s="276"/>
      <c r="I133" s="276" t="s">
        <v>52</v>
      </c>
      <c r="J133" s="305" t="s">
        <v>330</v>
      </c>
      <c r="K133" s="297">
        <v>32000</v>
      </c>
      <c r="L133" s="280" t="s">
        <v>294</v>
      </c>
      <c r="M133" s="276"/>
      <c r="N133" s="276"/>
      <c r="O133" s="276"/>
      <c r="P133" s="276"/>
      <c r="Q133" s="277" t="s">
        <v>10</v>
      </c>
      <c r="R133" s="276"/>
      <c r="S133" s="276" t="s">
        <v>246</v>
      </c>
      <c r="T133" s="276"/>
      <c r="U133" s="276">
        <v>1</v>
      </c>
      <c r="V133" s="281"/>
      <c r="W133" s="281"/>
      <c r="X133" s="276"/>
    </row>
    <row r="134" spans="1:24" s="283" customFormat="1" ht="20.25">
      <c r="A134" s="274">
        <v>86</v>
      </c>
      <c r="B134" s="284"/>
      <c r="C134" s="276"/>
      <c r="D134" s="276"/>
      <c r="E134" s="276"/>
      <c r="F134" s="276"/>
      <c r="G134" s="276" t="s">
        <v>52</v>
      </c>
      <c r="H134" s="276"/>
      <c r="I134" s="276"/>
      <c r="J134" s="305" t="s">
        <v>331</v>
      </c>
      <c r="K134" s="279">
        <v>15000</v>
      </c>
      <c r="L134" s="280" t="s">
        <v>294</v>
      </c>
      <c r="M134" s="276"/>
      <c r="N134" s="276"/>
      <c r="O134" s="276"/>
      <c r="P134" s="276"/>
      <c r="Q134" s="277" t="s">
        <v>10</v>
      </c>
      <c r="R134" s="276"/>
      <c r="S134" s="276" t="s">
        <v>246</v>
      </c>
      <c r="T134" s="276"/>
      <c r="U134" s="276">
        <v>1</v>
      </c>
      <c r="V134" s="281"/>
      <c r="W134" s="281"/>
      <c r="X134" s="276"/>
    </row>
    <row r="135" spans="1:24" s="283" customFormat="1" ht="56.25">
      <c r="A135" s="274">
        <v>87</v>
      </c>
      <c r="B135" s="284"/>
      <c r="C135" s="276"/>
      <c r="D135" s="276"/>
      <c r="E135" s="276"/>
      <c r="F135" s="276"/>
      <c r="G135" s="276"/>
      <c r="H135" s="276"/>
      <c r="I135" s="276" t="s">
        <v>52</v>
      </c>
      <c r="J135" s="305" t="s">
        <v>332</v>
      </c>
      <c r="K135" s="279">
        <v>47000</v>
      </c>
      <c r="L135" s="280" t="s">
        <v>294</v>
      </c>
      <c r="M135" s="276"/>
      <c r="N135" s="276"/>
      <c r="O135" s="276"/>
      <c r="P135" s="276"/>
      <c r="Q135" s="277" t="s">
        <v>10</v>
      </c>
      <c r="R135" s="276"/>
      <c r="S135" s="276" t="s">
        <v>246</v>
      </c>
      <c r="T135" s="276"/>
      <c r="U135" s="276">
        <v>1</v>
      </c>
      <c r="V135" s="281"/>
      <c r="W135" s="281"/>
      <c r="X135" s="276"/>
    </row>
    <row r="136" spans="1:24" s="283" customFormat="1" ht="37.5">
      <c r="A136" s="274">
        <v>88</v>
      </c>
      <c r="B136" s="284"/>
      <c r="C136" s="276"/>
      <c r="D136" s="276" t="s">
        <v>52</v>
      </c>
      <c r="E136" s="276"/>
      <c r="F136" s="276"/>
      <c r="G136" s="276"/>
      <c r="H136" s="276"/>
      <c r="I136" s="276"/>
      <c r="J136" s="305" t="s">
        <v>333</v>
      </c>
      <c r="K136" s="279">
        <v>75000</v>
      </c>
      <c r="L136" s="280" t="s">
        <v>294</v>
      </c>
      <c r="M136" s="276"/>
      <c r="N136" s="276"/>
      <c r="O136" s="276"/>
      <c r="P136" s="276"/>
      <c r="Q136" s="277" t="s">
        <v>10</v>
      </c>
      <c r="R136" s="276"/>
      <c r="S136" s="276" t="s">
        <v>246</v>
      </c>
      <c r="T136" s="276"/>
      <c r="U136" s="276">
        <v>1</v>
      </c>
      <c r="V136" s="281"/>
      <c r="W136" s="281"/>
      <c r="X136" s="276"/>
    </row>
    <row r="137" spans="1:24" s="283" customFormat="1" ht="20.25">
      <c r="A137" s="274">
        <v>89</v>
      </c>
      <c r="B137" s="284"/>
      <c r="C137" s="276"/>
      <c r="D137" s="276" t="s">
        <v>52</v>
      </c>
      <c r="E137" s="276"/>
      <c r="F137" s="276"/>
      <c r="G137" s="276"/>
      <c r="H137" s="276"/>
      <c r="I137" s="276"/>
      <c r="J137" s="305" t="s">
        <v>334</v>
      </c>
      <c r="K137" s="279">
        <v>22000</v>
      </c>
      <c r="L137" s="280" t="s">
        <v>294</v>
      </c>
      <c r="M137" s="276"/>
      <c r="N137" s="276"/>
      <c r="O137" s="276"/>
      <c r="P137" s="276"/>
      <c r="Q137" s="277" t="s">
        <v>10</v>
      </c>
      <c r="R137" s="276"/>
      <c r="S137" s="276" t="s">
        <v>246</v>
      </c>
      <c r="T137" s="276"/>
      <c r="U137" s="276">
        <v>1</v>
      </c>
      <c r="V137" s="281"/>
      <c r="W137" s="281"/>
      <c r="X137" s="276"/>
    </row>
    <row r="138" spans="1:24" s="283" customFormat="1" ht="37.5">
      <c r="A138" s="274">
        <v>90</v>
      </c>
      <c r="B138" s="284"/>
      <c r="C138" s="276"/>
      <c r="D138" s="276"/>
      <c r="E138" s="276"/>
      <c r="F138" s="276"/>
      <c r="G138" s="276"/>
      <c r="H138" s="276"/>
      <c r="I138" s="276" t="s">
        <v>52</v>
      </c>
      <c r="J138" s="305" t="s">
        <v>335</v>
      </c>
      <c r="K138" s="279">
        <v>9900</v>
      </c>
      <c r="L138" s="280" t="s">
        <v>294</v>
      </c>
      <c r="M138" s="276"/>
      <c r="N138" s="276"/>
      <c r="O138" s="276"/>
      <c r="P138" s="276"/>
      <c r="Q138" s="277" t="s">
        <v>10</v>
      </c>
      <c r="R138" s="276"/>
      <c r="S138" s="276" t="s">
        <v>246</v>
      </c>
      <c r="T138" s="276"/>
      <c r="U138" s="276">
        <v>1</v>
      </c>
      <c r="V138" s="281"/>
      <c r="W138" s="281"/>
      <c r="X138" s="276"/>
    </row>
    <row r="139" spans="1:24" s="283" customFormat="1" ht="37.5">
      <c r="A139" s="274">
        <v>91</v>
      </c>
      <c r="B139" s="284"/>
      <c r="C139" s="276"/>
      <c r="D139" s="276"/>
      <c r="E139" s="276"/>
      <c r="F139" s="276"/>
      <c r="G139" s="276"/>
      <c r="H139" s="276"/>
      <c r="I139" s="276" t="s">
        <v>52</v>
      </c>
      <c r="J139" s="305" t="s">
        <v>336</v>
      </c>
      <c r="K139" s="279">
        <v>13000</v>
      </c>
      <c r="L139" s="280" t="s">
        <v>294</v>
      </c>
      <c r="M139" s="276"/>
      <c r="N139" s="276"/>
      <c r="O139" s="276"/>
      <c r="P139" s="276"/>
      <c r="Q139" s="277" t="s">
        <v>10</v>
      </c>
      <c r="R139" s="276"/>
      <c r="S139" s="276" t="s">
        <v>246</v>
      </c>
      <c r="T139" s="276"/>
      <c r="U139" s="276">
        <v>1</v>
      </c>
      <c r="V139" s="281"/>
      <c r="W139" s="281"/>
      <c r="X139" s="276"/>
    </row>
    <row r="140" spans="1:24" s="315" customFormat="1" ht="23.25" customHeight="1">
      <c r="A140" s="274">
        <v>92</v>
      </c>
      <c r="B140" s="284" t="s">
        <v>52</v>
      </c>
      <c r="C140" s="276"/>
      <c r="D140" s="276"/>
      <c r="E140" s="276"/>
      <c r="F140" s="276"/>
      <c r="G140" s="276"/>
      <c r="H140" s="276"/>
      <c r="I140" s="276"/>
      <c r="J140" s="305" t="s">
        <v>337</v>
      </c>
      <c r="K140" s="279">
        <v>130000</v>
      </c>
      <c r="L140" s="280" t="s">
        <v>294</v>
      </c>
      <c r="M140" s="276"/>
      <c r="N140" s="276"/>
      <c r="O140" s="276"/>
      <c r="P140" s="276"/>
      <c r="Q140" s="277" t="s">
        <v>10</v>
      </c>
      <c r="R140" s="276"/>
      <c r="S140" s="276" t="s">
        <v>246</v>
      </c>
      <c r="T140" s="276"/>
      <c r="U140" s="276">
        <v>1</v>
      </c>
      <c r="V140" s="281"/>
      <c r="W140" s="281"/>
      <c r="X140" s="276"/>
    </row>
    <row r="141" spans="1:24" s="283" customFormat="1" ht="37.5">
      <c r="A141" s="274">
        <v>93</v>
      </c>
      <c r="B141" s="284"/>
      <c r="C141" s="276"/>
      <c r="D141" s="276"/>
      <c r="E141" s="276"/>
      <c r="F141" s="276"/>
      <c r="G141" s="276"/>
      <c r="H141" s="276"/>
      <c r="I141" s="276" t="s">
        <v>52</v>
      </c>
      <c r="J141" s="305" t="s">
        <v>338</v>
      </c>
      <c r="K141" s="279">
        <v>18000</v>
      </c>
      <c r="L141" s="280" t="s">
        <v>294</v>
      </c>
      <c r="M141" s="276"/>
      <c r="N141" s="276"/>
      <c r="O141" s="276"/>
      <c r="P141" s="276"/>
      <c r="Q141" s="277" t="s">
        <v>10</v>
      </c>
      <c r="R141" s="276"/>
      <c r="S141" s="276" t="s">
        <v>246</v>
      </c>
      <c r="T141" s="276"/>
      <c r="U141" s="276">
        <v>1</v>
      </c>
      <c r="V141" s="281"/>
      <c r="W141" s="281"/>
      <c r="X141" s="276"/>
    </row>
    <row r="142" spans="1:24" s="283" customFormat="1" ht="20.25">
      <c r="A142" s="321"/>
      <c r="B142" s="322"/>
      <c r="C142" s="323"/>
      <c r="D142" s="324"/>
      <c r="E142" s="323"/>
      <c r="F142" s="323"/>
      <c r="G142" s="323"/>
      <c r="H142" s="323"/>
      <c r="I142" s="323"/>
      <c r="J142" s="325"/>
      <c r="K142" s="326">
        <v>0</v>
      </c>
      <c r="L142" s="327"/>
      <c r="M142" s="324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</row>
    <row r="143" spans="1:24" s="283" customFormat="1" ht="56.25">
      <c r="A143" s="274">
        <v>94</v>
      </c>
      <c r="B143" s="284"/>
      <c r="C143" s="276"/>
      <c r="D143" s="276"/>
      <c r="E143" s="276"/>
      <c r="F143" s="276"/>
      <c r="G143" s="276"/>
      <c r="H143" s="276" t="s">
        <v>52</v>
      </c>
      <c r="I143" s="276"/>
      <c r="J143" s="285" t="s">
        <v>310</v>
      </c>
      <c r="K143" s="279">
        <v>1294000</v>
      </c>
      <c r="L143" s="280" t="s">
        <v>252</v>
      </c>
      <c r="M143" s="276"/>
      <c r="N143" s="276"/>
      <c r="O143" s="276"/>
      <c r="P143" s="276"/>
      <c r="Q143" s="277" t="s">
        <v>10</v>
      </c>
      <c r="R143" s="276"/>
      <c r="S143" s="276" t="s">
        <v>246</v>
      </c>
      <c r="T143" s="276"/>
      <c r="U143" s="276"/>
      <c r="V143" s="281">
        <v>1</v>
      </c>
      <c r="W143" s="281"/>
      <c r="X143" s="276"/>
    </row>
    <row r="144" spans="1:24" s="283" customFormat="1" ht="20.25">
      <c r="A144" s="274">
        <v>95</v>
      </c>
      <c r="B144" s="284"/>
      <c r="C144" s="276"/>
      <c r="D144" s="276" t="s">
        <v>52</v>
      </c>
      <c r="E144" s="276"/>
      <c r="F144" s="276"/>
      <c r="G144" s="276"/>
      <c r="H144" s="276"/>
      <c r="I144" s="276"/>
      <c r="J144" s="285" t="s">
        <v>339</v>
      </c>
      <c r="K144" s="279">
        <v>380000</v>
      </c>
      <c r="L144" s="280" t="s">
        <v>252</v>
      </c>
      <c r="M144" s="276"/>
      <c r="N144" s="276"/>
      <c r="O144" s="276"/>
      <c r="P144" s="276"/>
      <c r="Q144" s="277" t="s">
        <v>10</v>
      </c>
      <c r="R144" s="276"/>
      <c r="S144" s="276" t="s">
        <v>246</v>
      </c>
      <c r="T144" s="276"/>
      <c r="U144" s="276"/>
      <c r="V144" s="281">
        <v>1</v>
      </c>
      <c r="W144" s="281"/>
      <c r="X144" s="276"/>
    </row>
    <row r="145" spans="1:24" s="283" customFormat="1" ht="20.25">
      <c r="A145" s="274">
        <v>96</v>
      </c>
      <c r="B145" s="287"/>
      <c r="C145" s="287"/>
      <c r="D145" s="287" t="s">
        <v>52</v>
      </c>
      <c r="E145" s="287"/>
      <c r="F145" s="287"/>
      <c r="G145" s="287"/>
      <c r="H145" s="287"/>
      <c r="I145" s="287"/>
      <c r="J145" s="288" t="s">
        <v>265</v>
      </c>
      <c r="K145" s="289">
        <v>460000</v>
      </c>
      <c r="L145" s="290" t="s">
        <v>259</v>
      </c>
      <c r="M145" s="287"/>
      <c r="N145" s="287"/>
      <c r="O145" s="287"/>
      <c r="P145" s="287"/>
      <c r="Q145" s="277" t="s">
        <v>10</v>
      </c>
      <c r="R145" s="287"/>
      <c r="S145" s="276" t="s">
        <v>246</v>
      </c>
      <c r="T145" s="291"/>
      <c r="U145" s="291"/>
      <c r="V145" s="328">
        <v>1</v>
      </c>
      <c r="W145" s="292"/>
      <c r="X145" s="291"/>
    </row>
    <row r="146" spans="1:24" s="283" customFormat="1" ht="40.5">
      <c r="A146" s="274">
        <v>97</v>
      </c>
      <c r="B146" s="287"/>
      <c r="C146" s="287"/>
      <c r="D146" s="287"/>
      <c r="E146" s="287"/>
      <c r="F146" s="287"/>
      <c r="G146" s="287" t="s">
        <v>52</v>
      </c>
      <c r="H146" s="287"/>
      <c r="I146" s="287"/>
      <c r="J146" s="288" t="s">
        <v>340</v>
      </c>
      <c r="K146" s="289">
        <v>650000</v>
      </c>
      <c r="L146" s="290" t="s">
        <v>259</v>
      </c>
      <c r="M146" s="287"/>
      <c r="N146" s="287"/>
      <c r="O146" s="287"/>
      <c r="P146" s="287"/>
      <c r="Q146" s="277" t="s">
        <v>10</v>
      </c>
      <c r="R146" s="287"/>
      <c r="S146" s="276" t="s">
        <v>246</v>
      </c>
      <c r="T146" s="291"/>
      <c r="U146" s="291"/>
      <c r="V146" s="328">
        <v>1</v>
      </c>
      <c r="W146" s="292"/>
      <c r="X146" s="291"/>
    </row>
    <row r="147" spans="1:24" s="283" customFormat="1" ht="20.25">
      <c r="A147" s="274">
        <v>98</v>
      </c>
      <c r="B147" s="284"/>
      <c r="C147" s="276"/>
      <c r="D147" s="276"/>
      <c r="E147" s="276"/>
      <c r="F147" s="276" t="s">
        <v>52</v>
      </c>
      <c r="G147" s="276"/>
      <c r="H147" s="276"/>
      <c r="I147" s="276"/>
      <c r="J147" s="329" t="s">
        <v>341</v>
      </c>
      <c r="K147" s="294">
        <v>1200000</v>
      </c>
      <c r="L147" s="280" t="s">
        <v>262</v>
      </c>
      <c r="M147" s="276"/>
      <c r="N147" s="276"/>
      <c r="O147" s="276"/>
      <c r="P147" s="276"/>
      <c r="Q147" s="277" t="s">
        <v>10</v>
      </c>
      <c r="R147" s="276"/>
      <c r="S147" s="276" t="s">
        <v>246</v>
      </c>
      <c r="T147" s="296"/>
      <c r="U147" s="295"/>
      <c r="V147" s="295">
        <v>1</v>
      </c>
      <c r="W147" s="296"/>
      <c r="X147" s="296"/>
    </row>
    <row r="148" spans="1:24" s="283" customFormat="1" ht="20.25">
      <c r="A148" s="274">
        <v>99</v>
      </c>
      <c r="B148" s="284"/>
      <c r="C148" s="276"/>
      <c r="D148" s="276" t="s">
        <v>52</v>
      </c>
      <c r="E148" s="276"/>
      <c r="F148" s="276"/>
      <c r="G148" s="276"/>
      <c r="H148" s="276"/>
      <c r="I148" s="276"/>
      <c r="J148" s="318" t="s">
        <v>75</v>
      </c>
      <c r="K148" s="294">
        <v>260000</v>
      </c>
      <c r="L148" s="280" t="s">
        <v>262</v>
      </c>
      <c r="M148" s="276"/>
      <c r="N148" s="276"/>
      <c r="O148" s="276"/>
      <c r="P148" s="276"/>
      <c r="Q148" s="277" t="s">
        <v>10</v>
      </c>
      <c r="R148" s="276"/>
      <c r="S148" s="276" t="s">
        <v>246</v>
      </c>
      <c r="T148" s="296"/>
      <c r="U148" s="295"/>
      <c r="V148" s="295">
        <v>1</v>
      </c>
      <c r="W148" s="296"/>
      <c r="X148" s="296"/>
    </row>
    <row r="149" spans="1:24" s="283" customFormat="1" ht="56.25">
      <c r="A149" s="274">
        <v>100</v>
      </c>
      <c r="B149" s="276" t="s">
        <v>52</v>
      </c>
      <c r="C149" s="276"/>
      <c r="D149" s="276"/>
      <c r="E149" s="276"/>
      <c r="F149" s="276"/>
      <c r="G149" s="276"/>
      <c r="H149" s="276"/>
      <c r="I149" s="276"/>
      <c r="J149" s="330" t="s">
        <v>92</v>
      </c>
      <c r="K149" s="304">
        <v>960000</v>
      </c>
      <c r="L149" s="280" t="s">
        <v>269</v>
      </c>
      <c r="M149" s="276"/>
      <c r="N149" s="276"/>
      <c r="O149" s="276"/>
      <c r="P149" s="277" t="s">
        <v>10</v>
      </c>
      <c r="Q149" s="276"/>
      <c r="R149" s="276"/>
      <c r="S149" s="276" t="s">
        <v>246</v>
      </c>
      <c r="T149" s="276"/>
      <c r="U149" s="276"/>
      <c r="V149" s="281">
        <v>2</v>
      </c>
      <c r="W149" s="281"/>
      <c r="X149" s="276"/>
    </row>
    <row r="150" spans="1:24" s="283" customFormat="1" ht="37.5">
      <c r="A150" s="274">
        <v>101</v>
      </c>
      <c r="B150" s="284"/>
      <c r="C150" s="276"/>
      <c r="D150" s="276" t="s">
        <v>52</v>
      </c>
      <c r="E150" s="276"/>
      <c r="F150" s="276"/>
      <c r="G150" s="276"/>
      <c r="H150" s="276"/>
      <c r="I150" s="276"/>
      <c r="J150" s="299" t="s">
        <v>342</v>
      </c>
      <c r="K150" s="297">
        <v>540000</v>
      </c>
      <c r="L150" s="280" t="s">
        <v>271</v>
      </c>
      <c r="M150" s="276"/>
      <c r="N150" s="276"/>
      <c r="O150" s="276"/>
      <c r="P150" s="276"/>
      <c r="Q150" s="277" t="s">
        <v>10</v>
      </c>
      <c r="R150" s="276"/>
      <c r="S150" s="276" t="s">
        <v>246</v>
      </c>
      <c r="T150" s="276"/>
      <c r="U150" s="276"/>
      <c r="V150" s="281">
        <v>9</v>
      </c>
      <c r="W150" s="281"/>
      <c r="X150" s="276"/>
    </row>
    <row r="151" spans="1:24" s="283" customFormat="1" ht="20.25">
      <c r="A151" s="274">
        <v>102</v>
      </c>
      <c r="B151" s="284"/>
      <c r="C151" s="276"/>
      <c r="D151" s="276"/>
      <c r="E151" s="276"/>
      <c r="F151" s="276" t="s">
        <v>52</v>
      </c>
      <c r="G151" s="276"/>
      <c r="H151" s="276"/>
      <c r="I151" s="276"/>
      <c r="J151" s="299" t="s">
        <v>343</v>
      </c>
      <c r="K151" s="297">
        <v>310000</v>
      </c>
      <c r="L151" s="280" t="s">
        <v>271</v>
      </c>
      <c r="M151" s="276"/>
      <c r="N151" s="276"/>
      <c r="O151" s="276"/>
      <c r="P151" s="276"/>
      <c r="Q151" s="277" t="s">
        <v>10</v>
      </c>
      <c r="R151" s="276"/>
      <c r="S151" s="276" t="s">
        <v>246</v>
      </c>
      <c r="T151" s="276"/>
      <c r="U151" s="276"/>
      <c r="V151" s="281">
        <v>1</v>
      </c>
      <c r="W151" s="281"/>
      <c r="X151" s="276"/>
    </row>
    <row r="152" spans="1:24" s="283" customFormat="1" ht="37.5">
      <c r="A152" s="274">
        <v>103</v>
      </c>
      <c r="B152" s="284"/>
      <c r="C152" s="276"/>
      <c r="D152" s="276"/>
      <c r="E152" s="276"/>
      <c r="F152" s="276" t="s">
        <v>52</v>
      </c>
      <c r="G152" s="276"/>
      <c r="H152" s="276"/>
      <c r="I152" s="276"/>
      <c r="J152" s="299" t="s">
        <v>101</v>
      </c>
      <c r="K152" s="297">
        <v>100000</v>
      </c>
      <c r="L152" s="280" t="s">
        <v>271</v>
      </c>
      <c r="M152" s="276"/>
      <c r="N152" s="276"/>
      <c r="O152" s="276"/>
      <c r="P152" s="276"/>
      <c r="Q152" s="277" t="s">
        <v>10</v>
      </c>
      <c r="R152" s="276"/>
      <c r="S152" s="276" t="s">
        <v>246</v>
      </c>
      <c r="T152" s="276"/>
      <c r="U152" s="276"/>
      <c r="V152" s="281">
        <v>1</v>
      </c>
      <c r="W152" s="281"/>
      <c r="X152" s="276"/>
    </row>
    <row r="153" spans="1:24" s="283" customFormat="1" ht="20.25">
      <c r="A153" s="274">
        <v>104</v>
      </c>
      <c r="B153" s="284"/>
      <c r="C153" s="276"/>
      <c r="D153" s="276"/>
      <c r="E153" s="276"/>
      <c r="F153" s="276" t="s">
        <v>52</v>
      </c>
      <c r="G153" s="276"/>
      <c r="H153" s="276"/>
      <c r="I153" s="276"/>
      <c r="J153" s="300" t="s">
        <v>344</v>
      </c>
      <c r="K153" s="301">
        <v>120000</v>
      </c>
      <c r="L153" s="280" t="s">
        <v>277</v>
      </c>
      <c r="M153" s="276"/>
      <c r="N153" s="276"/>
      <c r="O153" s="276"/>
      <c r="P153" s="276"/>
      <c r="Q153" s="277" t="s">
        <v>10</v>
      </c>
      <c r="R153" s="276"/>
      <c r="S153" s="276" t="s">
        <v>246</v>
      </c>
      <c r="T153" s="331"/>
      <c r="U153" s="300"/>
      <c r="V153" s="302">
        <v>1</v>
      </c>
      <c r="W153" s="302"/>
      <c r="X153" s="300"/>
    </row>
    <row r="154" spans="1:24" s="283" customFormat="1" ht="20.25">
      <c r="A154" s="274">
        <v>105</v>
      </c>
      <c r="B154" s="284"/>
      <c r="C154" s="276"/>
      <c r="D154" s="276"/>
      <c r="E154" s="276"/>
      <c r="F154" s="276"/>
      <c r="G154" s="276"/>
      <c r="H154" s="276" t="s">
        <v>52</v>
      </c>
      <c r="I154" s="276"/>
      <c r="J154" s="300" t="s">
        <v>345</v>
      </c>
      <c r="K154" s="301">
        <v>1294000</v>
      </c>
      <c r="L154" s="280" t="s">
        <v>277</v>
      </c>
      <c r="M154" s="276"/>
      <c r="N154" s="276"/>
      <c r="O154" s="276"/>
      <c r="P154" s="276"/>
      <c r="Q154" s="277" t="s">
        <v>10</v>
      </c>
      <c r="R154" s="276"/>
      <c r="S154" s="276" t="s">
        <v>246</v>
      </c>
      <c r="T154" s="300"/>
      <c r="U154" s="300"/>
      <c r="V154" s="302">
        <v>1</v>
      </c>
      <c r="W154" s="302"/>
      <c r="X154" s="300"/>
    </row>
    <row r="155" spans="1:24" s="283" customFormat="1" ht="56.25">
      <c r="A155" s="274">
        <v>106</v>
      </c>
      <c r="B155" s="284"/>
      <c r="C155" s="276"/>
      <c r="D155" s="276"/>
      <c r="E155" s="276"/>
      <c r="F155" s="276"/>
      <c r="G155" s="276" t="s">
        <v>52</v>
      </c>
      <c r="H155" s="276"/>
      <c r="I155" s="276"/>
      <c r="J155" s="299" t="s">
        <v>346</v>
      </c>
      <c r="K155" s="303">
        <v>870000</v>
      </c>
      <c r="L155" s="280" t="s">
        <v>277</v>
      </c>
      <c r="M155" s="276"/>
      <c r="N155" s="276"/>
      <c r="O155" s="276"/>
      <c r="P155" s="276"/>
      <c r="Q155" s="277" t="s">
        <v>10</v>
      </c>
      <c r="R155" s="276"/>
      <c r="S155" s="276" t="s">
        <v>246</v>
      </c>
      <c r="T155" s="276"/>
      <c r="U155" s="276"/>
      <c r="V155" s="281">
        <v>1</v>
      </c>
      <c r="W155" s="281"/>
      <c r="X155" s="276"/>
    </row>
    <row r="156" spans="1:24" s="283" customFormat="1" ht="35.25">
      <c r="A156" s="274">
        <v>107</v>
      </c>
      <c r="B156" s="284"/>
      <c r="C156" s="276"/>
      <c r="D156" s="276"/>
      <c r="E156" s="276"/>
      <c r="F156" s="276"/>
      <c r="G156" s="276" t="s">
        <v>52</v>
      </c>
      <c r="H156" s="276"/>
      <c r="I156" s="276"/>
      <c r="J156" s="298" t="s">
        <v>347</v>
      </c>
      <c r="K156" s="279">
        <v>760000</v>
      </c>
      <c r="L156" s="280" t="s">
        <v>280</v>
      </c>
      <c r="M156" s="276"/>
      <c r="N156" s="276"/>
      <c r="O156" s="276"/>
      <c r="P156" s="276"/>
      <c r="Q156" s="277" t="s">
        <v>10</v>
      </c>
      <c r="R156" s="276"/>
      <c r="S156" s="276" t="s">
        <v>246</v>
      </c>
      <c r="T156" s="276"/>
      <c r="U156" s="276"/>
      <c r="V156" s="281">
        <v>1</v>
      </c>
      <c r="W156" s="281"/>
      <c r="X156" s="276"/>
    </row>
    <row r="157" spans="1:24" s="283" customFormat="1" ht="37.5">
      <c r="A157" s="274">
        <v>108</v>
      </c>
      <c r="B157" s="284"/>
      <c r="C157" s="276"/>
      <c r="D157" s="276" t="s">
        <v>52</v>
      </c>
      <c r="E157" s="276"/>
      <c r="F157" s="276"/>
      <c r="G157" s="276"/>
      <c r="H157" s="276"/>
      <c r="I157" s="276"/>
      <c r="J157" s="298" t="s">
        <v>348</v>
      </c>
      <c r="K157" s="279">
        <v>100000</v>
      </c>
      <c r="L157" s="280" t="s">
        <v>280</v>
      </c>
      <c r="M157" s="276"/>
      <c r="N157" s="276"/>
      <c r="O157" s="276"/>
      <c r="P157" s="276"/>
      <c r="Q157" s="277" t="s">
        <v>10</v>
      </c>
      <c r="R157" s="276"/>
      <c r="S157" s="276" t="s">
        <v>246</v>
      </c>
      <c r="T157" s="276"/>
      <c r="U157" s="276"/>
      <c r="V157" s="281">
        <v>1</v>
      </c>
      <c r="W157" s="281"/>
      <c r="X157" s="276"/>
    </row>
    <row r="158" spans="1:24" s="283" customFormat="1" ht="20.25">
      <c r="A158" s="274">
        <v>109</v>
      </c>
      <c r="B158" s="284"/>
      <c r="C158" s="276"/>
      <c r="D158" s="276"/>
      <c r="E158" s="276"/>
      <c r="F158" s="276"/>
      <c r="G158" s="276" t="s">
        <v>52</v>
      </c>
      <c r="H158" s="276"/>
      <c r="I158" s="276"/>
      <c r="J158" s="280" t="s">
        <v>349</v>
      </c>
      <c r="K158" s="279">
        <v>54000</v>
      </c>
      <c r="L158" s="280" t="s">
        <v>280</v>
      </c>
      <c r="M158" s="276"/>
      <c r="N158" s="276"/>
      <c r="O158" s="276"/>
      <c r="P158" s="276"/>
      <c r="Q158" s="277" t="s">
        <v>10</v>
      </c>
      <c r="R158" s="276"/>
      <c r="S158" s="276" t="s">
        <v>246</v>
      </c>
      <c r="T158" s="276"/>
      <c r="U158" s="276"/>
      <c r="V158" s="281">
        <v>1</v>
      </c>
      <c r="W158" s="281"/>
      <c r="X158" s="276"/>
    </row>
    <row r="159" spans="1:24" s="283" customFormat="1" ht="20.25">
      <c r="A159" s="274">
        <v>110</v>
      </c>
      <c r="B159" s="284"/>
      <c r="C159" s="276"/>
      <c r="D159" s="276"/>
      <c r="E159" s="276"/>
      <c r="F159" s="276"/>
      <c r="G159" s="276" t="s">
        <v>52</v>
      </c>
      <c r="H159" s="276"/>
      <c r="I159" s="276"/>
      <c r="J159" s="280" t="s">
        <v>77</v>
      </c>
      <c r="K159" s="279">
        <v>81000</v>
      </c>
      <c r="L159" s="280" t="s">
        <v>280</v>
      </c>
      <c r="M159" s="276"/>
      <c r="N159" s="276"/>
      <c r="O159" s="276"/>
      <c r="P159" s="276"/>
      <c r="Q159" s="277" t="s">
        <v>10</v>
      </c>
      <c r="R159" s="276"/>
      <c r="S159" s="276" t="s">
        <v>246</v>
      </c>
      <c r="T159" s="276"/>
      <c r="U159" s="276"/>
      <c r="V159" s="281">
        <v>1</v>
      </c>
      <c r="W159" s="281"/>
      <c r="X159" s="276"/>
    </row>
    <row r="160" spans="1:24" s="283" customFormat="1" ht="37.5">
      <c r="A160" s="274">
        <v>111</v>
      </c>
      <c r="B160" s="284"/>
      <c r="C160" s="276"/>
      <c r="D160" s="276"/>
      <c r="E160" s="276"/>
      <c r="F160" s="276" t="s">
        <v>52</v>
      </c>
      <c r="G160" s="276"/>
      <c r="H160" s="276"/>
      <c r="I160" s="276"/>
      <c r="J160" s="298" t="s">
        <v>292</v>
      </c>
      <c r="K160" s="279">
        <v>150000</v>
      </c>
      <c r="L160" s="280" t="s">
        <v>280</v>
      </c>
      <c r="M160" s="276"/>
      <c r="N160" s="276"/>
      <c r="O160" s="276"/>
      <c r="P160" s="276"/>
      <c r="Q160" s="277" t="s">
        <v>10</v>
      </c>
      <c r="R160" s="276"/>
      <c r="S160" s="276" t="s">
        <v>246</v>
      </c>
      <c r="T160" s="276"/>
      <c r="U160" s="276"/>
      <c r="V160" s="281">
        <v>1</v>
      </c>
      <c r="W160" s="281"/>
      <c r="X160" s="276"/>
    </row>
    <row r="161" spans="1:24" s="283" customFormat="1" ht="20.25">
      <c r="A161" s="274">
        <v>112</v>
      </c>
      <c r="B161" s="284"/>
      <c r="C161" s="276"/>
      <c r="D161" s="276"/>
      <c r="E161" s="276"/>
      <c r="F161" s="276" t="s">
        <v>52</v>
      </c>
      <c r="G161" s="276"/>
      <c r="H161" s="276"/>
      <c r="I161" s="276"/>
      <c r="J161" s="298" t="s">
        <v>312</v>
      </c>
      <c r="K161" s="279">
        <v>50000</v>
      </c>
      <c r="L161" s="280" t="s">
        <v>280</v>
      </c>
      <c r="M161" s="276"/>
      <c r="N161" s="276"/>
      <c r="O161" s="276"/>
      <c r="P161" s="276"/>
      <c r="Q161" s="277" t="s">
        <v>10</v>
      </c>
      <c r="R161" s="276"/>
      <c r="S161" s="276" t="s">
        <v>246</v>
      </c>
      <c r="T161" s="276"/>
      <c r="U161" s="276"/>
      <c r="V161" s="281">
        <v>1</v>
      </c>
      <c r="W161" s="281"/>
      <c r="X161" s="276"/>
    </row>
    <row r="162" spans="1:24" s="283" customFormat="1" ht="37.5">
      <c r="A162" s="274">
        <v>113</v>
      </c>
      <c r="B162" s="284"/>
      <c r="C162" s="276"/>
      <c r="D162" s="276"/>
      <c r="E162" s="276"/>
      <c r="F162" s="276" t="s">
        <v>52</v>
      </c>
      <c r="G162" s="276"/>
      <c r="H162" s="276"/>
      <c r="I162" s="276"/>
      <c r="J162" s="298" t="s">
        <v>295</v>
      </c>
      <c r="K162" s="279">
        <v>25000</v>
      </c>
      <c r="L162" s="280" t="s">
        <v>280</v>
      </c>
      <c r="M162" s="276"/>
      <c r="N162" s="276"/>
      <c r="O162" s="276"/>
      <c r="P162" s="276"/>
      <c r="Q162" s="277" t="s">
        <v>10</v>
      </c>
      <c r="R162" s="276"/>
      <c r="S162" s="276" t="s">
        <v>246</v>
      </c>
      <c r="T162" s="276"/>
      <c r="U162" s="276"/>
      <c r="V162" s="281">
        <v>1</v>
      </c>
      <c r="W162" s="281"/>
      <c r="X162" s="276"/>
    </row>
    <row r="163" spans="1:24" s="283" customFormat="1" ht="20.25">
      <c r="A163" s="274">
        <v>114</v>
      </c>
      <c r="B163" s="284"/>
      <c r="C163" s="276"/>
      <c r="D163" s="276" t="s">
        <v>52</v>
      </c>
      <c r="E163" s="276"/>
      <c r="F163" s="276"/>
      <c r="G163" s="276"/>
      <c r="H163" s="276"/>
      <c r="I163" s="276"/>
      <c r="J163" s="298" t="s">
        <v>257</v>
      </c>
      <c r="K163" s="279">
        <v>11000</v>
      </c>
      <c r="L163" s="280" t="s">
        <v>280</v>
      </c>
      <c r="M163" s="276"/>
      <c r="N163" s="276"/>
      <c r="O163" s="276"/>
      <c r="P163" s="276"/>
      <c r="Q163" s="277" t="s">
        <v>10</v>
      </c>
      <c r="R163" s="276"/>
      <c r="S163" s="276" t="s">
        <v>246</v>
      </c>
      <c r="T163" s="276"/>
      <c r="U163" s="276"/>
      <c r="V163" s="281">
        <v>1</v>
      </c>
      <c r="W163" s="281"/>
      <c r="X163" s="276"/>
    </row>
    <row r="164" spans="1:24" s="283" customFormat="1" ht="20.25">
      <c r="A164" s="274">
        <v>115</v>
      </c>
      <c r="B164" s="284"/>
      <c r="C164" s="276"/>
      <c r="D164" s="276"/>
      <c r="E164" s="276"/>
      <c r="F164" s="276" t="s">
        <v>264</v>
      </c>
      <c r="G164" s="276"/>
      <c r="H164" s="276"/>
      <c r="I164" s="276"/>
      <c r="J164" s="280" t="s">
        <v>350</v>
      </c>
      <c r="K164" s="297">
        <v>1700000</v>
      </c>
      <c r="L164" s="280" t="s">
        <v>266</v>
      </c>
      <c r="M164" s="276"/>
      <c r="N164" s="276"/>
      <c r="O164" s="276"/>
      <c r="P164" s="276"/>
      <c r="Q164" s="277" t="s">
        <v>10</v>
      </c>
      <c r="R164" s="276"/>
      <c r="S164" s="276" t="s">
        <v>246</v>
      </c>
      <c r="T164" s="276"/>
      <c r="U164" s="276"/>
      <c r="V164" s="281">
        <v>1</v>
      </c>
      <c r="W164" s="281"/>
      <c r="X164" s="276"/>
    </row>
    <row r="165" spans="1:24" s="283" customFormat="1" ht="37.5">
      <c r="A165" s="274">
        <v>116</v>
      </c>
      <c r="B165" s="284"/>
      <c r="C165" s="276"/>
      <c r="D165" s="276"/>
      <c r="E165" s="276"/>
      <c r="F165" s="276"/>
      <c r="G165" s="276"/>
      <c r="H165" s="276" t="s">
        <v>52</v>
      </c>
      <c r="I165" s="276"/>
      <c r="J165" s="305" t="s">
        <v>320</v>
      </c>
      <c r="K165" s="279">
        <v>44000</v>
      </c>
      <c r="L165" s="280" t="s">
        <v>294</v>
      </c>
      <c r="M165" s="276"/>
      <c r="N165" s="276"/>
      <c r="O165" s="276"/>
      <c r="P165" s="276"/>
      <c r="Q165" s="277" t="s">
        <v>10</v>
      </c>
      <c r="R165" s="276"/>
      <c r="S165" s="276" t="s">
        <v>246</v>
      </c>
      <c r="T165" s="276"/>
      <c r="U165" s="276"/>
      <c r="V165" s="281">
        <v>1</v>
      </c>
      <c r="W165" s="281"/>
      <c r="X165" s="276"/>
    </row>
    <row r="166" spans="1:24" s="283" customFormat="1" ht="37.5">
      <c r="A166" s="274">
        <v>117</v>
      </c>
      <c r="B166" s="284"/>
      <c r="C166" s="276"/>
      <c r="D166" s="276"/>
      <c r="E166" s="276"/>
      <c r="F166" s="276" t="s">
        <v>52</v>
      </c>
      <c r="G166" s="276"/>
      <c r="H166" s="276"/>
      <c r="I166" s="276"/>
      <c r="J166" s="305" t="s">
        <v>321</v>
      </c>
      <c r="K166" s="279">
        <v>70000</v>
      </c>
      <c r="L166" s="280" t="s">
        <v>294</v>
      </c>
      <c r="M166" s="276"/>
      <c r="N166" s="276"/>
      <c r="O166" s="276"/>
      <c r="P166" s="276"/>
      <c r="Q166" s="277" t="s">
        <v>10</v>
      </c>
      <c r="R166" s="276"/>
      <c r="S166" s="276" t="s">
        <v>246</v>
      </c>
      <c r="T166" s="276"/>
      <c r="U166" s="276"/>
      <c r="V166" s="281">
        <v>1</v>
      </c>
      <c r="W166" s="281"/>
      <c r="X166" s="276"/>
    </row>
    <row r="167" spans="1:24" s="283" customFormat="1" ht="56.25">
      <c r="A167" s="274">
        <v>118</v>
      </c>
      <c r="B167" s="284"/>
      <c r="C167" s="276"/>
      <c r="D167" s="276"/>
      <c r="E167" s="276"/>
      <c r="F167" s="276"/>
      <c r="G167" s="276"/>
      <c r="H167" s="276"/>
      <c r="I167" s="276" t="s">
        <v>52</v>
      </c>
      <c r="J167" s="305" t="s">
        <v>351</v>
      </c>
      <c r="K167" s="279">
        <v>45000</v>
      </c>
      <c r="L167" s="280" t="s">
        <v>294</v>
      </c>
      <c r="M167" s="276"/>
      <c r="N167" s="276"/>
      <c r="O167" s="276"/>
      <c r="P167" s="276"/>
      <c r="Q167" s="277" t="s">
        <v>10</v>
      </c>
      <c r="R167" s="276"/>
      <c r="S167" s="276" t="s">
        <v>246</v>
      </c>
      <c r="T167" s="276"/>
      <c r="U167" s="276"/>
      <c r="V167" s="281">
        <v>1</v>
      </c>
      <c r="W167" s="281"/>
      <c r="X167" s="276"/>
    </row>
    <row r="168" spans="1:24" s="283" customFormat="1" ht="37.5">
      <c r="A168" s="274">
        <v>119</v>
      </c>
      <c r="B168" s="284"/>
      <c r="C168" s="276"/>
      <c r="D168" s="276"/>
      <c r="E168" s="276"/>
      <c r="F168" s="276"/>
      <c r="G168" s="276"/>
      <c r="H168" s="276"/>
      <c r="I168" s="276" t="s">
        <v>52</v>
      </c>
      <c r="J168" s="305" t="s">
        <v>352</v>
      </c>
      <c r="K168" s="279">
        <v>15000</v>
      </c>
      <c r="L168" s="280" t="s">
        <v>294</v>
      </c>
      <c r="M168" s="276"/>
      <c r="N168" s="276"/>
      <c r="O168" s="276"/>
      <c r="P168" s="276"/>
      <c r="Q168" s="277" t="s">
        <v>10</v>
      </c>
      <c r="R168" s="276"/>
      <c r="S168" s="276" t="s">
        <v>246</v>
      </c>
      <c r="T168" s="276"/>
      <c r="U168" s="276"/>
      <c r="V168" s="281">
        <v>1</v>
      </c>
      <c r="W168" s="281"/>
      <c r="X168" s="276"/>
    </row>
    <row r="169" spans="1:24" s="283" customFormat="1" ht="37.5">
      <c r="A169" s="274">
        <v>120</v>
      </c>
      <c r="B169" s="284"/>
      <c r="C169" s="276"/>
      <c r="D169" s="276"/>
      <c r="E169" s="276"/>
      <c r="F169" s="276"/>
      <c r="G169" s="276"/>
      <c r="H169" s="276"/>
      <c r="I169" s="276" t="s">
        <v>52</v>
      </c>
      <c r="J169" s="305" t="s">
        <v>353</v>
      </c>
      <c r="K169" s="279">
        <v>25000</v>
      </c>
      <c r="L169" s="280" t="s">
        <v>294</v>
      </c>
      <c r="M169" s="276"/>
      <c r="N169" s="276"/>
      <c r="O169" s="276"/>
      <c r="P169" s="276"/>
      <c r="Q169" s="277" t="s">
        <v>10</v>
      </c>
      <c r="R169" s="276"/>
      <c r="S169" s="276" t="s">
        <v>246</v>
      </c>
      <c r="T169" s="276"/>
      <c r="U169" s="276"/>
      <c r="V169" s="281">
        <v>1</v>
      </c>
      <c r="W169" s="281"/>
      <c r="X169" s="276"/>
    </row>
    <row r="170" spans="1:24" s="283" customFormat="1" ht="20.25">
      <c r="A170" s="274">
        <v>121</v>
      </c>
      <c r="B170" s="284"/>
      <c r="C170" s="276"/>
      <c r="D170" s="276" t="s">
        <v>52</v>
      </c>
      <c r="E170" s="276"/>
      <c r="F170" s="276"/>
      <c r="G170" s="276"/>
      <c r="H170" s="276"/>
      <c r="I170" s="276"/>
      <c r="J170" s="305" t="s">
        <v>334</v>
      </c>
      <c r="K170" s="279">
        <v>22000</v>
      </c>
      <c r="L170" s="280" t="s">
        <v>294</v>
      </c>
      <c r="M170" s="276"/>
      <c r="N170" s="276"/>
      <c r="O170" s="276"/>
      <c r="P170" s="276"/>
      <c r="Q170" s="277" t="s">
        <v>10</v>
      </c>
      <c r="R170" s="276"/>
      <c r="S170" s="276" t="s">
        <v>246</v>
      </c>
      <c r="T170" s="276"/>
      <c r="U170" s="276"/>
      <c r="V170" s="281">
        <v>1</v>
      </c>
      <c r="W170" s="281"/>
      <c r="X170" s="276"/>
    </row>
    <row r="171" spans="1:24" s="283" customFormat="1" ht="56.25">
      <c r="A171" s="274">
        <v>122</v>
      </c>
      <c r="B171" s="284"/>
      <c r="C171" s="276"/>
      <c r="D171" s="276"/>
      <c r="E171" s="276"/>
      <c r="F171" s="276"/>
      <c r="G171" s="276"/>
      <c r="H171" s="276"/>
      <c r="I171" s="276" t="s">
        <v>52</v>
      </c>
      <c r="J171" s="305" t="s">
        <v>354</v>
      </c>
      <c r="K171" s="279">
        <v>37000</v>
      </c>
      <c r="L171" s="280" t="s">
        <v>294</v>
      </c>
      <c r="M171" s="276"/>
      <c r="N171" s="276"/>
      <c r="O171" s="276"/>
      <c r="P171" s="276"/>
      <c r="Q171" s="277" t="s">
        <v>10</v>
      </c>
      <c r="R171" s="276"/>
      <c r="S171" s="276" t="s">
        <v>246</v>
      </c>
      <c r="T171" s="276"/>
      <c r="U171" s="276"/>
      <c r="V171" s="281">
        <v>1</v>
      </c>
      <c r="W171" s="281"/>
      <c r="X171" s="276"/>
    </row>
    <row r="172" spans="1:24" s="283" customFormat="1" ht="56.25">
      <c r="A172" s="274">
        <v>123</v>
      </c>
      <c r="B172" s="284"/>
      <c r="C172" s="276"/>
      <c r="D172" s="276"/>
      <c r="E172" s="276"/>
      <c r="F172" s="276"/>
      <c r="G172" s="276"/>
      <c r="H172" s="276"/>
      <c r="I172" s="276" t="s">
        <v>52</v>
      </c>
      <c r="J172" s="305" t="s">
        <v>355</v>
      </c>
      <c r="K172" s="279">
        <v>30000</v>
      </c>
      <c r="L172" s="280" t="s">
        <v>294</v>
      </c>
      <c r="M172" s="276"/>
      <c r="N172" s="276"/>
      <c r="O172" s="276"/>
      <c r="P172" s="276"/>
      <c r="Q172" s="277" t="s">
        <v>10</v>
      </c>
      <c r="R172" s="276"/>
      <c r="S172" s="276" t="s">
        <v>246</v>
      </c>
      <c r="T172" s="276"/>
      <c r="U172" s="276"/>
      <c r="V172" s="281">
        <v>1</v>
      </c>
      <c r="W172" s="281"/>
      <c r="X172" s="276"/>
    </row>
    <row r="173" spans="1:24" s="283" customFormat="1" ht="37.5">
      <c r="A173" s="274">
        <v>124</v>
      </c>
      <c r="B173" s="284"/>
      <c r="C173" s="276"/>
      <c r="D173" s="276"/>
      <c r="E173" s="276"/>
      <c r="F173" s="276"/>
      <c r="G173" s="276"/>
      <c r="H173" s="276"/>
      <c r="I173" s="276"/>
      <c r="J173" s="305" t="s">
        <v>356</v>
      </c>
      <c r="K173" s="279">
        <v>50000</v>
      </c>
      <c r="L173" s="280" t="s">
        <v>294</v>
      </c>
      <c r="M173" s="276"/>
      <c r="N173" s="276"/>
      <c r="O173" s="276"/>
      <c r="P173" s="276"/>
      <c r="Q173" s="277" t="s">
        <v>10</v>
      </c>
      <c r="R173" s="276"/>
      <c r="S173" s="276" t="s">
        <v>246</v>
      </c>
      <c r="T173" s="276"/>
      <c r="U173" s="276"/>
      <c r="V173" s="281">
        <v>1</v>
      </c>
      <c r="W173" s="281"/>
      <c r="X173" s="276"/>
    </row>
    <row r="174" spans="1:24" s="283" customFormat="1" ht="37.5">
      <c r="A174" s="274">
        <v>125</v>
      </c>
      <c r="B174" s="284"/>
      <c r="C174" s="276"/>
      <c r="D174" s="276"/>
      <c r="E174" s="276"/>
      <c r="F174" s="276"/>
      <c r="G174" s="276"/>
      <c r="H174" s="276"/>
      <c r="I174" s="276" t="s">
        <v>52</v>
      </c>
      <c r="J174" s="305" t="s">
        <v>357</v>
      </c>
      <c r="K174" s="279">
        <v>17000</v>
      </c>
      <c r="L174" s="280" t="s">
        <v>294</v>
      </c>
      <c r="M174" s="276"/>
      <c r="N174" s="276"/>
      <c r="O174" s="276"/>
      <c r="P174" s="276"/>
      <c r="Q174" s="277" t="s">
        <v>10</v>
      </c>
      <c r="R174" s="276"/>
      <c r="S174" s="276" t="s">
        <v>246</v>
      </c>
      <c r="T174" s="276"/>
      <c r="U174" s="276"/>
      <c r="V174" s="281">
        <v>1</v>
      </c>
      <c r="W174" s="281"/>
      <c r="X174" s="276"/>
    </row>
    <row r="175" spans="1:24" s="283" customFormat="1" ht="20.25">
      <c r="A175" s="274">
        <v>126</v>
      </c>
      <c r="B175" s="284"/>
      <c r="C175" s="276"/>
      <c r="D175" s="276"/>
      <c r="E175" s="276"/>
      <c r="F175" s="276"/>
      <c r="G175" s="276"/>
      <c r="H175" s="276"/>
      <c r="I175" s="276" t="s">
        <v>52</v>
      </c>
      <c r="J175" s="305" t="s">
        <v>358</v>
      </c>
      <c r="K175" s="279">
        <v>20000</v>
      </c>
      <c r="L175" s="280" t="s">
        <v>294</v>
      </c>
      <c r="M175" s="276"/>
      <c r="N175" s="276"/>
      <c r="O175" s="276"/>
      <c r="P175" s="276"/>
      <c r="Q175" s="277" t="s">
        <v>10</v>
      </c>
      <c r="R175" s="276"/>
      <c r="S175" s="276" t="s">
        <v>246</v>
      </c>
      <c r="T175" s="276"/>
      <c r="U175" s="276"/>
      <c r="V175" s="281">
        <v>1</v>
      </c>
      <c r="W175" s="281"/>
      <c r="X175" s="276"/>
    </row>
    <row r="176" spans="1:24" s="315" customFormat="1" ht="37.5">
      <c r="A176" s="274">
        <v>127</v>
      </c>
      <c r="B176" s="284"/>
      <c r="C176" s="276"/>
      <c r="D176" s="276"/>
      <c r="E176" s="276"/>
      <c r="F176" s="276"/>
      <c r="G176" s="276"/>
      <c r="H176" s="276"/>
      <c r="I176" s="276"/>
      <c r="J176" s="305" t="s">
        <v>359</v>
      </c>
      <c r="K176" s="279">
        <v>165000</v>
      </c>
      <c r="L176" s="280" t="s">
        <v>294</v>
      </c>
      <c r="M176" s="276"/>
      <c r="N176" s="276"/>
      <c r="O176" s="276"/>
      <c r="P176" s="276"/>
      <c r="Q176" s="277" t="s">
        <v>10</v>
      </c>
      <c r="R176" s="276"/>
      <c r="S176" s="276" t="s">
        <v>246</v>
      </c>
      <c r="T176" s="276"/>
      <c r="U176" s="276"/>
      <c r="V176" s="281">
        <v>1</v>
      </c>
      <c r="W176" s="281"/>
      <c r="X176" s="276"/>
    </row>
    <row r="177" spans="1:24" s="283" customFormat="1" ht="23.25" customHeight="1">
      <c r="A177" s="274">
        <v>128</v>
      </c>
      <c r="B177" s="284"/>
      <c r="C177" s="276"/>
      <c r="D177" s="276"/>
      <c r="E177" s="276"/>
      <c r="F177" s="276"/>
      <c r="G177" s="276" t="s">
        <v>52</v>
      </c>
      <c r="H177" s="276"/>
      <c r="I177" s="276"/>
      <c r="J177" s="305" t="s">
        <v>360</v>
      </c>
      <c r="K177" s="279">
        <v>81000</v>
      </c>
      <c r="L177" s="280" t="s">
        <v>294</v>
      </c>
      <c r="M177" s="276"/>
      <c r="N177" s="276"/>
      <c r="O177" s="276"/>
      <c r="P177" s="276"/>
      <c r="Q177" s="277" t="s">
        <v>10</v>
      </c>
      <c r="R177" s="276"/>
      <c r="S177" s="276" t="s">
        <v>246</v>
      </c>
      <c r="T177" s="276"/>
      <c r="U177" s="276"/>
      <c r="V177" s="281">
        <v>1</v>
      </c>
      <c r="W177" s="281"/>
      <c r="X177" s="276"/>
    </row>
    <row r="178" spans="1:24" s="283" customFormat="1" ht="23.25" customHeight="1">
      <c r="A178" s="321"/>
      <c r="B178" s="332"/>
      <c r="C178" s="323"/>
      <c r="D178" s="323"/>
      <c r="E178" s="323"/>
      <c r="F178" s="323"/>
      <c r="G178" s="323"/>
      <c r="H178" s="323"/>
      <c r="I178" s="323"/>
      <c r="J178" s="333"/>
      <c r="K178" s="334">
        <v>0</v>
      </c>
      <c r="L178" s="327"/>
      <c r="M178" s="323"/>
      <c r="N178" s="323"/>
      <c r="O178" s="323"/>
      <c r="P178" s="323"/>
      <c r="Q178" s="335"/>
      <c r="R178" s="323"/>
      <c r="S178" s="323"/>
      <c r="T178" s="336"/>
      <c r="U178" s="337"/>
      <c r="V178" s="337"/>
      <c r="W178" s="336"/>
      <c r="X178" s="336"/>
    </row>
    <row r="179" spans="1:24" s="283" customFormat="1" ht="20.25">
      <c r="A179" s="274">
        <v>129</v>
      </c>
      <c r="B179" s="275"/>
      <c r="C179" s="276"/>
      <c r="D179" s="277" t="s">
        <v>10</v>
      </c>
      <c r="E179" s="276"/>
      <c r="F179" s="276"/>
      <c r="G179" s="276"/>
      <c r="H179" s="276"/>
      <c r="I179" s="276"/>
      <c r="J179" s="280" t="s">
        <v>361</v>
      </c>
      <c r="K179" s="279">
        <v>100000</v>
      </c>
      <c r="L179" s="280" t="s">
        <v>245</v>
      </c>
      <c r="M179" s="277" t="s">
        <v>10</v>
      </c>
      <c r="N179" s="276"/>
      <c r="O179" s="276"/>
      <c r="P179" s="276"/>
      <c r="Q179" s="276"/>
      <c r="R179" s="276"/>
      <c r="S179" s="276" t="s">
        <v>246</v>
      </c>
      <c r="T179" s="282"/>
      <c r="U179" s="282"/>
      <c r="V179" s="281"/>
      <c r="W179" s="281">
        <v>1</v>
      </c>
      <c r="X179" s="282"/>
    </row>
    <row r="180" spans="1:24" s="283" customFormat="1" ht="20.25">
      <c r="A180" s="274">
        <v>130</v>
      </c>
      <c r="B180" s="275"/>
      <c r="C180" s="276"/>
      <c r="D180" s="277" t="s">
        <v>10</v>
      </c>
      <c r="E180" s="276"/>
      <c r="F180" s="276"/>
      <c r="G180" s="276"/>
      <c r="H180" s="276"/>
      <c r="I180" s="276"/>
      <c r="J180" s="278" t="s">
        <v>362</v>
      </c>
      <c r="K180" s="279">
        <v>2200000</v>
      </c>
      <c r="L180" s="280" t="s">
        <v>245</v>
      </c>
      <c r="M180" s="277" t="s">
        <v>10</v>
      </c>
      <c r="N180" s="276"/>
      <c r="O180" s="276"/>
      <c r="P180" s="276"/>
      <c r="Q180" s="276"/>
      <c r="R180" s="276"/>
      <c r="S180" s="276" t="s">
        <v>246</v>
      </c>
      <c r="T180" s="282"/>
      <c r="U180" s="282"/>
      <c r="V180" s="281"/>
      <c r="W180" s="281">
        <v>1</v>
      </c>
      <c r="X180" s="282"/>
    </row>
    <row r="181" spans="1:24" s="283" customFormat="1" ht="20.25">
      <c r="A181" s="274">
        <v>131</v>
      </c>
      <c r="B181" s="284" t="s">
        <v>52</v>
      </c>
      <c r="C181" s="276"/>
      <c r="D181" s="276"/>
      <c r="E181" s="276"/>
      <c r="F181" s="276"/>
      <c r="G181" s="276"/>
      <c r="H181" s="276"/>
      <c r="I181" s="276"/>
      <c r="J181" s="293" t="s">
        <v>363</v>
      </c>
      <c r="K181" s="294">
        <v>480000</v>
      </c>
      <c r="L181" s="280" t="s">
        <v>262</v>
      </c>
      <c r="M181" s="276"/>
      <c r="N181" s="276"/>
      <c r="O181" s="276"/>
      <c r="P181" s="276"/>
      <c r="Q181" s="277" t="s">
        <v>10</v>
      </c>
      <c r="R181" s="276"/>
      <c r="S181" s="276" t="s">
        <v>246</v>
      </c>
      <c r="T181" s="296"/>
      <c r="U181" s="296"/>
      <c r="V181" s="296"/>
      <c r="W181" s="295">
        <v>1</v>
      </c>
      <c r="X181" s="296"/>
    </row>
    <row r="182" spans="1:24" s="283" customFormat="1" ht="37.5">
      <c r="A182" s="274">
        <v>132</v>
      </c>
      <c r="B182" s="284"/>
      <c r="C182" s="276" t="s">
        <v>52</v>
      </c>
      <c r="D182" s="276"/>
      <c r="E182" s="276"/>
      <c r="F182" s="276"/>
      <c r="G182" s="276"/>
      <c r="H182" s="276"/>
      <c r="I182" s="276"/>
      <c r="J182" s="285" t="s">
        <v>195</v>
      </c>
      <c r="K182" s="279">
        <v>2000000</v>
      </c>
      <c r="L182" s="280" t="s">
        <v>252</v>
      </c>
      <c r="M182" s="276"/>
      <c r="N182" s="276"/>
      <c r="O182" s="276"/>
      <c r="P182" s="276"/>
      <c r="Q182" s="277" t="s">
        <v>10</v>
      </c>
      <c r="R182" s="276"/>
      <c r="S182" s="276" t="s">
        <v>246</v>
      </c>
      <c r="T182" s="276"/>
      <c r="U182" s="276"/>
      <c r="V182" s="281"/>
      <c r="W182" s="281">
        <v>1</v>
      </c>
      <c r="X182" s="276"/>
    </row>
    <row r="183" spans="1:24" s="283" customFormat="1" ht="20.25">
      <c r="A183" s="274">
        <v>133</v>
      </c>
      <c r="B183" s="284"/>
      <c r="C183" s="276"/>
      <c r="D183" s="276" t="s">
        <v>52</v>
      </c>
      <c r="E183" s="276"/>
      <c r="F183" s="276"/>
      <c r="G183" s="276"/>
      <c r="H183" s="276"/>
      <c r="I183" s="276"/>
      <c r="J183" s="318" t="s">
        <v>364</v>
      </c>
      <c r="K183" s="294">
        <v>375000</v>
      </c>
      <c r="L183" s="280" t="s">
        <v>262</v>
      </c>
      <c r="M183" s="276"/>
      <c r="N183" s="276"/>
      <c r="O183" s="276"/>
      <c r="P183" s="276"/>
      <c r="Q183" s="277" t="s">
        <v>10</v>
      </c>
      <c r="R183" s="276"/>
      <c r="S183" s="276" t="s">
        <v>246</v>
      </c>
      <c r="T183" s="338"/>
      <c r="U183" s="295"/>
      <c r="V183" s="295"/>
      <c r="W183" s="295">
        <v>1</v>
      </c>
      <c r="X183" s="296"/>
    </row>
    <row r="184" spans="1:24" s="283" customFormat="1" ht="60.75">
      <c r="A184" s="274">
        <v>134</v>
      </c>
      <c r="B184" s="287"/>
      <c r="C184" s="287"/>
      <c r="D184" s="287" t="s">
        <v>52</v>
      </c>
      <c r="E184" s="287"/>
      <c r="F184" s="287"/>
      <c r="G184" s="287"/>
      <c r="H184" s="287"/>
      <c r="I184" s="287"/>
      <c r="J184" s="288" t="s">
        <v>365</v>
      </c>
      <c r="K184" s="289">
        <v>500000</v>
      </c>
      <c r="L184" s="290" t="s">
        <v>259</v>
      </c>
      <c r="M184" s="287"/>
      <c r="N184" s="287"/>
      <c r="O184" s="287"/>
      <c r="P184" s="287"/>
      <c r="Q184" s="277" t="s">
        <v>10</v>
      </c>
      <c r="R184" s="287"/>
      <c r="S184" s="276" t="s">
        <v>246</v>
      </c>
      <c r="T184" s="291"/>
      <c r="U184" s="291"/>
      <c r="V184" s="292"/>
      <c r="W184" s="328">
        <v>1</v>
      </c>
      <c r="X184" s="291"/>
    </row>
    <row r="185" spans="1:24" s="283" customFormat="1" ht="20.25">
      <c r="A185" s="274">
        <v>135</v>
      </c>
      <c r="B185" s="284"/>
      <c r="C185" s="276"/>
      <c r="D185" s="276"/>
      <c r="E185" s="276"/>
      <c r="F185" s="276"/>
      <c r="G185" s="276"/>
      <c r="H185" s="276" t="s">
        <v>264</v>
      </c>
      <c r="I185" s="276"/>
      <c r="J185" s="280" t="s">
        <v>366</v>
      </c>
      <c r="K185" s="297">
        <v>2000000</v>
      </c>
      <c r="L185" s="280" t="s">
        <v>266</v>
      </c>
      <c r="M185" s="276"/>
      <c r="N185" s="276"/>
      <c r="O185" s="276"/>
      <c r="P185" s="276"/>
      <c r="Q185" s="277" t="s">
        <v>10</v>
      </c>
      <c r="R185" s="276"/>
      <c r="S185" s="276" t="s">
        <v>246</v>
      </c>
      <c r="T185" s="276"/>
      <c r="U185" s="276"/>
      <c r="V185" s="281"/>
      <c r="W185" s="281">
        <v>1</v>
      </c>
      <c r="X185" s="276"/>
    </row>
    <row r="186" spans="1:24" s="283" customFormat="1" ht="40.5">
      <c r="A186" s="274">
        <v>136</v>
      </c>
      <c r="B186" s="287"/>
      <c r="C186" s="287"/>
      <c r="D186" s="287"/>
      <c r="E186" s="287"/>
      <c r="F186" s="287"/>
      <c r="G186" s="287" t="s">
        <v>52</v>
      </c>
      <c r="H186" s="287"/>
      <c r="I186" s="287"/>
      <c r="J186" s="288" t="s">
        <v>367</v>
      </c>
      <c r="K186" s="289">
        <v>550000</v>
      </c>
      <c r="L186" s="290" t="s">
        <v>259</v>
      </c>
      <c r="M186" s="287"/>
      <c r="N186" s="287"/>
      <c r="O186" s="287"/>
      <c r="P186" s="287"/>
      <c r="Q186" s="277" t="s">
        <v>10</v>
      </c>
      <c r="R186" s="287"/>
      <c r="S186" s="276" t="s">
        <v>246</v>
      </c>
      <c r="T186" s="291"/>
      <c r="U186" s="291"/>
      <c r="V186" s="292"/>
      <c r="W186" s="328">
        <v>1</v>
      </c>
      <c r="X186" s="291"/>
    </row>
    <row r="187" spans="1:24" s="283" customFormat="1" ht="60.75">
      <c r="A187" s="274">
        <v>137</v>
      </c>
      <c r="B187" s="287"/>
      <c r="C187" s="287"/>
      <c r="D187" s="287" t="s">
        <v>52</v>
      </c>
      <c r="E187" s="287"/>
      <c r="F187" s="287"/>
      <c r="G187" s="287"/>
      <c r="H187" s="287"/>
      <c r="I187" s="287"/>
      <c r="J187" s="288" t="s">
        <v>368</v>
      </c>
      <c r="K187" s="289">
        <v>700000</v>
      </c>
      <c r="L187" s="290" t="s">
        <v>259</v>
      </c>
      <c r="M187" s="287"/>
      <c r="N187" s="287"/>
      <c r="O187" s="287"/>
      <c r="P187" s="287"/>
      <c r="Q187" s="277" t="s">
        <v>10</v>
      </c>
      <c r="R187" s="287"/>
      <c r="S187" s="276" t="s">
        <v>246</v>
      </c>
      <c r="T187" s="291"/>
      <c r="U187" s="291"/>
      <c r="V187" s="292"/>
      <c r="W187" s="328">
        <v>1</v>
      </c>
      <c r="X187" s="291"/>
    </row>
    <row r="188" spans="1:24" s="283" customFormat="1" ht="56.25">
      <c r="A188" s="274">
        <v>138</v>
      </c>
      <c r="B188" s="284"/>
      <c r="C188" s="276"/>
      <c r="D188" s="276"/>
      <c r="E188" s="276"/>
      <c r="F188" s="276" t="s">
        <v>52</v>
      </c>
      <c r="G188" s="276"/>
      <c r="H188" s="276"/>
      <c r="I188" s="276"/>
      <c r="J188" s="298" t="s">
        <v>369</v>
      </c>
      <c r="K188" s="297">
        <v>150000</v>
      </c>
      <c r="L188" s="280" t="s">
        <v>269</v>
      </c>
      <c r="M188" s="276"/>
      <c r="N188" s="276"/>
      <c r="O188" s="276"/>
      <c r="P188" s="277" t="s">
        <v>10</v>
      </c>
      <c r="Q188" s="276"/>
      <c r="R188" s="276"/>
      <c r="S188" s="276" t="s">
        <v>246</v>
      </c>
      <c r="T188" s="276"/>
      <c r="U188" s="276"/>
      <c r="V188" s="281"/>
      <c r="W188" s="281">
        <v>1</v>
      </c>
      <c r="X188" s="276"/>
    </row>
    <row r="189" spans="1:24" s="283" customFormat="1" ht="37.5">
      <c r="A189" s="274">
        <v>139</v>
      </c>
      <c r="B189" s="284"/>
      <c r="C189" s="276"/>
      <c r="D189" s="276"/>
      <c r="E189" s="276"/>
      <c r="F189" s="276"/>
      <c r="G189" s="276"/>
      <c r="H189" s="276" t="s">
        <v>52</v>
      </c>
      <c r="I189" s="276"/>
      <c r="J189" s="305" t="s">
        <v>320</v>
      </c>
      <c r="K189" s="279">
        <v>44000</v>
      </c>
      <c r="L189" s="280" t="s">
        <v>294</v>
      </c>
      <c r="M189" s="276"/>
      <c r="N189" s="276"/>
      <c r="O189" s="276"/>
      <c r="P189" s="276"/>
      <c r="Q189" s="277" t="s">
        <v>10</v>
      </c>
      <c r="R189" s="276"/>
      <c r="S189" s="276" t="s">
        <v>246</v>
      </c>
      <c r="T189" s="276"/>
      <c r="U189" s="276"/>
      <c r="V189" s="281"/>
      <c r="W189" s="281">
        <v>1</v>
      </c>
      <c r="X189" s="276"/>
    </row>
    <row r="190" spans="1:24" s="283" customFormat="1" ht="37.5">
      <c r="A190" s="274">
        <v>140</v>
      </c>
      <c r="B190" s="284"/>
      <c r="C190" s="276"/>
      <c r="D190" s="276"/>
      <c r="E190" s="276"/>
      <c r="F190" s="276" t="s">
        <v>52</v>
      </c>
      <c r="G190" s="276"/>
      <c r="H190" s="276"/>
      <c r="I190" s="276"/>
      <c r="J190" s="305" t="s">
        <v>321</v>
      </c>
      <c r="K190" s="279">
        <v>70000</v>
      </c>
      <c r="L190" s="280" t="s">
        <v>294</v>
      </c>
      <c r="M190" s="276"/>
      <c r="N190" s="276"/>
      <c r="O190" s="276"/>
      <c r="P190" s="276"/>
      <c r="Q190" s="277" t="s">
        <v>10</v>
      </c>
      <c r="R190" s="276"/>
      <c r="S190" s="276" t="s">
        <v>246</v>
      </c>
      <c r="T190" s="276"/>
      <c r="U190" s="276"/>
      <c r="V190" s="281"/>
      <c r="W190" s="281">
        <v>1</v>
      </c>
      <c r="X190" s="276"/>
    </row>
    <row r="191" spans="1:24" s="283" customFormat="1" ht="37.5">
      <c r="A191" s="274">
        <v>141</v>
      </c>
      <c r="B191" s="284"/>
      <c r="C191" s="276"/>
      <c r="D191" s="276"/>
      <c r="E191" s="276"/>
      <c r="F191" s="276"/>
      <c r="G191" s="276"/>
      <c r="H191" s="276" t="s">
        <v>52</v>
      </c>
      <c r="I191" s="276"/>
      <c r="J191" s="298" t="s">
        <v>370</v>
      </c>
      <c r="K191" s="297">
        <v>1507000</v>
      </c>
      <c r="L191" s="280" t="s">
        <v>269</v>
      </c>
      <c r="M191" s="276"/>
      <c r="N191" s="276"/>
      <c r="O191" s="276"/>
      <c r="P191" s="277" t="s">
        <v>10</v>
      </c>
      <c r="Q191" s="276"/>
      <c r="R191" s="276"/>
      <c r="S191" s="276" t="s">
        <v>246</v>
      </c>
      <c r="T191" s="276"/>
      <c r="U191" s="276"/>
      <c r="V191" s="281"/>
      <c r="W191" s="281">
        <v>1</v>
      </c>
      <c r="X191" s="276"/>
    </row>
    <row r="192" spans="1:24" s="283" customFormat="1" ht="37.5">
      <c r="A192" s="274">
        <v>142</v>
      </c>
      <c r="B192" s="284"/>
      <c r="C192" s="276"/>
      <c r="D192" s="276" t="s">
        <v>52</v>
      </c>
      <c r="E192" s="276"/>
      <c r="F192" s="276"/>
      <c r="G192" s="276"/>
      <c r="H192" s="276"/>
      <c r="I192" s="276"/>
      <c r="J192" s="299" t="s">
        <v>371</v>
      </c>
      <c r="K192" s="297">
        <v>1000000</v>
      </c>
      <c r="L192" s="280" t="s">
        <v>271</v>
      </c>
      <c r="M192" s="276"/>
      <c r="N192" s="276"/>
      <c r="O192" s="276"/>
      <c r="P192" s="276"/>
      <c r="Q192" s="276" t="s">
        <v>52</v>
      </c>
      <c r="R192" s="276"/>
      <c r="S192" s="276" t="s">
        <v>246</v>
      </c>
      <c r="T192" s="276"/>
      <c r="U192" s="276"/>
      <c r="V192" s="281"/>
      <c r="W192" s="281">
        <v>1</v>
      </c>
      <c r="X192" s="276"/>
    </row>
    <row r="193" spans="1:24" s="283" customFormat="1" ht="37.5">
      <c r="A193" s="274">
        <v>143</v>
      </c>
      <c r="B193" s="284"/>
      <c r="C193" s="276"/>
      <c r="D193" s="276" t="s">
        <v>52</v>
      </c>
      <c r="E193" s="276"/>
      <c r="F193" s="276"/>
      <c r="G193" s="276"/>
      <c r="H193" s="276"/>
      <c r="I193" s="276"/>
      <c r="J193" s="299" t="s">
        <v>279</v>
      </c>
      <c r="K193" s="297">
        <v>260000</v>
      </c>
      <c r="L193" s="280" t="s">
        <v>271</v>
      </c>
      <c r="M193" s="276"/>
      <c r="N193" s="276"/>
      <c r="O193" s="276"/>
      <c r="P193" s="276"/>
      <c r="Q193" s="277" t="s">
        <v>10</v>
      </c>
      <c r="R193" s="276"/>
      <c r="S193" s="276" t="s">
        <v>246</v>
      </c>
      <c r="T193" s="276"/>
      <c r="U193" s="276"/>
      <c r="V193" s="281"/>
      <c r="W193" s="281">
        <v>1</v>
      </c>
      <c r="X193" s="276"/>
    </row>
    <row r="194" spans="1:24" s="283" customFormat="1" ht="20.25">
      <c r="A194" s="274">
        <v>144</v>
      </c>
      <c r="B194" s="284"/>
      <c r="C194" s="276"/>
      <c r="D194" s="276"/>
      <c r="E194" s="276"/>
      <c r="F194" s="276"/>
      <c r="G194" s="276"/>
      <c r="H194" s="276"/>
      <c r="I194" s="276" t="s">
        <v>52</v>
      </c>
      <c r="J194" s="300" t="s">
        <v>372</v>
      </c>
      <c r="K194" s="301">
        <v>450000</v>
      </c>
      <c r="L194" s="280" t="s">
        <v>277</v>
      </c>
      <c r="M194" s="276"/>
      <c r="N194" s="276"/>
      <c r="O194" s="276"/>
      <c r="P194" s="276"/>
      <c r="Q194" s="277" t="s">
        <v>10</v>
      </c>
      <c r="R194" s="276"/>
      <c r="S194" s="276" t="s">
        <v>246</v>
      </c>
      <c r="T194" s="300"/>
      <c r="U194" s="300"/>
      <c r="V194" s="302"/>
      <c r="W194" s="302">
        <v>1</v>
      </c>
      <c r="X194" s="300"/>
    </row>
    <row r="195" spans="1:24" s="283" customFormat="1" ht="20.25">
      <c r="A195" s="274">
        <v>145</v>
      </c>
      <c r="B195" s="284"/>
      <c r="C195" s="276"/>
      <c r="D195" s="276" t="s">
        <v>52</v>
      </c>
      <c r="E195" s="276"/>
      <c r="F195" s="276"/>
      <c r="G195" s="276"/>
      <c r="H195" s="276"/>
      <c r="I195" s="276"/>
      <c r="J195" s="300" t="s">
        <v>265</v>
      </c>
      <c r="K195" s="301">
        <v>460000</v>
      </c>
      <c r="L195" s="280" t="s">
        <v>277</v>
      </c>
      <c r="M195" s="276"/>
      <c r="N195" s="276"/>
      <c r="O195" s="276"/>
      <c r="P195" s="276"/>
      <c r="Q195" s="277" t="s">
        <v>10</v>
      </c>
      <c r="R195" s="276"/>
      <c r="S195" s="276" t="s">
        <v>246</v>
      </c>
      <c r="T195" s="300"/>
      <c r="U195" s="300"/>
      <c r="V195" s="302"/>
      <c r="W195" s="302">
        <v>1</v>
      </c>
      <c r="X195" s="300"/>
    </row>
    <row r="196" spans="1:24" s="283" customFormat="1" ht="20.25">
      <c r="A196" s="274">
        <v>146</v>
      </c>
      <c r="B196" s="284"/>
      <c r="C196" s="276"/>
      <c r="D196" s="276" t="s">
        <v>52</v>
      </c>
      <c r="E196" s="276"/>
      <c r="F196" s="276"/>
      <c r="G196" s="276"/>
      <c r="H196" s="276"/>
      <c r="I196" s="276"/>
      <c r="J196" s="300" t="s">
        <v>282</v>
      </c>
      <c r="K196" s="301">
        <v>175000</v>
      </c>
      <c r="L196" s="280" t="s">
        <v>277</v>
      </c>
      <c r="M196" s="276"/>
      <c r="N196" s="276"/>
      <c r="O196" s="276"/>
      <c r="P196" s="276"/>
      <c r="Q196" s="277" t="s">
        <v>10</v>
      </c>
      <c r="R196" s="276"/>
      <c r="S196" s="276" t="s">
        <v>246</v>
      </c>
      <c r="T196" s="300"/>
      <c r="U196" s="300"/>
      <c r="V196" s="302"/>
      <c r="W196" s="302">
        <v>1</v>
      </c>
      <c r="X196" s="300"/>
    </row>
    <row r="197" spans="1:24" s="283" customFormat="1" ht="20.25">
      <c r="A197" s="274">
        <v>147</v>
      </c>
      <c r="B197" s="284"/>
      <c r="C197" s="276"/>
      <c r="D197" s="276"/>
      <c r="E197" s="276"/>
      <c r="F197" s="276"/>
      <c r="G197" s="276" t="s">
        <v>52</v>
      </c>
      <c r="H197" s="276"/>
      <c r="I197" s="276"/>
      <c r="J197" s="300" t="s">
        <v>373</v>
      </c>
      <c r="K197" s="301">
        <v>400000</v>
      </c>
      <c r="L197" s="280" t="s">
        <v>277</v>
      </c>
      <c r="M197" s="276"/>
      <c r="N197" s="276"/>
      <c r="O197" s="276"/>
      <c r="P197" s="276"/>
      <c r="Q197" s="277" t="s">
        <v>10</v>
      </c>
      <c r="R197" s="276"/>
      <c r="S197" s="276" t="s">
        <v>246</v>
      </c>
      <c r="T197" s="300"/>
      <c r="U197" s="300"/>
      <c r="V197" s="302"/>
      <c r="W197" s="302">
        <v>1</v>
      </c>
      <c r="X197" s="300"/>
    </row>
    <row r="198" spans="1:24" s="283" customFormat="1" ht="37.5">
      <c r="A198" s="274">
        <v>148</v>
      </c>
      <c r="B198" s="284"/>
      <c r="C198" s="276"/>
      <c r="D198" s="276"/>
      <c r="E198" s="276"/>
      <c r="F198" s="276"/>
      <c r="G198" s="276"/>
      <c r="H198" s="276" t="s">
        <v>52</v>
      </c>
      <c r="I198" s="276"/>
      <c r="J198" s="298" t="s">
        <v>374</v>
      </c>
      <c r="K198" s="279">
        <v>1198000</v>
      </c>
      <c r="L198" s="280" t="s">
        <v>375</v>
      </c>
      <c r="M198" s="276"/>
      <c r="N198" s="276"/>
      <c r="O198" s="276"/>
      <c r="P198" s="276"/>
      <c r="Q198" s="277" t="s">
        <v>10</v>
      </c>
      <c r="R198" s="276"/>
      <c r="S198" s="276" t="s">
        <v>246</v>
      </c>
      <c r="T198" s="276"/>
      <c r="U198" s="276"/>
      <c r="V198" s="281"/>
      <c r="W198" s="281">
        <v>1</v>
      </c>
      <c r="X198" s="276"/>
    </row>
    <row r="199" spans="1:24" s="283" customFormat="1" ht="37.5">
      <c r="A199" s="274">
        <v>149</v>
      </c>
      <c r="B199" s="284"/>
      <c r="C199" s="276"/>
      <c r="D199" s="276" t="s">
        <v>52</v>
      </c>
      <c r="E199" s="276"/>
      <c r="F199" s="276"/>
      <c r="G199" s="276"/>
      <c r="H199" s="276"/>
      <c r="I199" s="276"/>
      <c r="J199" s="298" t="s">
        <v>376</v>
      </c>
      <c r="K199" s="279">
        <v>120000</v>
      </c>
      <c r="L199" s="280" t="s">
        <v>375</v>
      </c>
      <c r="M199" s="276"/>
      <c r="N199" s="276"/>
      <c r="O199" s="276"/>
      <c r="P199" s="276"/>
      <c r="Q199" s="277" t="s">
        <v>10</v>
      </c>
      <c r="R199" s="276"/>
      <c r="S199" s="276" t="s">
        <v>246</v>
      </c>
      <c r="T199" s="276"/>
      <c r="U199" s="276"/>
      <c r="V199" s="281"/>
      <c r="W199" s="281">
        <v>2</v>
      </c>
      <c r="X199" s="276"/>
    </row>
    <row r="200" spans="1:24" s="283" customFormat="1" ht="37.5">
      <c r="A200" s="274">
        <v>150</v>
      </c>
      <c r="B200" s="284" t="s">
        <v>52</v>
      </c>
      <c r="C200" s="276"/>
      <c r="D200" s="276"/>
      <c r="E200" s="276"/>
      <c r="F200" s="276"/>
      <c r="G200" s="276"/>
      <c r="H200" s="276"/>
      <c r="I200" s="276"/>
      <c r="J200" s="299" t="s">
        <v>377</v>
      </c>
      <c r="K200" s="297">
        <v>330000</v>
      </c>
      <c r="L200" s="280" t="s">
        <v>277</v>
      </c>
      <c r="M200" s="276"/>
      <c r="N200" s="276"/>
      <c r="O200" s="276"/>
      <c r="P200" s="276"/>
      <c r="Q200" s="277" t="s">
        <v>10</v>
      </c>
      <c r="R200" s="276"/>
      <c r="S200" s="276" t="s">
        <v>246</v>
      </c>
      <c r="T200" s="276"/>
      <c r="U200" s="276"/>
      <c r="V200" s="281"/>
      <c r="W200" s="281">
        <v>1</v>
      </c>
      <c r="X200" s="276"/>
    </row>
    <row r="201" spans="1:24" s="283" customFormat="1" ht="37.5">
      <c r="A201" s="274">
        <v>151</v>
      </c>
      <c r="B201" s="284"/>
      <c r="C201" s="276"/>
      <c r="D201" s="276"/>
      <c r="E201" s="276"/>
      <c r="F201" s="276"/>
      <c r="G201" s="276"/>
      <c r="H201" s="276"/>
      <c r="I201" s="276"/>
      <c r="J201" s="299" t="s">
        <v>378</v>
      </c>
      <c r="K201" s="303">
        <v>650000</v>
      </c>
      <c r="L201" s="280" t="s">
        <v>277</v>
      </c>
      <c r="M201" s="276"/>
      <c r="N201" s="276"/>
      <c r="O201" s="276"/>
      <c r="P201" s="276"/>
      <c r="Q201" s="277" t="s">
        <v>10</v>
      </c>
      <c r="R201" s="276"/>
      <c r="S201" s="276" t="s">
        <v>246</v>
      </c>
      <c r="T201" s="276"/>
      <c r="U201" s="276"/>
      <c r="V201" s="281"/>
      <c r="W201" s="281">
        <v>1</v>
      </c>
      <c r="X201" s="276"/>
    </row>
    <row r="202" spans="1:24" s="283" customFormat="1" ht="37.5">
      <c r="A202" s="274">
        <v>152</v>
      </c>
      <c r="B202" s="284"/>
      <c r="C202" s="276"/>
      <c r="D202" s="276"/>
      <c r="E202" s="276"/>
      <c r="F202" s="276"/>
      <c r="G202" s="276"/>
      <c r="H202" s="276"/>
      <c r="I202" s="276" t="s">
        <v>52</v>
      </c>
      <c r="J202" s="305" t="s">
        <v>352</v>
      </c>
      <c r="K202" s="279">
        <v>15000</v>
      </c>
      <c r="L202" s="280" t="s">
        <v>294</v>
      </c>
      <c r="M202" s="276"/>
      <c r="N202" s="276"/>
      <c r="O202" s="276"/>
      <c r="P202" s="276"/>
      <c r="Q202" s="277" t="s">
        <v>10</v>
      </c>
      <c r="R202" s="276"/>
      <c r="S202" s="276" t="s">
        <v>246</v>
      </c>
      <c r="T202" s="276"/>
      <c r="U202" s="276"/>
      <c r="V202" s="281"/>
      <c r="W202" s="281">
        <v>1</v>
      </c>
      <c r="X202" s="276"/>
    </row>
    <row r="203" spans="1:24" s="283" customFormat="1" ht="37.5">
      <c r="A203" s="274">
        <v>153</v>
      </c>
      <c r="B203" s="284"/>
      <c r="C203" s="276"/>
      <c r="D203" s="276"/>
      <c r="E203" s="276"/>
      <c r="F203" s="276"/>
      <c r="G203" s="276"/>
      <c r="H203" s="276"/>
      <c r="I203" s="276" t="s">
        <v>52</v>
      </c>
      <c r="J203" s="305" t="s">
        <v>379</v>
      </c>
      <c r="K203" s="279">
        <v>15000</v>
      </c>
      <c r="L203" s="280" t="s">
        <v>294</v>
      </c>
      <c r="M203" s="276"/>
      <c r="N203" s="276"/>
      <c r="O203" s="276"/>
      <c r="P203" s="276"/>
      <c r="Q203" s="277" t="s">
        <v>10</v>
      </c>
      <c r="R203" s="276"/>
      <c r="S203" s="276" t="s">
        <v>246</v>
      </c>
      <c r="T203" s="276"/>
      <c r="U203" s="276"/>
      <c r="V203" s="281"/>
      <c r="W203" s="281">
        <v>1</v>
      </c>
      <c r="X203" s="276"/>
    </row>
    <row r="204" spans="1:24" s="283" customFormat="1" ht="20.25">
      <c r="A204" s="274">
        <v>154</v>
      </c>
      <c r="B204" s="284"/>
      <c r="C204" s="276"/>
      <c r="D204" s="276"/>
      <c r="E204" s="276"/>
      <c r="F204" s="276"/>
      <c r="G204" s="276"/>
      <c r="H204" s="276"/>
      <c r="I204" s="276" t="s">
        <v>52</v>
      </c>
      <c r="J204" s="305" t="s">
        <v>380</v>
      </c>
      <c r="K204" s="279">
        <v>13000</v>
      </c>
      <c r="L204" s="280" t="s">
        <v>294</v>
      </c>
      <c r="M204" s="276"/>
      <c r="N204" s="276"/>
      <c r="O204" s="276"/>
      <c r="P204" s="276"/>
      <c r="Q204" s="277" t="s">
        <v>10</v>
      </c>
      <c r="R204" s="276"/>
      <c r="S204" s="276" t="s">
        <v>246</v>
      </c>
      <c r="T204" s="276"/>
      <c r="U204" s="276"/>
      <c r="V204" s="281"/>
      <c r="W204" s="281">
        <v>1</v>
      </c>
      <c r="X204" s="276"/>
    </row>
    <row r="205" spans="1:24" s="283" customFormat="1" ht="56.25">
      <c r="A205" s="274">
        <v>155</v>
      </c>
      <c r="B205" s="284"/>
      <c r="C205" s="276"/>
      <c r="D205" s="276"/>
      <c r="E205" s="276"/>
      <c r="F205" s="276"/>
      <c r="G205" s="276"/>
      <c r="H205" s="276"/>
      <c r="I205" s="276" t="s">
        <v>52</v>
      </c>
      <c r="J205" s="305" t="s">
        <v>381</v>
      </c>
      <c r="K205" s="279">
        <v>28000</v>
      </c>
      <c r="L205" s="280" t="s">
        <v>294</v>
      </c>
      <c r="M205" s="276"/>
      <c r="N205" s="276"/>
      <c r="O205" s="276"/>
      <c r="P205" s="276"/>
      <c r="Q205" s="277" t="s">
        <v>10</v>
      </c>
      <c r="R205" s="276"/>
      <c r="S205" s="276" t="s">
        <v>246</v>
      </c>
      <c r="T205" s="276"/>
      <c r="U205" s="276"/>
      <c r="V205" s="281"/>
      <c r="W205" s="281">
        <v>1</v>
      </c>
      <c r="X205" s="276"/>
    </row>
    <row r="206" spans="1:24" s="283" customFormat="1" ht="37.5">
      <c r="A206" s="274">
        <v>156</v>
      </c>
      <c r="B206" s="284"/>
      <c r="C206" s="276"/>
      <c r="D206" s="276"/>
      <c r="E206" s="276"/>
      <c r="F206" s="276"/>
      <c r="G206" s="276"/>
      <c r="H206" s="276"/>
      <c r="I206" s="276" t="s">
        <v>52</v>
      </c>
      <c r="J206" s="305" t="s">
        <v>382</v>
      </c>
      <c r="K206" s="279">
        <v>18000</v>
      </c>
      <c r="L206" s="280" t="s">
        <v>294</v>
      </c>
      <c r="M206" s="276"/>
      <c r="N206" s="276"/>
      <c r="O206" s="276"/>
      <c r="P206" s="276"/>
      <c r="Q206" s="277" t="s">
        <v>10</v>
      </c>
      <c r="R206" s="276"/>
      <c r="S206" s="276" t="s">
        <v>246</v>
      </c>
      <c r="T206" s="276"/>
      <c r="U206" s="276"/>
      <c r="V206" s="281"/>
      <c r="W206" s="281">
        <v>1</v>
      </c>
      <c r="X206" s="276"/>
    </row>
    <row r="207" spans="1:24" s="283" customFormat="1" ht="20.25">
      <c r="A207" s="274">
        <v>157</v>
      </c>
      <c r="B207" s="284"/>
      <c r="C207" s="276"/>
      <c r="D207" s="276"/>
      <c r="E207" s="276"/>
      <c r="F207" s="276" t="s">
        <v>52</v>
      </c>
      <c r="G207" s="276"/>
      <c r="H207" s="276"/>
      <c r="I207" s="276"/>
      <c r="J207" s="305" t="s">
        <v>383</v>
      </c>
      <c r="K207" s="279">
        <v>150000</v>
      </c>
      <c r="L207" s="280" t="s">
        <v>294</v>
      </c>
      <c r="M207" s="276"/>
      <c r="N207" s="276"/>
      <c r="O207" s="276"/>
      <c r="P207" s="276"/>
      <c r="Q207" s="277" t="s">
        <v>10</v>
      </c>
      <c r="R207" s="276"/>
      <c r="S207" s="276" t="s">
        <v>246</v>
      </c>
      <c r="T207" s="276"/>
      <c r="U207" s="276"/>
      <c r="V207" s="281"/>
      <c r="W207" s="281">
        <v>1</v>
      </c>
      <c r="X207" s="276"/>
    </row>
    <row r="208" spans="1:24" s="315" customFormat="1" ht="20.25">
      <c r="A208" s="274">
        <v>158</v>
      </c>
      <c r="B208" s="284"/>
      <c r="C208" s="276"/>
      <c r="D208" s="276"/>
      <c r="E208" s="276"/>
      <c r="F208" s="276"/>
      <c r="G208" s="276"/>
      <c r="H208" s="276"/>
      <c r="I208" s="276" t="s">
        <v>52</v>
      </c>
      <c r="J208" s="305" t="s">
        <v>384</v>
      </c>
      <c r="K208" s="279">
        <v>245000</v>
      </c>
      <c r="L208" s="280" t="s">
        <v>294</v>
      </c>
      <c r="M208" s="276"/>
      <c r="N208" s="276"/>
      <c r="O208" s="276"/>
      <c r="P208" s="276"/>
      <c r="Q208" s="277" t="s">
        <v>10</v>
      </c>
      <c r="R208" s="276"/>
      <c r="S208" s="276" t="s">
        <v>246</v>
      </c>
      <c r="T208" s="276"/>
      <c r="U208" s="276"/>
      <c r="V208" s="281"/>
      <c r="W208" s="281">
        <v>1</v>
      </c>
      <c r="X208" s="276"/>
    </row>
    <row r="209" spans="1:24" s="283" customFormat="1" ht="23.25" customHeight="1">
      <c r="A209" s="274">
        <v>159</v>
      </c>
      <c r="B209" s="284"/>
      <c r="C209" s="276"/>
      <c r="D209" s="276"/>
      <c r="E209" s="276"/>
      <c r="F209" s="276"/>
      <c r="G209" s="276"/>
      <c r="H209" s="276"/>
      <c r="I209" s="276" t="s">
        <v>52</v>
      </c>
      <c r="J209" s="305" t="s">
        <v>322</v>
      </c>
      <c r="K209" s="279">
        <v>15000</v>
      </c>
      <c r="L209" s="280" t="s">
        <v>294</v>
      </c>
      <c r="M209" s="276"/>
      <c r="N209" s="276"/>
      <c r="O209" s="276"/>
      <c r="P209" s="276"/>
      <c r="Q209" s="277" t="s">
        <v>10</v>
      </c>
      <c r="R209" s="276"/>
      <c r="S209" s="276" t="s">
        <v>246</v>
      </c>
      <c r="T209" s="276"/>
      <c r="U209" s="276"/>
      <c r="V209" s="281"/>
      <c r="W209" s="281">
        <v>1</v>
      </c>
      <c r="X209" s="276"/>
    </row>
    <row r="210" spans="1:24" s="283" customFormat="1" ht="20.25">
      <c r="A210" s="321"/>
      <c r="B210" s="332"/>
      <c r="C210" s="323"/>
      <c r="D210" s="323"/>
      <c r="E210" s="323"/>
      <c r="F210" s="323"/>
      <c r="G210" s="323"/>
      <c r="H210" s="323"/>
      <c r="I210" s="323"/>
      <c r="J210" s="339"/>
      <c r="K210" s="326">
        <v>0</v>
      </c>
      <c r="L210" s="327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</row>
    <row r="211" spans="1:24" s="283" customFormat="1" ht="20.25">
      <c r="A211" s="274">
        <v>160</v>
      </c>
      <c r="B211" s="275"/>
      <c r="C211" s="276"/>
      <c r="D211" s="276"/>
      <c r="E211" s="276"/>
      <c r="F211" s="277" t="s">
        <v>10</v>
      </c>
      <c r="G211" s="276"/>
      <c r="H211" s="276"/>
      <c r="I211" s="276"/>
      <c r="J211" s="280" t="s">
        <v>385</v>
      </c>
      <c r="K211" s="279">
        <v>5000000</v>
      </c>
      <c r="L211" s="280" t="s">
        <v>245</v>
      </c>
      <c r="M211" s="277" t="s">
        <v>10</v>
      </c>
      <c r="N211" s="276"/>
      <c r="O211" s="276"/>
      <c r="P211" s="276"/>
      <c r="Q211" s="276"/>
      <c r="R211" s="276"/>
      <c r="S211" s="276" t="s">
        <v>246</v>
      </c>
      <c r="T211" s="282"/>
      <c r="U211" s="282"/>
      <c r="V211" s="281"/>
      <c r="W211" s="281"/>
      <c r="X211" s="282">
        <v>1</v>
      </c>
    </row>
    <row r="212" spans="1:24" s="283" customFormat="1" ht="20.25">
      <c r="A212" s="274">
        <v>161</v>
      </c>
      <c r="B212" s="284"/>
      <c r="C212" s="276"/>
      <c r="D212" s="276"/>
      <c r="E212" s="276"/>
      <c r="F212" s="276" t="s">
        <v>52</v>
      </c>
      <c r="G212" s="276"/>
      <c r="H212" s="276"/>
      <c r="I212" s="276"/>
      <c r="J212" s="280" t="s">
        <v>386</v>
      </c>
      <c r="K212" s="297">
        <v>1700000</v>
      </c>
      <c r="L212" s="280" t="s">
        <v>269</v>
      </c>
      <c r="M212" s="276"/>
      <c r="N212" s="276"/>
      <c r="O212" s="276"/>
      <c r="P212" s="277" t="s">
        <v>10</v>
      </c>
      <c r="Q212" s="276"/>
      <c r="R212" s="276"/>
      <c r="S212" s="276" t="s">
        <v>246</v>
      </c>
      <c r="T212" s="276"/>
      <c r="U212" s="276"/>
      <c r="V212" s="281"/>
      <c r="W212" s="281"/>
      <c r="X212" s="276">
        <v>1</v>
      </c>
    </row>
    <row r="213" spans="1:24" s="283" customFormat="1" ht="56.25">
      <c r="A213" s="274">
        <v>162</v>
      </c>
      <c r="B213" s="284"/>
      <c r="C213" s="276"/>
      <c r="D213" s="276"/>
      <c r="E213" s="276"/>
      <c r="F213" s="276"/>
      <c r="G213" s="276" t="s">
        <v>52</v>
      </c>
      <c r="H213" s="276"/>
      <c r="I213" s="276"/>
      <c r="J213" s="299" t="s">
        <v>387</v>
      </c>
      <c r="K213" s="297">
        <v>207000</v>
      </c>
      <c r="L213" s="280" t="s">
        <v>271</v>
      </c>
      <c r="M213" s="276"/>
      <c r="N213" s="276"/>
      <c r="O213" s="276"/>
      <c r="P213" s="276"/>
      <c r="Q213" s="277" t="s">
        <v>10</v>
      </c>
      <c r="R213" s="276"/>
      <c r="S213" s="276" t="s">
        <v>246</v>
      </c>
      <c r="T213" s="276"/>
      <c r="U213" s="276"/>
      <c r="V213" s="281"/>
      <c r="W213" s="281"/>
      <c r="X213" s="276">
        <v>1</v>
      </c>
    </row>
    <row r="214" spans="1:24" s="283" customFormat="1" ht="37.5">
      <c r="A214" s="274">
        <v>163</v>
      </c>
      <c r="B214" s="284"/>
      <c r="C214" s="276"/>
      <c r="D214" s="276"/>
      <c r="E214" s="276"/>
      <c r="F214" s="276"/>
      <c r="G214" s="276" t="s">
        <v>52</v>
      </c>
      <c r="H214" s="276"/>
      <c r="I214" s="276"/>
      <c r="J214" s="299" t="s">
        <v>388</v>
      </c>
      <c r="K214" s="297">
        <v>910000</v>
      </c>
      <c r="L214" s="280" t="s">
        <v>271</v>
      </c>
      <c r="M214" s="276"/>
      <c r="N214" s="276"/>
      <c r="O214" s="276"/>
      <c r="P214" s="276"/>
      <c r="Q214" s="277" t="s">
        <v>10</v>
      </c>
      <c r="R214" s="276"/>
      <c r="S214" s="276" t="s">
        <v>246</v>
      </c>
      <c r="T214" s="276"/>
      <c r="U214" s="276"/>
      <c r="V214" s="281"/>
      <c r="W214" s="281"/>
      <c r="X214" s="276">
        <v>1</v>
      </c>
    </row>
    <row r="215" spans="1:24" s="283" customFormat="1" ht="37.5">
      <c r="A215" s="274">
        <v>164</v>
      </c>
      <c r="B215" s="284"/>
      <c r="C215" s="276"/>
      <c r="D215" s="276"/>
      <c r="E215" s="276"/>
      <c r="F215" s="276" t="s">
        <v>52</v>
      </c>
      <c r="G215" s="276"/>
      <c r="H215" s="276"/>
      <c r="I215" s="276"/>
      <c r="J215" s="299" t="s">
        <v>389</v>
      </c>
      <c r="K215" s="303">
        <v>140000</v>
      </c>
      <c r="L215" s="280" t="s">
        <v>271</v>
      </c>
      <c r="M215" s="276"/>
      <c r="N215" s="276"/>
      <c r="O215" s="276"/>
      <c r="P215" s="276"/>
      <c r="Q215" s="277" t="s">
        <v>10</v>
      </c>
      <c r="R215" s="276"/>
      <c r="S215" s="276" t="s">
        <v>246</v>
      </c>
      <c r="T215" s="276"/>
      <c r="U215" s="276"/>
      <c r="V215" s="281"/>
      <c r="W215" s="281"/>
      <c r="X215" s="276">
        <v>2</v>
      </c>
    </row>
    <row r="216" spans="1:24" s="283" customFormat="1" ht="20.25">
      <c r="A216" s="274">
        <v>165</v>
      </c>
      <c r="B216" s="284"/>
      <c r="C216" s="276"/>
      <c r="D216" s="276" t="s">
        <v>52</v>
      </c>
      <c r="E216" s="276"/>
      <c r="F216" s="276"/>
      <c r="G216" s="276"/>
      <c r="H216" s="276"/>
      <c r="I216" s="276"/>
      <c r="J216" s="300" t="s">
        <v>92</v>
      </c>
      <c r="K216" s="301">
        <v>480000</v>
      </c>
      <c r="L216" s="280" t="s">
        <v>277</v>
      </c>
      <c r="M216" s="276"/>
      <c r="N216" s="276"/>
      <c r="O216" s="276"/>
      <c r="P216" s="276"/>
      <c r="Q216" s="277" t="s">
        <v>10</v>
      </c>
      <c r="R216" s="276"/>
      <c r="S216" s="276" t="s">
        <v>246</v>
      </c>
      <c r="T216" s="331"/>
      <c r="U216" s="300"/>
      <c r="V216" s="302"/>
      <c r="W216" s="302"/>
      <c r="X216" s="300">
        <v>1</v>
      </c>
    </row>
    <row r="217" spans="1:24" s="283" customFormat="1" ht="20.25">
      <c r="A217" s="274">
        <v>166</v>
      </c>
      <c r="B217" s="284"/>
      <c r="C217" s="276"/>
      <c r="D217" s="276"/>
      <c r="E217" s="276"/>
      <c r="F217" s="276" t="s">
        <v>52</v>
      </c>
      <c r="G217" s="276"/>
      <c r="H217" s="276"/>
      <c r="I217" s="276"/>
      <c r="J217" s="300" t="s">
        <v>390</v>
      </c>
      <c r="K217" s="301">
        <v>930000</v>
      </c>
      <c r="L217" s="280" t="s">
        <v>277</v>
      </c>
      <c r="M217" s="276"/>
      <c r="N217" s="276"/>
      <c r="O217" s="276"/>
      <c r="P217" s="276"/>
      <c r="Q217" s="277" t="s">
        <v>10</v>
      </c>
      <c r="R217" s="276"/>
      <c r="S217" s="276" t="s">
        <v>246</v>
      </c>
      <c r="T217" s="331"/>
      <c r="U217" s="300"/>
      <c r="V217" s="302"/>
      <c r="W217" s="302"/>
      <c r="X217" s="300">
        <v>1</v>
      </c>
    </row>
    <row r="218" spans="1:24" s="283" customFormat="1" ht="56.25">
      <c r="A218" s="274">
        <v>167</v>
      </c>
      <c r="B218" s="284"/>
      <c r="C218" s="276"/>
      <c r="D218" s="276"/>
      <c r="E218" s="276"/>
      <c r="F218" s="276"/>
      <c r="G218" s="276"/>
      <c r="H218" s="276"/>
      <c r="I218" s="276" t="s">
        <v>52</v>
      </c>
      <c r="J218" s="299" t="s">
        <v>391</v>
      </c>
      <c r="K218" s="297">
        <v>39000</v>
      </c>
      <c r="L218" s="280" t="s">
        <v>392</v>
      </c>
      <c r="M218" s="276"/>
      <c r="N218" s="276"/>
      <c r="O218" s="276"/>
      <c r="P218" s="276"/>
      <c r="Q218" s="277" t="s">
        <v>10</v>
      </c>
      <c r="R218" s="276"/>
      <c r="S218" s="276" t="s">
        <v>246</v>
      </c>
      <c r="T218" s="276"/>
      <c r="U218" s="276"/>
      <c r="V218" s="281"/>
      <c r="W218" s="281"/>
      <c r="X218" s="276">
        <v>1</v>
      </c>
    </row>
    <row r="219" spans="1:24" s="283" customFormat="1" ht="20.25">
      <c r="A219" s="274">
        <v>168</v>
      </c>
      <c r="B219" s="284"/>
      <c r="C219" s="276"/>
      <c r="D219" s="276" t="s">
        <v>52</v>
      </c>
      <c r="E219" s="276"/>
      <c r="F219" s="276"/>
      <c r="G219" s="276"/>
      <c r="H219" s="276"/>
      <c r="I219" s="276"/>
      <c r="J219" s="299" t="s">
        <v>393</v>
      </c>
      <c r="K219" s="297">
        <v>97000</v>
      </c>
      <c r="L219" s="280" t="s">
        <v>392</v>
      </c>
      <c r="M219" s="276"/>
      <c r="N219" s="276"/>
      <c r="O219" s="276"/>
      <c r="P219" s="276"/>
      <c r="Q219" s="277" t="s">
        <v>10</v>
      </c>
      <c r="R219" s="276"/>
      <c r="S219" s="276" t="s">
        <v>246</v>
      </c>
      <c r="T219" s="276"/>
      <c r="U219" s="276"/>
      <c r="V219" s="281"/>
      <c r="W219" s="281"/>
      <c r="X219" s="276">
        <v>1</v>
      </c>
    </row>
    <row r="220" spans="1:24" s="283" customFormat="1" ht="37.5">
      <c r="A220" s="274">
        <v>169</v>
      </c>
      <c r="B220" s="284"/>
      <c r="C220" s="276"/>
      <c r="D220" s="276"/>
      <c r="E220" s="276"/>
      <c r="F220" s="276"/>
      <c r="G220" s="276" t="s">
        <v>52</v>
      </c>
      <c r="H220" s="276"/>
      <c r="I220" s="276"/>
      <c r="J220" s="299" t="s">
        <v>394</v>
      </c>
      <c r="K220" s="297">
        <v>760000</v>
      </c>
      <c r="L220" s="280" t="s">
        <v>392</v>
      </c>
      <c r="M220" s="276"/>
      <c r="N220" s="276"/>
      <c r="O220" s="276"/>
      <c r="P220" s="276"/>
      <c r="Q220" s="277" t="s">
        <v>10</v>
      </c>
      <c r="R220" s="276"/>
      <c r="S220" s="276" t="s">
        <v>246</v>
      </c>
      <c r="T220" s="276"/>
      <c r="U220" s="276"/>
      <c r="V220" s="281"/>
      <c r="W220" s="281"/>
      <c r="X220" s="276">
        <v>1</v>
      </c>
    </row>
    <row r="221" spans="1:24" s="283" customFormat="1" ht="56.25">
      <c r="A221" s="274">
        <v>170</v>
      </c>
      <c r="B221" s="284"/>
      <c r="C221" s="276" t="s">
        <v>52</v>
      </c>
      <c r="D221" s="276"/>
      <c r="E221" s="276"/>
      <c r="F221" s="276"/>
      <c r="G221" s="276"/>
      <c r="H221" s="276"/>
      <c r="I221" s="276"/>
      <c r="J221" s="298" t="s">
        <v>395</v>
      </c>
      <c r="K221" s="279">
        <v>1133000</v>
      </c>
      <c r="L221" s="280" t="s">
        <v>280</v>
      </c>
      <c r="M221" s="276"/>
      <c r="N221" s="276"/>
      <c r="O221" s="276"/>
      <c r="P221" s="276"/>
      <c r="Q221" s="277" t="s">
        <v>10</v>
      </c>
      <c r="R221" s="276"/>
      <c r="S221" s="276" t="s">
        <v>246</v>
      </c>
      <c r="T221" s="276"/>
      <c r="U221" s="276"/>
      <c r="V221" s="281"/>
      <c r="W221" s="281"/>
      <c r="X221" s="276">
        <v>1</v>
      </c>
    </row>
    <row r="222" spans="1:24" s="283" customFormat="1" ht="20.25">
      <c r="A222" s="274">
        <v>171</v>
      </c>
      <c r="B222" s="284"/>
      <c r="C222" s="276"/>
      <c r="D222" s="276"/>
      <c r="E222" s="276"/>
      <c r="F222" s="276" t="s">
        <v>52</v>
      </c>
      <c r="G222" s="276"/>
      <c r="H222" s="276"/>
      <c r="I222" s="276"/>
      <c r="J222" s="298" t="s">
        <v>313</v>
      </c>
      <c r="K222" s="279">
        <v>75000</v>
      </c>
      <c r="L222" s="280" t="s">
        <v>280</v>
      </c>
      <c r="M222" s="276"/>
      <c r="N222" s="276"/>
      <c r="O222" s="276"/>
      <c r="P222" s="276"/>
      <c r="Q222" s="277" t="s">
        <v>10</v>
      </c>
      <c r="R222" s="276"/>
      <c r="S222" s="276" t="s">
        <v>246</v>
      </c>
      <c r="T222" s="276"/>
      <c r="U222" s="276"/>
      <c r="V222" s="281"/>
      <c r="W222" s="281"/>
      <c r="X222" s="276">
        <v>1</v>
      </c>
    </row>
    <row r="223" spans="1:24" s="283" customFormat="1" ht="20.25">
      <c r="A223" s="274">
        <v>172</v>
      </c>
      <c r="B223" s="284"/>
      <c r="C223" s="276"/>
      <c r="D223" s="276" t="s">
        <v>52</v>
      </c>
      <c r="E223" s="276"/>
      <c r="F223" s="276"/>
      <c r="G223" s="276"/>
      <c r="H223" s="276"/>
      <c r="I223" s="276"/>
      <c r="J223" s="298" t="s">
        <v>326</v>
      </c>
      <c r="K223" s="279">
        <v>22000</v>
      </c>
      <c r="L223" s="280" t="s">
        <v>280</v>
      </c>
      <c r="M223" s="276"/>
      <c r="N223" s="276"/>
      <c r="O223" s="276"/>
      <c r="P223" s="276"/>
      <c r="Q223" s="277" t="s">
        <v>10</v>
      </c>
      <c r="R223" s="276"/>
      <c r="S223" s="276" t="s">
        <v>246</v>
      </c>
      <c r="T223" s="276"/>
      <c r="U223" s="276"/>
      <c r="V223" s="281"/>
      <c r="W223" s="281"/>
      <c r="X223" s="276">
        <v>2</v>
      </c>
    </row>
    <row r="224" spans="1:24" s="283" customFormat="1" ht="37.5">
      <c r="A224" s="274">
        <v>173</v>
      </c>
      <c r="B224" s="284"/>
      <c r="C224" s="276"/>
      <c r="D224" s="276"/>
      <c r="E224" s="276"/>
      <c r="F224" s="276" t="s">
        <v>52</v>
      </c>
      <c r="G224" s="276"/>
      <c r="H224" s="276"/>
      <c r="I224" s="276"/>
      <c r="J224" s="285" t="s">
        <v>396</v>
      </c>
      <c r="K224" s="279">
        <v>930000</v>
      </c>
      <c r="L224" s="280" t="s">
        <v>252</v>
      </c>
      <c r="M224" s="276"/>
      <c r="N224" s="276"/>
      <c r="O224" s="276"/>
      <c r="P224" s="276"/>
      <c r="Q224" s="277" t="s">
        <v>10</v>
      </c>
      <c r="R224" s="276"/>
      <c r="S224" s="276" t="s">
        <v>246</v>
      </c>
      <c r="T224" s="276"/>
      <c r="U224" s="276"/>
      <c r="V224" s="281"/>
      <c r="W224" s="281"/>
      <c r="X224" s="276">
        <v>1</v>
      </c>
    </row>
    <row r="225" spans="1:24" s="283" customFormat="1" ht="20.25">
      <c r="A225" s="274">
        <v>174</v>
      </c>
      <c r="B225" s="284"/>
      <c r="C225" s="276"/>
      <c r="D225" s="276" t="s">
        <v>52</v>
      </c>
      <c r="E225" s="276"/>
      <c r="F225" s="276"/>
      <c r="G225" s="276"/>
      <c r="H225" s="276"/>
      <c r="I225" s="276"/>
      <c r="J225" s="285" t="s">
        <v>397</v>
      </c>
      <c r="K225" s="279">
        <v>750000</v>
      </c>
      <c r="L225" s="280" t="s">
        <v>252</v>
      </c>
      <c r="M225" s="276"/>
      <c r="N225" s="276"/>
      <c r="O225" s="276"/>
      <c r="P225" s="276"/>
      <c r="Q225" s="277" t="s">
        <v>10</v>
      </c>
      <c r="R225" s="276"/>
      <c r="S225" s="276" t="s">
        <v>246</v>
      </c>
      <c r="T225" s="276"/>
      <c r="U225" s="276"/>
      <c r="V225" s="281"/>
      <c r="W225" s="281"/>
      <c r="X225" s="276">
        <v>1</v>
      </c>
    </row>
    <row r="226" spans="1:24" s="283" customFormat="1" ht="37.5">
      <c r="A226" s="274">
        <v>175</v>
      </c>
      <c r="B226" s="284"/>
      <c r="C226" s="276"/>
      <c r="D226" s="276"/>
      <c r="E226" s="276"/>
      <c r="F226" s="276" t="s">
        <v>52</v>
      </c>
      <c r="G226" s="276"/>
      <c r="H226" s="276"/>
      <c r="I226" s="276"/>
      <c r="J226" s="305" t="s">
        <v>321</v>
      </c>
      <c r="K226" s="279">
        <v>70000</v>
      </c>
      <c r="L226" s="280" t="s">
        <v>294</v>
      </c>
      <c r="M226" s="276"/>
      <c r="N226" s="276"/>
      <c r="O226" s="276"/>
      <c r="P226" s="276"/>
      <c r="Q226" s="277" t="s">
        <v>10</v>
      </c>
      <c r="R226" s="276"/>
      <c r="S226" s="276" t="s">
        <v>246</v>
      </c>
      <c r="T226" s="276"/>
      <c r="U226" s="276"/>
      <c r="V226" s="281"/>
      <c r="W226" s="281"/>
      <c r="X226" s="276">
        <v>1</v>
      </c>
    </row>
    <row r="227" spans="1:24" s="283" customFormat="1" ht="20.25">
      <c r="A227" s="274">
        <v>176</v>
      </c>
      <c r="B227" s="284"/>
      <c r="C227" s="276"/>
      <c r="D227" s="276"/>
      <c r="E227" s="276"/>
      <c r="F227" s="276"/>
      <c r="G227" s="276"/>
      <c r="H227" s="276"/>
      <c r="I227" s="276" t="s">
        <v>52</v>
      </c>
      <c r="J227" s="305" t="s">
        <v>398</v>
      </c>
      <c r="K227" s="279">
        <v>11000</v>
      </c>
      <c r="L227" s="280" t="s">
        <v>294</v>
      </c>
      <c r="M227" s="276"/>
      <c r="N227" s="276"/>
      <c r="O227" s="276"/>
      <c r="P227" s="276"/>
      <c r="Q227" s="277" t="s">
        <v>10</v>
      </c>
      <c r="R227" s="276"/>
      <c r="S227" s="276" t="s">
        <v>246</v>
      </c>
      <c r="T227" s="276"/>
      <c r="U227" s="276"/>
      <c r="V227" s="281"/>
      <c r="W227" s="281"/>
      <c r="X227" s="276">
        <v>1</v>
      </c>
    </row>
    <row r="228" spans="1:24" s="283" customFormat="1" ht="37.5">
      <c r="A228" s="274">
        <v>177</v>
      </c>
      <c r="B228" s="284"/>
      <c r="C228" s="276"/>
      <c r="D228" s="276"/>
      <c r="E228" s="276"/>
      <c r="F228" s="276"/>
      <c r="G228" s="276"/>
      <c r="H228" s="276"/>
      <c r="I228" s="276" t="s">
        <v>52</v>
      </c>
      <c r="J228" s="305" t="s">
        <v>352</v>
      </c>
      <c r="K228" s="279">
        <v>15000</v>
      </c>
      <c r="L228" s="280" t="s">
        <v>294</v>
      </c>
      <c r="M228" s="276"/>
      <c r="N228" s="276"/>
      <c r="O228" s="276"/>
      <c r="P228" s="276"/>
      <c r="Q228" s="277" t="s">
        <v>10</v>
      </c>
      <c r="R228" s="276"/>
      <c r="S228" s="276" t="s">
        <v>246</v>
      </c>
      <c r="T228" s="276"/>
      <c r="U228" s="276"/>
      <c r="V228" s="281"/>
      <c r="W228" s="281"/>
      <c r="X228" s="276">
        <v>1</v>
      </c>
    </row>
    <row r="229" spans="1:24" s="283" customFormat="1" ht="20.25">
      <c r="A229" s="274">
        <v>178</v>
      </c>
      <c r="B229" s="284"/>
      <c r="C229" s="276"/>
      <c r="D229" s="276"/>
      <c r="E229" s="276"/>
      <c r="F229" s="276"/>
      <c r="G229" s="276"/>
      <c r="H229" s="276"/>
      <c r="I229" s="276" t="s">
        <v>52</v>
      </c>
      <c r="J229" s="305" t="s">
        <v>399</v>
      </c>
      <c r="K229" s="279">
        <v>20000</v>
      </c>
      <c r="L229" s="280" t="s">
        <v>294</v>
      </c>
      <c r="M229" s="276"/>
      <c r="N229" s="276"/>
      <c r="O229" s="276"/>
      <c r="P229" s="276"/>
      <c r="Q229" s="277" t="s">
        <v>10</v>
      </c>
      <c r="R229" s="276"/>
      <c r="S229" s="276" t="s">
        <v>246</v>
      </c>
      <c r="T229" s="276"/>
      <c r="U229" s="276"/>
      <c r="V229" s="281"/>
      <c r="W229" s="281"/>
      <c r="X229" s="276">
        <v>1</v>
      </c>
    </row>
    <row r="230" spans="1:24" s="283" customFormat="1" ht="56.25">
      <c r="A230" s="274">
        <v>179</v>
      </c>
      <c r="B230" s="284"/>
      <c r="C230" s="276"/>
      <c r="D230" s="276"/>
      <c r="E230" s="276"/>
      <c r="F230" s="276"/>
      <c r="G230" s="276"/>
      <c r="H230" s="276"/>
      <c r="I230" s="276" t="s">
        <v>52</v>
      </c>
      <c r="J230" s="305" t="s">
        <v>355</v>
      </c>
      <c r="K230" s="279">
        <v>30000</v>
      </c>
      <c r="L230" s="280" t="s">
        <v>294</v>
      </c>
      <c r="M230" s="276"/>
      <c r="N230" s="276"/>
      <c r="O230" s="276"/>
      <c r="P230" s="276"/>
      <c r="Q230" s="277" t="s">
        <v>10</v>
      </c>
      <c r="R230" s="276"/>
      <c r="S230" s="276" t="s">
        <v>246</v>
      </c>
      <c r="T230" s="276"/>
      <c r="U230" s="276"/>
      <c r="V230" s="281"/>
      <c r="W230" s="281"/>
      <c r="X230" s="276">
        <v>1</v>
      </c>
    </row>
    <row r="231" spans="1:24" s="283" customFormat="1" ht="20.25">
      <c r="A231" s="274">
        <v>180</v>
      </c>
      <c r="B231" s="284" t="s">
        <v>52</v>
      </c>
      <c r="C231" s="276"/>
      <c r="D231" s="276"/>
      <c r="E231" s="276"/>
      <c r="F231" s="276"/>
      <c r="G231" s="276"/>
      <c r="H231" s="276"/>
      <c r="I231" s="276"/>
      <c r="J231" s="305" t="s">
        <v>400</v>
      </c>
      <c r="K231" s="279">
        <v>380000</v>
      </c>
      <c r="L231" s="280" t="s">
        <v>294</v>
      </c>
      <c r="M231" s="276"/>
      <c r="N231" s="276"/>
      <c r="O231" s="276"/>
      <c r="P231" s="276"/>
      <c r="Q231" s="277" t="s">
        <v>10</v>
      </c>
      <c r="R231" s="276"/>
      <c r="S231" s="276" t="s">
        <v>246</v>
      </c>
      <c r="T231" s="276"/>
      <c r="U231" s="276"/>
      <c r="V231" s="281"/>
      <c r="W231" s="281"/>
      <c r="X231" s="276">
        <v>1</v>
      </c>
    </row>
    <row r="232" spans="1:24" s="283" customFormat="1" ht="20.25">
      <c r="A232" s="274">
        <v>181</v>
      </c>
      <c r="B232" s="284"/>
      <c r="C232" s="276"/>
      <c r="D232" s="276"/>
      <c r="E232" s="276"/>
      <c r="F232" s="276"/>
      <c r="G232" s="276" t="s">
        <v>52</v>
      </c>
      <c r="H232" s="276"/>
      <c r="I232" s="276"/>
      <c r="J232" s="305" t="s">
        <v>401</v>
      </c>
      <c r="K232" s="279">
        <v>20000</v>
      </c>
      <c r="L232" s="280" t="s">
        <v>294</v>
      </c>
      <c r="M232" s="276"/>
      <c r="N232" s="276"/>
      <c r="O232" s="276"/>
      <c r="P232" s="276"/>
      <c r="Q232" s="277" t="s">
        <v>10</v>
      </c>
      <c r="R232" s="276"/>
      <c r="S232" s="276" t="s">
        <v>246</v>
      </c>
      <c r="T232" s="276"/>
      <c r="U232" s="276"/>
      <c r="V232" s="281"/>
      <c r="W232" s="281"/>
      <c r="X232" s="276">
        <v>1</v>
      </c>
    </row>
    <row r="233" spans="1:24" s="283" customFormat="1" ht="60.75">
      <c r="A233" s="274">
        <v>182</v>
      </c>
      <c r="B233" s="287"/>
      <c r="C233" s="287"/>
      <c r="D233" s="287"/>
      <c r="E233" s="287"/>
      <c r="F233" s="287"/>
      <c r="G233" s="287"/>
      <c r="H233" s="287"/>
      <c r="I233" s="287"/>
      <c r="J233" s="288" t="s">
        <v>402</v>
      </c>
      <c r="K233" s="289">
        <v>1340000</v>
      </c>
      <c r="L233" s="290" t="s">
        <v>259</v>
      </c>
      <c r="M233" s="287"/>
      <c r="N233" s="287"/>
      <c r="O233" s="287"/>
      <c r="P233" s="287"/>
      <c r="Q233" s="277" t="s">
        <v>10</v>
      </c>
      <c r="R233" s="287"/>
      <c r="S233" s="276" t="s">
        <v>246</v>
      </c>
      <c r="T233" s="291"/>
      <c r="U233" s="291"/>
      <c r="V233" s="292"/>
      <c r="W233" s="292"/>
      <c r="X233" s="286">
        <v>1</v>
      </c>
    </row>
    <row r="234" spans="1:24" s="283" customFormat="1" ht="60.75">
      <c r="A234" s="274">
        <v>183</v>
      </c>
      <c r="B234" s="287" t="s">
        <v>52</v>
      </c>
      <c r="C234" s="287"/>
      <c r="D234" s="287"/>
      <c r="E234" s="287"/>
      <c r="F234" s="287"/>
      <c r="G234" s="287"/>
      <c r="H234" s="287"/>
      <c r="I234" s="287"/>
      <c r="J234" s="288" t="s">
        <v>403</v>
      </c>
      <c r="K234" s="289">
        <v>280000</v>
      </c>
      <c r="L234" s="290" t="s">
        <v>259</v>
      </c>
      <c r="M234" s="287"/>
      <c r="N234" s="287"/>
      <c r="O234" s="287"/>
      <c r="P234" s="287"/>
      <c r="Q234" s="277" t="s">
        <v>10</v>
      </c>
      <c r="R234" s="287"/>
      <c r="S234" s="276" t="s">
        <v>246</v>
      </c>
      <c r="T234" s="291"/>
      <c r="U234" s="291"/>
      <c r="V234" s="292"/>
      <c r="W234" s="292"/>
      <c r="X234" s="286">
        <v>1</v>
      </c>
    </row>
    <row r="235" spans="1:24" s="283" customFormat="1" ht="40.5">
      <c r="A235" s="274">
        <v>184</v>
      </c>
      <c r="B235" s="287"/>
      <c r="C235" s="287"/>
      <c r="D235" s="287" t="s">
        <v>52</v>
      </c>
      <c r="E235" s="287"/>
      <c r="F235" s="287"/>
      <c r="G235" s="287"/>
      <c r="H235" s="287"/>
      <c r="I235" s="287"/>
      <c r="J235" s="288" t="s">
        <v>404</v>
      </c>
      <c r="K235" s="289">
        <v>160000</v>
      </c>
      <c r="L235" s="290" t="s">
        <v>259</v>
      </c>
      <c r="M235" s="287"/>
      <c r="N235" s="287"/>
      <c r="O235" s="287"/>
      <c r="P235" s="287"/>
      <c r="Q235" s="277" t="s">
        <v>10</v>
      </c>
      <c r="R235" s="287"/>
      <c r="S235" s="276" t="s">
        <v>246</v>
      </c>
      <c r="T235" s="291"/>
      <c r="U235" s="291"/>
      <c r="V235" s="292"/>
      <c r="W235" s="292"/>
      <c r="X235" s="291">
        <v>1</v>
      </c>
    </row>
    <row r="236" spans="1:24" s="283" customFormat="1" ht="40.5">
      <c r="A236" s="274">
        <v>185</v>
      </c>
      <c r="B236" s="287"/>
      <c r="C236" s="287"/>
      <c r="D236" s="287" t="s">
        <v>52</v>
      </c>
      <c r="E236" s="287"/>
      <c r="F236" s="287"/>
      <c r="G236" s="287"/>
      <c r="H236" s="287"/>
      <c r="I236" s="287"/>
      <c r="J236" s="288" t="s">
        <v>333</v>
      </c>
      <c r="K236" s="289">
        <v>75000</v>
      </c>
      <c r="L236" s="290" t="s">
        <v>259</v>
      </c>
      <c r="M236" s="287"/>
      <c r="N236" s="287"/>
      <c r="O236" s="287"/>
      <c r="P236" s="287"/>
      <c r="Q236" s="277" t="s">
        <v>10</v>
      </c>
      <c r="R236" s="287"/>
      <c r="S236" s="276" t="s">
        <v>246</v>
      </c>
      <c r="T236" s="291"/>
      <c r="U236" s="291"/>
      <c r="V236" s="292"/>
      <c r="W236" s="292"/>
      <c r="X236" s="291">
        <v>1</v>
      </c>
    </row>
    <row r="237" spans="1:24" s="315" customFormat="1" ht="20.25">
      <c r="A237" s="274">
        <v>186</v>
      </c>
      <c r="B237" s="284"/>
      <c r="C237" s="276"/>
      <c r="D237" s="276"/>
      <c r="E237" s="276"/>
      <c r="F237" s="276"/>
      <c r="G237" s="276" t="s">
        <v>52</v>
      </c>
      <c r="H237" s="276"/>
      <c r="I237" s="276"/>
      <c r="J237" s="318" t="s">
        <v>397</v>
      </c>
      <c r="K237" s="294">
        <v>750000</v>
      </c>
      <c r="L237" s="280" t="s">
        <v>262</v>
      </c>
      <c r="M237" s="276"/>
      <c r="N237" s="276"/>
      <c r="O237" s="276"/>
      <c r="P237" s="276"/>
      <c r="Q237" s="277" t="s">
        <v>10</v>
      </c>
      <c r="R237" s="276"/>
      <c r="S237" s="276" t="s">
        <v>246</v>
      </c>
      <c r="T237" s="296"/>
      <c r="U237" s="296"/>
      <c r="V237" s="296"/>
      <c r="W237" s="296"/>
      <c r="X237" s="295">
        <v>1</v>
      </c>
    </row>
    <row r="238" spans="1:24" s="315" customFormat="1" ht="20.25">
      <c r="A238" s="274">
        <v>187</v>
      </c>
      <c r="B238" s="284"/>
      <c r="C238" s="276"/>
      <c r="D238" s="276"/>
      <c r="E238" s="276"/>
      <c r="F238" s="276"/>
      <c r="G238" s="276" t="s">
        <v>52</v>
      </c>
      <c r="H238" s="276"/>
      <c r="I238" s="276"/>
      <c r="J238" s="318" t="s">
        <v>405</v>
      </c>
      <c r="K238" s="294">
        <v>700000</v>
      </c>
      <c r="L238" s="280" t="s">
        <v>262</v>
      </c>
      <c r="M238" s="276"/>
      <c r="N238" s="276"/>
      <c r="O238" s="276"/>
      <c r="P238" s="276"/>
      <c r="Q238" s="277" t="s">
        <v>10</v>
      </c>
      <c r="R238" s="276"/>
      <c r="S238" s="276" t="s">
        <v>246</v>
      </c>
      <c r="T238" s="296"/>
      <c r="U238" s="296"/>
      <c r="V238" s="296"/>
      <c r="W238" s="296"/>
      <c r="X238" s="295">
        <v>1</v>
      </c>
    </row>
    <row r="239" spans="1:24" s="315" customFormat="1" ht="20.25">
      <c r="A239" s="340"/>
      <c r="B239" s="341"/>
      <c r="C239" s="342"/>
      <c r="D239" s="342"/>
      <c r="E239" s="342"/>
      <c r="F239" s="342"/>
      <c r="G239" s="342"/>
      <c r="H239" s="342"/>
      <c r="I239" s="342"/>
      <c r="J239" s="343"/>
      <c r="K239" s="344">
        <v>0</v>
      </c>
      <c r="L239" s="345"/>
      <c r="M239" s="342"/>
      <c r="N239" s="342"/>
      <c r="O239" s="342"/>
      <c r="P239" s="342"/>
      <c r="Q239" s="342"/>
      <c r="R239" s="342"/>
      <c r="S239" s="342"/>
      <c r="T239" s="342"/>
      <c r="U239" s="342"/>
      <c r="V239" s="342"/>
      <c r="W239" s="342"/>
      <c r="X239" s="342"/>
    </row>
    <row r="240" spans="1:24" s="315" customFormat="1" ht="37.5">
      <c r="A240" s="346">
        <v>188</v>
      </c>
      <c r="B240" s="347"/>
      <c r="C240" s="281"/>
      <c r="D240" s="281"/>
      <c r="E240" s="281"/>
      <c r="F240" s="281"/>
      <c r="G240" s="281"/>
      <c r="H240" s="281" t="s">
        <v>91</v>
      </c>
      <c r="I240" s="281"/>
      <c r="J240" s="348" t="s">
        <v>406</v>
      </c>
      <c r="K240" s="349">
        <v>787000</v>
      </c>
      <c r="L240" s="350" t="s">
        <v>407</v>
      </c>
      <c r="M240" s="351"/>
      <c r="N240" s="351"/>
      <c r="O240" s="281"/>
      <c r="P240" s="352"/>
      <c r="Q240" s="351"/>
      <c r="R240" s="277" t="s">
        <v>10</v>
      </c>
      <c r="S240" s="281" t="s">
        <v>246</v>
      </c>
      <c r="T240" s="281">
        <v>1</v>
      </c>
      <c r="U240" s="281"/>
      <c r="V240" s="281"/>
      <c r="W240" s="281"/>
      <c r="X240" s="281"/>
    </row>
    <row r="241" spans="1:24" s="315" customFormat="1" ht="37.5">
      <c r="A241" s="346">
        <v>189</v>
      </c>
      <c r="B241" s="347"/>
      <c r="C241" s="281"/>
      <c r="D241" s="281"/>
      <c r="E241" s="281"/>
      <c r="F241" s="281"/>
      <c r="G241" s="281"/>
      <c r="H241" s="281" t="s">
        <v>91</v>
      </c>
      <c r="I241" s="281"/>
      <c r="J241" s="348" t="s">
        <v>406</v>
      </c>
      <c r="K241" s="349">
        <v>787000</v>
      </c>
      <c r="L241" s="353" t="s">
        <v>408</v>
      </c>
      <c r="M241" s="354"/>
      <c r="N241" s="281"/>
      <c r="O241" s="281"/>
      <c r="P241" s="355"/>
      <c r="Q241" s="354"/>
      <c r="R241" s="277" t="s">
        <v>10</v>
      </c>
      <c r="S241" s="281" t="s">
        <v>246</v>
      </c>
      <c r="T241" s="281">
        <v>1</v>
      </c>
      <c r="U241" s="281"/>
      <c r="V241" s="281"/>
      <c r="W241" s="281"/>
      <c r="X241" s="281"/>
    </row>
    <row r="242" spans="1:24" s="315" customFormat="1" ht="37.5">
      <c r="A242" s="346">
        <v>190</v>
      </c>
      <c r="B242" s="347"/>
      <c r="C242" s="281"/>
      <c r="D242" s="281"/>
      <c r="E242" s="281"/>
      <c r="F242" s="281"/>
      <c r="G242" s="281"/>
      <c r="H242" s="281" t="s">
        <v>91</v>
      </c>
      <c r="I242" s="281"/>
      <c r="J242" s="348" t="s">
        <v>406</v>
      </c>
      <c r="K242" s="349">
        <v>787000</v>
      </c>
      <c r="L242" s="353" t="s">
        <v>409</v>
      </c>
      <c r="M242" s="354"/>
      <c r="N242" s="281"/>
      <c r="O242" s="281"/>
      <c r="P242" s="355"/>
      <c r="Q242" s="354"/>
      <c r="R242" s="277" t="s">
        <v>10</v>
      </c>
      <c r="S242" s="281" t="s">
        <v>246</v>
      </c>
      <c r="T242" s="281">
        <v>1</v>
      </c>
      <c r="U242" s="281"/>
      <c r="V242" s="281"/>
      <c r="W242" s="281"/>
      <c r="X242" s="281"/>
    </row>
    <row r="243" spans="1:24" s="315" customFormat="1">
      <c r="A243" s="346">
        <v>191</v>
      </c>
      <c r="B243" s="347"/>
      <c r="C243" s="281"/>
      <c r="D243" s="281"/>
      <c r="E243" s="281"/>
      <c r="F243" s="281"/>
      <c r="G243" s="281"/>
      <c r="H243" s="281" t="s">
        <v>264</v>
      </c>
      <c r="I243" s="281"/>
      <c r="J243" s="834" t="s">
        <v>806</v>
      </c>
      <c r="K243" s="835">
        <v>1070000</v>
      </c>
      <c r="L243" s="834" t="s">
        <v>411</v>
      </c>
      <c r="M243" s="354"/>
      <c r="N243" s="281"/>
      <c r="O243" s="281"/>
      <c r="P243" s="355"/>
      <c r="Q243" s="354"/>
      <c r="R243" s="277" t="s">
        <v>10</v>
      </c>
      <c r="S243" s="281" t="s">
        <v>246</v>
      </c>
      <c r="T243" s="281"/>
      <c r="U243" s="281">
        <v>1</v>
      </c>
      <c r="V243" s="281"/>
      <c r="W243" s="281"/>
      <c r="X243" s="281"/>
    </row>
    <row r="244" spans="1:24" s="315" customFormat="1">
      <c r="A244" s="346">
        <v>192</v>
      </c>
      <c r="B244" s="347"/>
      <c r="C244" s="281"/>
      <c r="D244" s="281"/>
      <c r="E244" s="281"/>
      <c r="F244" s="281"/>
      <c r="G244" s="281"/>
      <c r="H244" s="281" t="s">
        <v>91</v>
      </c>
      <c r="I244" s="281"/>
      <c r="J244" s="834" t="s">
        <v>806</v>
      </c>
      <c r="K244" s="835">
        <v>1070000</v>
      </c>
      <c r="L244" s="834" t="s">
        <v>807</v>
      </c>
      <c r="M244" s="354"/>
      <c r="N244" s="281"/>
      <c r="O244" s="281"/>
      <c r="P244" s="355"/>
      <c r="Q244" s="354"/>
      <c r="R244" s="277" t="s">
        <v>10</v>
      </c>
      <c r="S244" s="281" t="s">
        <v>246</v>
      </c>
      <c r="T244" s="281"/>
      <c r="U244" s="281">
        <v>1</v>
      </c>
      <c r="V244" s="281"/>
      <c r="W244" s="281"/>
      <c r="X244" s="281"/>
    </row>
    <row r="245" spans="1:24" s="315" customFormat="1">
      <c r="A245" s="346">
        <v>193</v>
      </c>
      <c r="B245" s="347"/>
      <c r="C245" s="281"/>
      <c r="D245" s="281"/>
      <c r="E245" s="281"/>
      <c r="F245" s="281"/>
      <c r="G245" s="281"/>
      <c r="H245" s="281" t="s">
        <v>91</v>
      </c>
      <c r="I245" s="281"/>
      <c r="J245" s="834" t="s">
        <v>808</v>
      </c>
      <c r="K245" s="835">
        <v>787000</v>
      </c>
      <c r="L245" s="834" t="s">
        <v>425</v>
      </c>
      <c r="M245" s="354"/>
      <c r="N245" s="281"/>
      <c r="O245" s="281"/>
      <c r="P245" s="355"/>
      <c r="Q245" s="354"/>
      <c r="R245" s="277" t="s">
        <v>10</v>
      </c>
      <c r="S245" s="281" t="s">
        <v>246</v>
      </c>
      <c r="T245" s="281"/>
      <c r="U245" s="281">
        <v>1</v>
      </c>
      <c r="V245" s="281"/>
      <c r="W245" s="281"/>
      <c r="X245" s="281"/>
    </row>
    <row r="246" spans="1:24" s="315" customFormat="1" ht="20.25">
      <c r="A246" s="346">
        <v>194</v>
      </c>
      <c r="B246" s="347"/>
      <c r="C246" s="281"/>
      <c r="D246" s="281" t="s">
        <v>52</v>
      </c>
      <c r="E246" s="281"/>
      <c r="F246" s="281"/>
      <c r="G246" s="281"/>
      <c r="H246" s="281"/>
      <c r="I246" s="281"/>
      <c r="J246" s="356" t="s">
        <v>265</v>
      </c>
      <c r="K246" s="357">
        <v>460000</v>
      </c>
      <c r="L246" s="353" t="s">
        <v>410</v>
      </c>
      <c r="M246" s="281"/>
      <c r="N246" s="281"/>
      <c r="O246" s="281"/>
      <c r="P246" s="281"/>
      <c r="Q246" s="281"/>
      <c r="R246" s="277" t="s">
        <v>10</v>
      </c>
      <c r="S246" s="281" t="s">
        <v>246</v>
      </c>
      <c r="T246" s="281"/>
      <c r="U246" s="281">
        <v>1</v>
      </c>
      <c r="V246" s="281"/>
      <c r="W246" s="281"/>
      <c r="X246" s="281"/>
    </row>
    <row r="247" spans="1:24" s="315" customFormat="1" ht="20.25">
      <c r="A247" s="346">
        <v>195</v>
      </c>
      <c r="B247" s="347"/>
      <c r="C247" s="281"/>
      <c r="D247" s="281" t="s">
        <v>52</v>
      </c>
      <c r="E247" s="281"/>
      <c r="F247" s="281"/>
      <c r="G247" s="281"/>
      <c r="H247" s="281"/>
      <c r="I247" s="281"/>
      <c r="J247" s="356" t="s">
        <v>265</v>
      </c>
      <c r="K247" s="357">
        <v>460000</v>
      </c>
      <c r="L247" s="353" t="s">
        <v>411</v>
      </c>
      <c r="M247" s="281"/>
      <c r="N247" s="281"/>
      <c r="O247" s="281"/>
      <c r="P247" s="281"/>
      <c r="Q247" s="281"/>
      <c r="R247" s="277" t="s">
        <v>10</v>
      </c>
      <c r="S247" s="281" t="s">
        <v>246</v>
      </c>
      <c r="T247" s="281"/>
      <c r="U247" s="281">
        <v>1</v>
      </c>
      <c r="V247" s="281"/>
      <c r="W247" s="281"/>
      <c r="X247" s="281"/>
    </row>
    <row r="248" spans="1:24" s="315" customFormat="1" ht="20.25">
      <c r="A248" s="346">
        <v>196</v>
      </c>
      <c r="B248" s="347"/>
      <c r="C248" s="281"/>
      <c r="D248" s="281" t="s">
        <v>52</v>
      </c>
      <c r="E248" s="281"/>
      <c r="F248" s="281"/>
      <c r="G248" s="281"/>
      <c r="H248" s="281"/>
      <c r="I248" s="281"/>
      <c r="J248" s="356" t="s">
        <v>265</v>
      </c>
      <c r="K248" s="357">
        <v>460000</v>
      </c>
      <c r="L248" s="353" t="s">
        <v>412</v>
      </c>
      <c r="M248" s="281"/>
      <c r="N248" s="281"/>
      <c r="O248" s="281"/>
      <c r="P248" s="281"/>
      <c r="Q248" s="281"/>
      <c r="R248" s="277" t="s">
        <v>10</v>
      </c>
      <c r="S248" s="281" t="s">
        <v>246</v>
      </c>
      <c r="T248" s="281"/>
      <c r="U248" s="281">
        <v>1</v>
      </c>
      <c r="V248" s="281"/>
      <c r="W248" s="281"/>
      <c r="X248" s="281"/>
    </row>
    <row r="249" spans="1:24" s="315" customFormat="1" ht="20.25">
      <c r="A249" s="346">
        <v>197</v>
      </c>
      <c r="B249" s="347"/>
      <c r="C249" s="281"/>
      <c r="D249" s="281" t="s">
        <v>52</v>
      </c>
      <c r="E249" s="281"/>
      <c r="F249" s="281"/>
      <c r="G249" s="281"/>
      <c r="H249" s="281"/>
      <c r="I249" s="281"/>
      <c r="J249" s="356" t="s">
        <v>265</v>
      </c>
      <c r="K249" s="357">
        <v>460000</v>
      </c>
      <c r="L249" s="353" t="s">
        <v>413</v>
      </c>
      <c r="M249" s="281"/>
      <c r="N249" s="281"/>
      <c r="O249" s="281"/>
      <c r="P249" s="281"/>
      <c r="Q249" s="281"/>
      <c r="R249" s="277" t="s">
        <v>10</v>
      </c>
      <c r="S249" s="281" t="s">
        <v>246</v>
      </c>
      <c r="T249" s="281"/>
      <c r="U249" s="281">
        <v>1</v>
      </c>
      <c r="V249" s="281"/>
      <c r="W249" s="281"/>
      <c r="X249" s="281"/>
    </row>
    <row r="250" spans="1:24" s="315" customFormat="1" ht="20.25">
      <c r="A250" s="346">
        <v>198</v>
      </c>
      <c r="B250" s="347"/>
      <c r="C250" s="281"/>
      <c r="D250" s="281" t="s">
        <v>52</v>
      </c>
      <c r="E250" s="281"/>
      <c r="F250" s="281"/>
      <c r="G250" s="281"/>
      <c r="H250" s="281"/>
      <c r="I250" s="281"/>
      <c r="J250" s="356" t="s">
        <v>265</v>
      </c>
      <c r="K250" s="357">
        <v>460000</v>
      </c>
      <c r="L250" s="353" t="s">
        <v>414</v>
      </c>
      <c r="M250" s="281"/>
      <c r="N250" s="281"/>
      <c r="O250" s="281"/>
      <c r="P250" s="281"/>
      <c r="Q250" s="281"/>
      <c r="R250" s="277" t="s">
        <v>10</v>
      </c>
      <c r="S250" s="281" t="s">
        <v>246</v>
      </c>
      <c r="T250" s="281"/>
      <c r="U250" s="281">
        <v>1</v>
      </c>
      <c r="V250" s="281"/>
      <c r="W250" s="281"/>
      <c r="X250" s="281"/>
    </row>
    <row r="251" spans="1:24" s="315" customFormat="1" ht="20.25">
      <c r="A251" s="346">
        <v>199</v>
      </c>
      <c r="B251" s="347"/>
      <c r="C251" s="281"/>
      <c r="D251" s="281" t="s">
        <v>52</v>
      </c>
      <c r="E251" s="281"/>
      <c r="F251" s="281"/>
      <c r="G251" s="281"/>
      <c r="H251" s="281"/>
      <c r="I251" s="281"/>
      <c r="J251" s="356" t="s">
        <v>265</v>
      </c>
      <c r="K251" s="357">
        <v>460000</v>
      </c>
      <c r="L251" s="353" t="s">
        <v>415</v>
      </c>
      <c r="M251" s="281"/>
      <c r="N251" s="281"/>
      <c r="O251" s="281"/>
      <c r="P251" s="281"/>
      <c r="Q251" s="281"/>
      <c r="R251" s="277" t="s">
        <v>10</v>
      </c>
      <c r="S251" s="281" t="s">
        <v>246</v>
      </c>
      <c r="T251" s="281"/>
      <c r="U251" s="281"/>
      <c r="V251" s="281">
        <v>1</v>
      </c>
      <c r="W251" s="281"/>
      <c r="X251" s="281"/>
    </row>
    <row r="252" spans="1:24" s="315" customFormat="1" ht="20.25">
      <c r="A252" s="346">
        <v>200</v>
      </c>
      <c r="B252" s="347"/>
      <c r="C252" s="281"/>
      <c r="D252" s="281" t="s">
        <v>52</v>
      </c>
      <c r="E252" s="281"/>
      <c r="F252" s="281"/>
      <c r="G252" s="281"/>
      <c r="H252" s="281"/>
      <c r="I252" s="281"/>
      <c r="J252" s="356" t="s">
        <v>265</v>
      </c>
      <c r="K252" s="357">
        <v>460000</v>
      </c>
      <c r="L252" s="353" t="s">
        <v>416</v>
      </c>
      <c r="M252" s="281"/>
      <c r="N252" s="281"/>
      <c r="O252" s="281"/>
      <c r="P252" s="281"/>
      <c r="Q252" s="281"/>
      <c r="R252" s="277" t="s">
        <v>10</v>
      </c>
      <c r="S252" s="281" t="s">
        <v>246</v>
      </c>
      <c r="T252" s="281"/>
      <c r="U252" s="281"/>
      <c r="V252" s="281">
        <v>1</v>
      </c>
      <c r="W252" s="281"/>
      <c r="X252" s="281"/>
    </row>
    <row r="253" spans="1:24" s="315" customFormat="1" ht="20.25">
      <c r="A253" s="346">
        <v>201</v>
      </c>
      <c r="B253" s="347"/>
      <c r="C253" s="281"/>
      <c r="D253" s="281" t="s">
        <v>52</v>
      </c>
      <c r="E253" s="281"/>
      <c r="F253" s="281"/>
      <c r="G253" s="281"/>
      <c r="H253" s="281"/>
      <c r="I253" s="281"/>
      <c r="J253" s="356" t="s">
        <v>265</v>
      </c>
      <c r="K253" s="357">
        <v>460000</v>
      </c>
      <c r="L253" s="353" t="s">
        <v>417</v>
      </c>
      <c r="M253" s="281"/>
      <c r="N253" s="281"/>
      <c r="O253" s="281"/>
      <c r="P253" s="281"/>
      <c r="Q253" s="281"/>
      <c r="R253" s="277" t="s">
        <v>10</v>
      </c>
      <c r="S253" s="281" t="s">
        <v>246</v>
      </c>
      <c r="T253" s="281"/>
      <c r="U253" s="281"/>
      <c r="V253" s="281">
        <v>1</v>
      </c>
      <c r="W253" s="281"/>
      <c r="X253" s="281"/>
    </row>
    <row r="254" spans="1:24" s="315" customFormat="1" ht="20.25">
      <c r="A254" s="346">
        <v>202</v>
      </c>
      <c r="B254" s="347"/>
      <c r="C254" s="281"/>
      <c r="D254" s="281" t="s">
        <v>52</v>
      </c>
      <c r="E254" s="281"/>
      <c r="F254" s="281"/>
      <c r="G254" s="281"/>
      <c r="H254" s="281"/>
      <c r="I254" s="281"/>
      <c r="J254" s="356" t="s">
        <v>265</v>
      </c>
      <c r="K254" s="357">
        <v>460000</v>
      </c>
      <c r="L254" s="353" t="s">
        <v>418</v>
      </c>
      <c r="M254" s="281"/>
      <c r="N254" s="281"/>
      <c r="O254" s="281"/>
      <c r="P254" s="281"/>
      <c r="Q254" s="281"/>
      <c r="R254" s="277" t="s">
        <v>10</v>
      </c>
      <c r="S254" s="281" t="s">
        <v>246</v>
      </c>
      <c r="T254" s="281"/>
      <c r="U254" s="281"/>
      <c r="V254" s="281">
        <v>1</v>
      </c>
      <c r="W254" s="281"/>
      <c r="X254" s="281"/>
    </row>
    <row r="255" spans="1:24" s="315" customFormat="1" ht="20.25">
      <c r="A255" s="346">
        <v>203</v>
      </c>
      <c r="B255" s="347"/>
      <c r="C255" s="281"/>
      <c r="D255" s="281" t="s">
        <v>52</v>
      </c>
      <c r="E255" s="281"/>
      <c r="F255" s="281"/>
      <c r="G255" s="281"/>
      <c r="H255" s="281"/>
      <c r="I255" s="281"/>
      <c r="J255" s="356" t="s">
        <v>265</v>
      </c>
      <c r="K255" s="357">
        <v>460000</v>
      </c>
      <c r="L255" s="353" t="s">
        <v>419</v>
      </c>
      <c r="M255" s="281"/>
      <c r="N255" s="281"/>
      <c r="O255" s="281"/>
      <c r="P255" s="281"/>
      <c r="Q255" s="281"/>
      <c r="R255" s="277" t="s">
        <v>10</v>
      </c>
      <c r="S255" s="281" t="s">
        <v>246</v>
      </c>
      <c r="T255" s="281"/>
      <c r="U255" s="281"/>
      <c r="V255" s="281">
        <v>1</v>
      </c>
      <c r="W255" s="281"/>
      <c r="X255" s="281"/>
    </row>
    <row r="256" spans="1:24" s="315" customFormat="1" ht="20.25">
      <c r="A256" s="346">
        <v>204</v>
      </c>
      <c r="B256" s="347"/>
      <c r="C256" s="281"/>
      <c r="D256" s="281" t="s">
        <v>52</v>
      </c>
      <c r="E256" s="281"/>
      <c r="F256" s="281"/>
      <c r="G256" s="281"/>
      <c r="H256" s="281"/>
      <c r="I256" s="281"/>
      <c r="J256" s="356" t="s">
        <v>265</v>
      </c>
      <c r="K256" s="357">
        <v>460000</v>
      </c>
      <c r="L256" s="350" t="s">
        <v>420</v>
      </c>
      <c r="M256" s="281"/>
      <c r="N256" s="281"/>
      <c r="O256" s="281"/>
      <c r="P256" s="281"/>
      <c r="Q256" s="281"/>
      <c r="R256" s="277" t="s">
        <v>10</v>
      </c>
      <c r="S256" s="281" t="s">
        <v>246</v>
      </c>
      <c r="T256" s="281"/>
      <c r="U256" s="281"/>
      <c r="V256" s="281"/>
      <c r="W256" s="281">
        <v>1</v>
      </c>
      <c r="X256" s="281"/>
    </row>
    <row r="257" spans="1:24" s="315" customFormat="1" ht="20.25">
      <c r="A257" s="346">
        <v>205</v>
      </c>
      <c r="B257" s="347"/>
      <c r="C257" s="281"/>
      <c r="D257" s="281" t="s">
        <v>52</v>
      </c>
      <c r="E257" s="281"/>
      <c r="F257" s="281"/>
      <c r="G257" s="281"/>
      <c r="H257" s="281"/>
      <c r="I257" s="281"/>
      <c r="J257" s="350" t="s">
        <v>421</v>
      </c>
      <c r="K257" s="357">
        <v>300000</v>
      </c>
      <c r="L257" s="353" t="s">
        <v>422</v>
      </c>
      <c r="M257" s="281"/>
      <c r="N257" s="281"/>
      <c r="O257" s="281"/>
      <c r="P257" s="281"/>
      <c r="Q257" s="281"/>
      <c r="R257" s="277" t="s">
        <v>10</v>
      </c>
      <c r="S257" s="281" t="s">
        <v>246</v>
      </c>
      <c r="T257" s="281"/>
      <c r="U257" s="281"/>
      <c r="V257" s="281"/>
      <c r="W257" s="281">
        <v>1</v>
      </c>
      <c r="X257" s="281"/>
    </row>
    <row r="258" spans="1:24" s="315" customFormat="1" ht="20.25">
      <c r="A258" s="346">
        <v>206</v>
      </c>
      <c r="B258" s="347"/>
      <c r="C258" s="281"/>
      <c r="D258" s="281" t="s">
        <v>52</v>
      </c>
      <c r="E258" s="281"/>
      <c r="F258" s="281"/>
      <c r="G258" s="281"/>
      <c r="H258" s="281"/>
      <c r="I258" s="281"/>
      <c r="J258" s="350" t="s">
        <v>421</v>
      </c>
      <c r="K258" s="357">
        <v>300000</v>
      </c>
      <c r="L258" s="353" t="s">
        <v>423</v>
      </c>
      <c r="M258" s="281"/>
      <c r="N258" s="281"/>
      <c r="O258" s="281"/>
      <c r="P258" s="281"/>
      <c r="Q258" s="281"/>
      <c r="R258" s="277" t="s">
        <v>10</v>
      </c>
      <c r="S258" s="281" t="s">
        <v>246</v>
      </c>
      <c r="T258" s="281"/>
      <c r="U258" s="281"/>
      <c r="V258" s="281"/>
      <c r="W258" s="281">
        <v>1</v>
      </c>
      <c r="X258" s="281"/>
    </row>
    <row r="259" spans="1:24" s="315" customFormat="1" ht="20.25">
      <c r="A259" s="346">
        <v>207</v>
      </c>
      <c r="B259" s="347"/>
      <c r="C259" s="281"/>
      <c r="D259" s="281" t="s">
        <v>52</v>
      </c>
      <c r="E259" s="281"/>
      <c r="F259" s="281"/>
      <c r="G259" s="281"/>
      <c r="H259" s="281"/>
      <c r="I259" s="281"/>
      <c r="J259" s="350" t="s">
        <v>424</v>
      </c>
      <c r="K259" s="357">
        <v>110000</v>
      </c>
      <c r="L259" s="353" t="s">
        <v>425</v>
      </c>
      <c r="M259" s="281"/>
      <c r="N259" s="281"/>
      <c r="O259" s="281"/>
      <c r="P259" s="281"/>
      <c r="Q259" s="281"/>
      <c r="R259" s="277" t="s">
        <v>10</v>
      </c>
      <c r="S259" s="281" t="s">
        <v>246</v>
      </c>
      <c r="T259" s="281"/>
      <c r="U259" s="281"/>
      <c r="V259" s="281"/>
      <c r="W259" s="281"/>
      <c r="X259" s="281">
        <v>1</v>
      </c>
    </row>
    <row r="260" spans="1:24" s="315" customFormat="1" ht="20.25">
      <c r="A260" s="346">
        <v>208</v>
      </c>
      <c r="B260" s="347"/>
      <c r="C260" s="281"/>
      <c r="D260" s="281" t="s">
        <v>52</v>
      </c>
      <c r="E260" s="281"/>
      <c r="F260" s="281"/>
      <c r="G260" s="281"/>
      <c r="H260" s="281"/>
      <c r="I260" s="281"/>
      <c r="J260" s="350" t="s">
        <v>424</v>
      </c>
      <c r="K260" s="357">
        <v>110000</v>
      </c>
      <c r="L260" s="353" t="s">
        <v>426</v>
      </c>
      <c r="M260" s="281"/>
      <c r="N260" s="281"/>
      <c r="O260" s="281"/>
      <c r="P260" s="281"/>
      <c r="Q260" s="281"/>
      <c r="R260" s="277" t="s">
        <v>10</v>
      </c>
      <c r="S260" s="281" t="s">
        <v>246</v>
      </c>
      <c r="T260" s="281"/>
      <c r="U260" s="281"/>
      <c r="V260" s="281"/>
      <c r="W260" s="281"/>
      <c r="X260" s="281">
        <v>1</v>
      </c>
    </row>
    <row r="261" spans="1:24" s="315" customFormat="1" ht="20.25">
      <c r="A261" s="346">
        <v>209</v>
      </c>
      <c r="B261" s="347"/>
      <c r="C261" s="281"/>
      <c r="D261" s="281" t="s">
        <v>52</v>
      </c>
      <c r="E261" s="281"/>
      <c r="F261" s="281"/>
      <c r="G261" s="281"/>
      <c r="H261" s="281"/>
      <c r="I261" s="281"/>
      <c r="J261" s="350" t="s">
        <v>424</v>
      </c>
      <c r="K261" s="357">
        <v>110000</v>
      </c>
      <c r="L261" s="353" t="s">
        <v>427</v>
      </c>
      <c r="M261" s="281"/>
      <c r="N261" s="281"/>
      <c r="O261" s="281"/>
      <c r="P261" s="281"/>
      <c r="Q261" s="281"/>
      <c r="R261" s="277" t="s">
        <v>10</v>
      </c>
      <c r="S261" s="281" t="s">
        <v>246</v>
      </c>
      <c r="T261" s="281"/>
      <c r="U261" s="281"/>
      <c r="V261" s="281"/>
      <c r="W261" s="281"/>
      <c r="X261" s="281">
        <v>1</v>
      </c>
    </row>
    <row r="262" spans="1:24" s="315" customFormat="1" ht="20.25">
      <c r="A262" s="346">
        <v>210</v>
      </c>
      <c r="B262" s="347"/>
      <c r="C262" s="281"/>
      <c r="D262" s="281" t="s">
        <v>52</v>
      </c>
      <c r="E262" s="281"/>
      <c r="F262" s="281"/>
      <c r="G262" s="281"/>
      <c r="H262" s="281"/>
      <c r="I262" s="281"/>
      <c r="J262" s="356" t="s">
        <v>424</v>
      </c>
      <c r="K262" s="357">
        <v>110000</v>
      </c>
      <c r="L262" s="353" t="s">
        <v>428</v>
      </c>
      <c r="M262" s="281"/>
      <c r="N262" s="281"/>
      <c r="O262" s="281"/>
      <c r="P262" s="281"/>
      <c r="Q262" s="281"/>
      <c r="R262" s="277" t="s">
        <v>10</v>
      </c>
      <c r="S262" s="281" t="s">
        <v>246</v>
      </c>
      <c r="T262" s="281"/>
      <c r="U262" s="281"/>
      <c r="V262" s="281"/>
      <c r="W262" s="281"/>
      <c r="X262" s="281">
        <v>1</v>
      </c>
    </row>
    <row r="263" spans="1:24" s="315" customFormat="1" ht="20.25">
      <c r="A263" s="346">
        <v>211</v>
      </c>
      <c r="B263" s="347"/>
      <c r="C263" s="281"/>
      <c r="D263" s="281" t="s">
        <v>52</v>
      </c>
      <c r="E263" s="281"/>
      <c r="F263" s="281"/>
      <c r="G263" s="281"/>
      <c r="H263" s="281"/>
      <c r="I263" s="281"/>
      <c r="J263" s="350" t="s">
        <v>424</v>
      </c>
      <c r="K263" s="357">
        <v>110000</v>
      </c>
      <c r="L263" s="353" t="s">
        <v>429</v>
      </c>
      <c r="M263" s="281"/>
      <c r="N263" s="281"/>
      <c r="O263" s="281"/>
      <c r="P263" s="281"/>
      <c r="Q263" s="281"/>
      <c r="R263" s="277" t="s">
        <v>10</v>
      </c>
      <c r="S263" s="281" t="s">
        <v>246</v>
      </c>
      <c r="T263" s="281"/>
      <c r="U263" s="281"/>
      <c r="V263" s="281"/>
      <c r="W263" s="281"/>
      <c r="X263" s="281">
        <v>1</v>
      </c>
    </row>
    <row r="264" spans="1:24" s="315" customFormat="1" ht="20.25">
      <c r="A264" s="346">
        <v>212</v>
      </c>
      <c r="B264" s="347"/>
      <c r="C264" s="281"/>
      <c r="D264" s="281"/>
      <c r="E264" s="281"/>
      <c r="F264" s="281" t="s">
        <v>52</v>
      </c>
      <c r="G264" s="281"/>
      <c r="H264" s="281"/>
      <c r="I264" s="281"/>
      <c r="J264" s="350" t="s">
        <v>108</v>
      </c>
      <c r="K264" s="357">
        <v>70000</v>
      </c>
      <c r="L264" s="353" t="s">
        <v>428</v>
      </c>
      <c r="M264" s="281"/>
      <c r="N264" s="281"/>
      <c r="O264" s="281"/>
      <c r="P264" s="281"/>
      <c r="Q264" s="281"/>
      <c r="R264" s="277" t="s">
        <v>10</v>
      </c>
      <c r="S264" s="281" t="s">
        <v>246</v>
      </c>
      <c r="T264" s="281"/>
      <c r="U264" s="281"/>
      <c r="V264" s="281"/>
      <c r="W264" s="281"/>
      <c r="X264" s="281">
        <v>1</v>
      </c>
    </row>
    <row r="265" spans="1:24" s="315" customFormat="1" ht="20.25">
      <c r="A265" s="346">
        <v>213</v>
      </c>
      <c r="B265" s="347"/>
      <c r="C265" s="281"/>
      <c r="D265" s="281"/>
      <c r="E265" s="281"/>
      <c r="F265" s="281" t="s">
        <v>52</v>
      </c>
      <c r="G265" s="281"/>
      <c r="H265" s="281"/>
      <c r="I265" s="281"/>
      <c r="J265" s="350" t="s">
        <v>108</v>
      </c>
      <c r="K265" s="357">
        <v>70000</v>
      </c>
      <c r="L265" s="353" t="s">
        <v>423</v>
      </c>
      <c r="M265" s="281"/>
      <c r="N265" s="281"/>
      <c r="O265" s="281"/>
      <c r="P265" s="281"/>
      <c r="Q265" s="281"/>
      <c r="R265" s="277" t="s">
        <v>10</v>
      </c>
      <c r="S265" s="281" t="s">
        <v>246</v>
      </c>
      <c r="T265" s="281"/>
      <c r="U265" s="281"/>
      <c r="V265" s="281"/>
      <c r="W265" s="281"/>
      <c r="X265" s="281">
        <v>1</v>
      </c>
    </row>
    <row r="266" spans="1:24" s="315" customFormat="1" ht="20.25">
      <c r="A266" s="346">
        <v>214</v>
      </c>
      <c r="B266" s="347"/>
      <c r="C266" s="281"/>
      <c r="D266" s="281"/>
      <c r="E266" s="281"/>
      <c r="F266" s="281" t="s">
        <v>52</v>
      </c>
      <c r="G266" s="281"/>
      <c r="H266" s="281"/>
      <c r="I266" s="281"/>
      <c r="J266" s="350" t="s">
        <v>108</v>
      </c>
      <c r="K266" s="357">
        <v>70000</v>
      </c>
      <c r="L266" s="350" t="s">
        <v>430</v>
      </c>
      <c r="M266" s="281"/>
      <c r="N266" s="281"/>
      <c r="O266" s="281"/>
      <c r="P266" s="281"/>
      <c r="Q266" s="281"/>
      <c r="R266" s="277" t="s">
        <v>10</v>
      </c>
      <c r="S266" s="281" t="s">
        <v>246</v>
      </c>
      <c r="T266" s="281"/>
      <c r="U266" s="281"/>
      <c r="V266" s="281"/>
      <c r="W266" s="281"/>
      <c r="X266" s="281">
        <v>1</v>
      </c>
    </row>
    <row r="267" spans="1:24" s="315" customFormat="1" ht="20.25">
      <c r="A267" s="346">
        <v>215</v>
      </c>
      <c r="B267" s="347"/>
      <c r="C267" s="281"/>
      <c r="D267" s="281"/>
      <c r="E267" s="281"/>
      <c r="F267" s="281" t="s">
        <v>52</v>
      </c>
      <c r="G267" s="281"/>
      <c r="H267" s="281"/>
      <c r="I267" s="281"/>
      <c r="J267" s="350" t="s">
        <v>108</v>
      </c>
      <c r="K267" s="357">
        <v>70000</v>
      </c>
      <c r="L267" s="350" t="s">
        <v>431</v>
      </c>
      <c r="M267" s="281"/>
      <c r="N267" s="281"/>
      <c r="O267" s="281"/>
      <c r="P267" s="281"/>
      <c r="Q267" s="281"/>
      <c r="R267" s="277" t="s">
        <v>10</v>
      </c>
      <c r="S267" s="281" t="s">
        <v>246</v>
      </c>
      <c r="T267" s="281"/>
      <c r="U267" s="281"/>
      <c r="V267" s="281"/>
      <c r="W267" s="281"/>
      <c r="X267" s="281">
        <v>1</v>
      </c>
    </row>
    <row r="268" spans="1:24" s="315" customFormat="1" ht="20.25">
      <c r="A268" s="346">
        <v>216</v>
      </c>
      <c r="B268" s="347"/>
      <c r="C268" s="281"/>
      <c r="D268" s="281"/>
      <c r="E268" s="281"/>
      <c r="F268" s="281" t="s">
        <v>52</v>
      </c>
      <c r="G268" s="281"/>
      <c r="H268" s="281"/>
      <c r="I268" s="281"/>
      <c r="J268" s="350" t="s">
        <v>108</v>
      </c>
      <c r="K268" s="357">
        <v>70000</v>
      </c>
      <c r="L268" s="350" t="s">
        <v>430</v>
      </c>
      <c r="M268" s="281"/>
      <c r="N268" s="281"/>
      <c r="O268" s="281"/>
      <c r="P268" s="281"/>
      <c r="Q268" s="281"/>
      <c r="R268" s="277" t="s">
        <v>10</v>
      </c>
      <c r="S268" s="281" t="s">
        <v>246</v>
      </c>
      <c r="T268" s="281"/>
      <c r="U268" s="281"/>
      <c r="V268" s="281"/>
      <c r="W268" s="281"/>
      <c r="X268" s="281">
        <v>1</v>
      </c>
    </row>
    <row r="269" spans="1:24" s="315" customFormat="1" ht="20.25">
      <c r="A269" s="346">
        <v>217</v>
      </c>
      <c r="B269" s="347"/>
      <c r="C269" s="281"/>
      <c r="D269" s="281"/>
      <c r="E269" s="281"/>
      <c r="F269" s="281" t="s">
        <v>52</v>
      </c>
      <c r="G269" s="281"/>
      <c r="H269" s="281"/>
      <c r="I269" s="281"/>
      <c r="J269" s="350" t="s">
        <v>108</v>
      </c>
      <c r="K269" s="357">
        <v>70000</v>
      </c>
      <c r="L269" s="350" t="s">
        <v>432</v>
      </c>
      <c r="M269" s="281"/>
      <c r="N269" s="281"/>
      <c r="O269" s="281"/>
      <c r="P269" s="281"/>
      <c r="Q269" s="281"/>
      <c r="R269" s="277" t="s">
        <v>10</v>
      </c>
      <c r="S269" s="281" t="s">
        <v>246</v>
      </c>
      <c r="T269" s="281"/>
      <c r="U269" s="281"/>
      <c r="V269" s="281"/>
      <c r="W269" s="281"/>
      <c r="X269" s="281">
        <v>1</v>
      </c>
    </row>
    <row r="270" spans="1:24" s="315" customFormat="1" ht="20.25">
      <c r="A270" s="346">
        <v>218</v>
      </c>
      <c r="B270" s="347"/>
      <c r="C270" s="281"/>
      <c r="D270" s="281"/>
      <c r="E270" s="281"/>
      <c r="F270" s="281" t="s">
        <v>52</v>
      </c>
      <c r="G270" s="281"/>
      <c r="H270" s="281"/>
      <c r="I270" s="281"/>
      <c r="J270" s="350" t="s">
        <v>108</v>
      </c>
      <c r="K270" s="357">
        <v>70000</v>
      </c>
      <c r="L270" s="353" t="s">
        <v>422</v>
      </c>
      <c r="M270" s="281"/>
      <c r="N270" s="281"/>
      <c r="O270" s="281"/>
      <c r="P270" s="281"/>
      <c r="Q270" s="281"/>
      <c r="R270" s="277" t="s">
        <v>10</v>
      </c>
      <c r="S270" s="281" t="s">
        <v>246</v>
      </c>
      <c r="T270" s="281"/>
      <c r="U270" s="281"/>
      <c r="V270" s="281"/>
      <c r="W270" s="281"/>
      <c r="X270" s="281">
        <v>1</v>
      </c>
    </row>
    <row r="271" spans="1:24" s="315" customFormat="1" ht="20.25">
      <c r="A271" s="346">
        <v>219</v>
      </c>
      <c r="B271" s="347"/>
      <c r="C271" s="281"/>
      <c r="D271" s="281"/>
      <c r="E271" s="281"/>
      <c r="F271" s="281"/>
      <c r="G271" s="281" t="s">
        <v>52</v>
      </c>
      <c r="H271" s="281"/>
      <c r="I271" s="281"/>
      <c r="J271" s="356" t="s">
        <v>433</v>
      </c>
      <c r="K271" s="357">
        <v>11800</v>
      </c>
      <c r="L271" s="353" t="s">
        <v>434</v>
      </c>
      <c r="M271" s="281"/>
      <c r="N271" s="281"/>
      <c r="O271" s="281"/>
      <c r="P271" s="281"/>
      <c r="Q271" s="281"/>
      <c r="R271" s="277" t="s">
        <v>10</v>
      </c>
      <c r="S271" s="281" t="s">
        <v>246</v>
      </c>
      <c r="T271" s="281"/>
      <c r="U271" s="281"/>
      <c r="V271" s="281"/>
      <c r="W271" s="281"/>
      <c r="X271" s="281">
        <v>1</v>
      </c>
    </row>
    <row r="272" spans="1:24" s="315" customFormat="1" ht="20.25">
      <c r="A272" s="346">
        <v>220</v>
      </c>
      <c r="B272" s="347"/>
      <c r="C272" s="281"/>
      <c r="D272" s="281"/>
      <c r="E272" s="281"/>
      <c r="F272" s="281"/>
      <c r="G272" s="281" t="s">
        <v>52</v>
      </c>
      <c r="H272" s="281"/>
      <c r="I272" s="281"/>
      <c r="J272" s="356" t="s">
        <v>433</v>
      </c>
      <c r="K272" s="357">
        <v>11800</v>
      </c>
      <c r="L272" s="353" t="s">
        <v>435</v>
      </c>
      <c r="M272" s="281"/>
      <c r="N272" s="281"/>
      <c r="O272" s="281"/>
      <c r="P272" s="281"/>
      <c r="Q272" s="281"/>
      <c r="R272" s="277" t="s">
        <v>10</v>
      </c>
      <c r="S272" s="281" t="s">
        <v>246</v>
      </c>
      <c r="T272" s="281"/>
      <c r="U272" s="281"/>
      <c r="V272" s="281"/>
      <c r="W272" s="281"/>
      <c r="X272" s="281">
        <v>1</v>
      </c>
    </row>
    <row r="273" spans="1:24" s="315" customFormat="1" ht="20.25">
      <c r="A273" s="346">
        <v>221</v>
      </c>
      <c r="B273" s="347"/>
      <c r="C273" s="281"/>
      <c r="D273" s="281"/>
      <c r="E273" s="281"/>
      <c r="F273" s="281"/>
      <c r="G273" s="281" t="s">
        <v>52</v>
      </c>
      <c r="H273" s="281"/>
      <c r="I273" s="281"/>
      <c r="J273" s="356" t="s">
        <v>433</v>
      </c>
      <c r="K273" s="357">
        <v>11800</v>
      </c>
      <c r="L273" s="353" t="s">
        <v>436</v>
      </c>
      <c r="M273" s="281"/>
      <c r="N273" s="281"/>
      <c r="O273" s="281"/>
      <c r="P273" s="281"/>
      <c r="Q273" s="281"/>
      <c r="R273" s="277" t="s">
        <v>10</v>
      </c>
      <c r="S273" s="281" t="s">
        <v>246</v>
      </c>
      <c r="T273" s="281"/>
      <c r="U273" s="281"/>
      <c r="V273" s="281"/>
      <c r="W273" s="281"/>
      <c r="X273" s="281">
        <v>1</v>
      </c>
    </row>
    <row r="274" spans="1:24" s="315" customFormat="1" ht="20.25">
      <c r="A274" s="346">
        <v>222</v>
      </c>
      <c r="B274" s="347"/>
      <c r="C274" s="281"/>
      <c r="D274" s="281"/>
      <c r="E274" s="281"/>
      <c r="F274" s="281"/>
      <c r="G274" s="281" t="s">
        <v>52</v>
      </c>
      <c r="H274" s="281"/>
      <c r="I274" s="281"/>
      <c r="J274" s="356" t="s">
        <v>433</v>
      </c>
      <c r="K274" s="357">
        <v>11800</v>
      </c>
      <c r="L274" s="353" t="s">
        <v>437</v>
      </c>
      <c r="M274" s="281"/>
      <c r="N274" s="281"/>
      <c r="O274" s="281"/>
      <c r="P274" s="281"/>
      <c r="Q274" s="281"/>
      <c r="R274" s="277" t="s">
        <v>10</v>
      </c>
      <c r="S274" s="281" t="s">
        <v>246</v>
      </c>
      <c r="T274" s="281"/>
      <c r="U274" s="281"/>
      <c r="V274" s="281"/>
      <c r="W274" s="281"/>
      <c r="X274" s="281">
        <v>1</v>
      </c>
    </row>
    <row r="275" spans="1:24" s="315" customFormat="1" ht="20.25">
      <c r="A275" s="346">
        <v>223</v>
      </c>
      <c r="B275" s="347"/>
      <c r="C275" s="281"/>
      <c r="D275" s="281"/>
      <c r="E275" s="281"/>
      <c r="F275" s="281"/>
      <c r="G275" s="281" t="s">
        <v>52</v>
      </c>
      <c r="H275" s="281"/>
      <c r="I275" s="281"/>
      <c r="J275" s="356" t="s">
        <v>433</v>
      </c>
      <c r="K275" s="357">
        <v>11800</v>
      </c>
      <c r="L275" s="353" t="s">
        <v>438</v>
      </c>
      <c r="M275" s="281"/>
      <c r="N275" s="281"/>
      <c r="O275" s="281"/>
      <c r="P275" s="281"/>
      <c r="Q275" s="281"/>
      <c r="R275" s="277" t="s">
        <v>10</v>
      </c>
      <c r="S275" s="281" t="s">
        <v>246</v>
      </c>
      <c r="T275" s="281"/>
      <c r="U275" s="281"/>
      <c r="V275" s="281"/>
      <c r="W275" s="281"/>
      <c r="X275" s="281">
        <v>1</v>
      </c>
    </row>
    <row r="276" spans="1:24" s="315" customFormat="1" ht="20.25">
      <c r="A276" s="346">
        <v>224</v>
      </c>
      <c r="B276" s="347"/>
      <c r="C276" s="281"/>
      <c r="D276" s="281"/>
      <c r="E276" s="281"/>
      <c r="F276" s="281"/>
      <c r="G276" s="281" t="s">
        <v>52</v>
      </c>
      <c r="H276" s="281"/>
      <c r="I276" s="281"/>
      <c r="J276" s="356" t="s">
        <v>433</v>
      </c>
      <c r="K276" s="357">
        <v>11800</v>
      </c>
      <c r="L276" s="353" t="s">
        <v>439</v>
      </c>
      <c r="M276" s="281"/>
      <c r="N276" s="281"/>
      <c r="O276" s="281"/>
      <c r="P276" s="281"/>
      <c r="Q276" s="281"/>
      <c r="R276" s="277" t="s">
        <v>10</v>
      </c>
      <c r="S276" s="281" t="s">
        <v>246</v>
      </c>
      <c r="T276" s="281"/>
      <c r="U276" s="281"/>
      <c r="V276" s="281"/>
      <c r="W276" s="281"/>
      <c r="X276" s="281">
        <v>1</v>
      </c>
    </row>
    <row r="277" spans="1:24" s="315" customFormat="1" ht="20.25">
      <c r="A277" s="346">
        <v>225</v>
      </c>
      <c r="B277" s="347"/>
      <c r="C277" s="281"/>
      <c r="D277" s="281"/>
      <c r="E277" s="281"/>
      <c r="F277" s="281"/>
      <c r="G277" s="281" t="s">
        <v>52</v>
      </c>
      <c r="H277" s="281"/>
      <c r="I277" s="281"/>
      <c r="J277" s="356" t="s">
        <v>433</v>
      </c>
      <c r="K277" s="357">
        <v>11800</v>
      </c>
      <c r="L277" s="353" t="s">
        <v>440</v>
      </c>
      <c r="M277" s="281"/>
      <c r="N277" s="281"/>
      <c r="O277" s="281"/>
      <c r="P277" s="281"/>
      <c r="Q277" s="281"/>
      <c r="R277" s="277" t="s">
        <v>10</v>
      </c>
      <c r="S277" s="281" t="s">
        <v>246</v>
      </c>
      <c r="T277" s="281"/>
      <c r="U277" s="281"/>
      <c r="V277" s="281"/>
      <c r="W277" s="281"/>
      <c r="X277" s="281">
        <v>1</v>
      </c>
    </row>
    <row r="278" spans="1:24" s="315" customFormat="1" ht="20.25">
      <c r="A278" s="346">
        <v>226</v>
      </c>
      <c r="B278" s="347"/>
      <c r="C278" s="281"/>
      <c r="D278" s="281"/>
      <c r="E278" s="281"/>
      <c r="F278" s="281" t="s">
        <v>52</v>
      </c>
      <c r="G278" s="281"/>
      <c r="H278" s="281"/>
      <c r="I278" s="281"/>
      <c r="J278" s="356" t="s">
        <v>356</v>
      </c>
      <c r="K278" s="358">
        <v>65000</v>
      </c>
      <c r="L278" s="353" t="s">
        <v>428</v>
      </c>
      <c r="M278" s="281"/>
      <c r="N278" s="281"/>
      <c r="O278" s="281"/>
      <c r="P278" s="281"/>
      <c r="Q278" s="281"/>
      <c r="R278" s="277" t="s">
        <v>10</v>
      </c>
      <c r="S278" s="281" t="s">
        <v>246</v>
      </c>
      <c r="T278" s="281"/>
      <c r="U278" s="281"/>
      <c r="V278" s="281"/>
      <c r="W278" s="281"/>
      <c r="X278" s="281">
        <v>1</v>
      </c>
    </row>
    <row r="279" spans="1:24" s="315" customFormat="1" ht="20.25">
      <c r="A279" s="346">
        <v>227</v>
      </c>
      <c r="B279" s="347"/>
      <c r="C279" s="281"/>
      <c r="D279" s="281"/>
      <c r="E279" s="281"/>
      <c r="F279" s="281" t="s">
        <v>52</v>
      </c>
      <c r="G279" s="281"/>
      <c r="H279" s="281"/>
      <c r="I279" s="281"/>
      <c r="J279" s="356" t="s">
        <v>356</v>
      </c>
      <c r="K279" s="358">
        <v>65000</v>
      </c>
      <c r="L279" s="353" t="s">
        <v>429</v>
      </c>
      <c r="M279" s="281"/>
      <c r="N279" s="281"/>
      <c r="O279" s="281"/>
      <c r="P279" s="281"/>
      <c r="Q279" s="281"/>
      <c r="R279" s="277" t="s">
        <v>10</v>
      </c>
      <c r="S279" s="281" t="s">
        <v>246</v>
      </c>
      <c r="T279" s="281"/>
      <c r="U279" s="281"/>
      <c r="V279" s="281"/>
      <c r="W279" s="281"/>
      <c r="X279" s="281">
        <v>1</v>
      </c>
    </row>
    <row r="280" spans="1:24" s="315" customFormat="1" ht="20.25">
      <c r="A280" s="346">
        <v>228</v>
      </c>
      <c r="B280" s="347"/>
      <c r="C280" s="281"/>
      <c r="D280" s="281"/>
      <c r="E280" s="281"/>
      <c r="F280" s="281" t="s">
        <v>52</v>
      </c>
      <c r="G280" s="281"/>
      <c r="H280" s="281"/>
      <c r="I280" s="281"/>
      <c r="J280" s="356" t="s">
        <v>356</v>
      </c>
      <c r="K280" s="358">
        <v>65000</v>
      </c>
      <c r="L280" s="353" t="s">
        <v>441</v>
      </c>
      <c r="M280" s="281"/>
      <c r="N280" s="281"/>
      <c r="O280" s="281"/>
      <c r="P280" s="281"/>
      <c r="Q280" s="281"/>
      <c r="R280" s="277" t="s">
        <v>10</v>
      </c>
      <c r="S280" s="281" t="s">
        <v>246</v>
      </c>
      <c r="T280" s="281"/>
      <c r="U280" s="281"/>
      <c r="V280" s="281"/>
      <c r="W280" s="281"/>
      <c r="X280" s="281">
        <v>1</v>
      </c>
    </row>
    <row r="281" spans="1:24" s="315" customFormat="1" ht="20.25">
      <c r="A281" s="346">
        <v>229</v>
      </c>
      <c r="B281" s="347"/>
      <c r="C281" s="281"/>
      <c r="D281" s="281"/>
      <c r="E281" s="281"/>
      <c r="F281" s="281" t="s">
        <v>52</v>
      </c>
      <c r="G281" s="281"/>
      <c r="H281" s="281"/>
      <c r="I281" s="281"/>
      <c r="J281" s="356" t="s">
        <v>356</v>
      </c>
      <c r="K281" s="358">
        <v>65000</v>
      </c>
      <c r="L281" s="353" t="s">
        <v>425</v>
      </c>
      <c r="M281" s="281"/>
      <c r="N281" s="281"/>
      <c r="O281" s="281"/>
      <c r="P281" s="281"/>
      <c r="Q281" s="281"/>
      <c r="R281" s="277" t="s">
        <v>10</v>
      </c>
      <c r="S281" s="281" t="s">
        <v>246</v>
      </c>
      <c r="T281" s="281"/>
      <c r="U281" s="281"/>
      <c r="V281" s="281"/>
      <c r="W281" s="281"/>
      <c r="X281" s="281">
        <v>1</v>
      </c>
    </row>
    <row r="282" spans="1:24" s="315" customFormat="1" ht="20.25">
      <c r="A282" s="346">
        <v>230</v>
      </c>
      <c r="B282" s="347"/>
      <c r="C282" s="281"/>
      <c r="D282" s="281"/>
      <c r="E282" s="281"/>
      <c r="F282" s="281" t="s">
        <v>52</v>
      </c>
      <c r="G282" s="281"/>
      <c r="H282" s="281"/>
      <c r="I282" s="281"/>
      <c r="J282" s="356" t="s">
        <v>356</v>
      </c>
      <c r="K282" s="358">
        <v>65000</v>
      </c>
      <c r="L282" s="353" t="s">
        <v>422</v>
      </c>
      <c r="M282" s="281"/>
      <c r="N282" s="281"/>
      <c r="O282" s="281"/>
      <c r="P282" s="281"/>
      <c r="Q282" s="281"/>
      <c r="R282" s="277" t="s">
        <v>10</v>
      </c>
      <c r="S282" s="281" t="s">
        <v>246</v>
      </c>
      <c r="T282" s="281"/>
      <c r="U282" s="281"/>
      <c r="V282" s="281"/>
      <c r="W282" s="281"/>
      <c r="X282" s="281">
        <v>1</v>
      </c>
    </row>
    <row r="283" spans="1:24" s="315" customFormat="1" ht="20.25">
      <c r="A283" s="346">
        <v>231</v>
      </c>
      <c r="B283" s="347"/>
      <c r="C283" s="281"/>
      <c r="D283" s="281"/>
      <c r="E283" s="281"/>
      <c r="F283" s="281" t="s">
        <v>52</v>
      </c>
      <c r="G283" s="281"/>
      <c r="H283" s="281"/>
      <c r="I283" s="281"/>
      <c r="J283" s="356" t="s">
        <v>313</v>
      </c>
      <c r="K283" s="358">
        <v>100000</v>
      </c>
      <c r="L283" s="353" t="s">
        <v>429</v>
      </c>
      <c r="M283" s="281"/>
      <c r="N283" s="281"/>
      <c r="O283" s="281"/>
      <c r="P283" s="281"/>
      <c r="Q283" s="281"/>
      <c r="R283" s="277" t="s">
        <v>10</v>
      </c>
      <c r="S283" s="281" t="s">
        <v>246</v>
      </c>
      <c r="T283" s="281"/>
      <c r="U283" s="281"/>
      <c r="V283" s="281"/>
      <c r="W283" s="281"/>
      <c r="X283" s="281">
        <v>1</v>
      </c>
    </row>
    <row r="284" spans="1:24" s="315" customFormat="1" ht="20.25">
      <c r="A284" s="346">
        <v>232</v>
      </c>
      <c r="B284" s="347"/>
      <c r="C284" s="281"/>
      <c r="D284" s="281"/>
      <c r="E284" s="281"/>
      <c r="F284" s="281" t="s">
        <v>52</v>
      </c>
      <c r="G284" s="281"/>
      <c r="H284" s="281"/>
      <c r="I284" s="281"/>
      <c r="J284" s="356" t="s">
        <v>313</v>
      </c>
      <c r="K284" s="358">
        <v>100000</v>
      </c>
      <c r="L284" s="353" t="s">
        <v>441</v>
      </c>
      <c r="M284" s="281"/>
      <c r="N284" s="281"/>
      <c r="O284" s="281"/>
      <c r="P284" s="281"/>
      <c r="Q284" s="281"/>
      <c r="R284" s="277" t="s">
        <v>10</v>
      </c>
      <c r="S284" s="281" t="s">
        <v>246</v>
      </c>
      <c r="T284" s="281"/>
      <c r="U284" s="281"/>
      <c r="V284" s="281"/>
      <c r="W284" s="281"/>
      <c r="X284" s="281">
        <v>1</v>
      </c>
    </row>
    <row r="285" spans="1:24" s="315" customFormat="1" ht="20.25">
      <c r="A285" s="346">
        <v>233</v>
      </c>
      <c r="B285" s="347"/>
      <c r="C285" s="281"/>
      <c r="D285" s="281"/>
      <c r="E285" s="281"/>
      <c r="F285" s="281" t="s">
        <v>52</v>
      </c>
      <c r="G285" s="281"/>
      <c r="H285" s="281"/>
      <c r="I285" s="281"/>
      <c r="J285" s="356" t="s">
        <v>313</v>
      </c>
      <c r="K285" s="358">
        <v>100000</v>
      </c>
      <c r="L285" s="353" t="s">
        <v>427</v>
      </c>
      <c r="M285" s="281"/>
      <c r="N285" s="281"/>
      <c r="O285" s="281"/>
      <c r="P285" s="281"/>
      <c r="Q285" s="281"/>
      <c r="R285" s="277" t="s">
        <v>10</v>
      </c>
      <c r="S285" s="281" t="s">
        <v>246</v>
      </c>
      <c r="T285" s="281"/>
      <c r="U285" s="281"/>
      <c r="V285" s="281"/>
      <c r="W285" s="281"/>
      <c r="X285" s="281">
        <v>1</v>
      </c>
    </row>
    <row r="286" spans="1:24" s="315" customFormat="1" ht="20.25">
      <c r="A286" s="346">
        <v>234</v>
      </c>
      <c r="B286" s="347"/>
      <c r="C286" s="281"/>
      <c r="D286" s="281"/>
      <c r="E286" s="281"/>
      <c r="F286" s="281" t="s">
        <v>52</v>
      </c>
      <c r="G286" s="281"/>
      <c r="H286" s="281"/>
      <c r="I286" s="281"/>
      <c r="J286" s="356" t="s">
        <v>313</v>
      </c>
      <c r="K286" s="358">
        <v>100000</v>
      </c>
      <c r="L286" s="353" t="s">
        <v>422</v>
      </c>
      <c r="M286" s="281"/>
      <c r="N286" s="281"/>
      <c r="O286" s="281"/>
      <c r="P286" s="281"/>
      <c r="Q286" s="281"/>
      <c r="R286" s="277" t="s">
        <v>10</v>
      </c>
      <c r="S286" s="281" t="s">
        <v>246</v>
      </c>
      <c r="T286" s="281"/>
      <c r="U286" s="281"/>
      <c r="V286" s="281"/>
      <c r="W286" s="281"/>
      <c r="X286" s="281">
        <v>1</v>
      </c>
    </row>
    <row r="287" spans="1:24" s="283" customFormat="1" ht="20.25">
      <c r="A287" s="346">
        <v>235</v>
      </c>
      <c r="B287" s="347"/>
      <c r="C287" s="281"/>
      <c r="D287" s="281"/>
      <c r="E287" s="281"/>
      <c r="F287" s="281" t="s">
        <v>52</v>
      </c>
      <c r="G287" s="281"/>
      <c r="H287" s="281"/>
      <c r="I287" s="281"/>
      <c r="J287" s="356" t="s">
        <v>313</v>
      </c>
      <c r="K287" s="358">
        <v>100000</v>
      </c>
      <c r="L287" s="353" t="s">
        <v>423</v>
      </c>
      <c r="M287" s="281"/>
      <c r="N287" s="281"/>
      <c r="O287" s="281"/>
      <c r="P287" s="281"/>
      <c r="Q287" s="281"/>
      <c r="R287" s="277" t="s">
        <v>10</v>
      </c>
      <c r="S287" s="281" t="s">
        <v>246</v>
      </c>
      <c r="T287" s="281"/>
      <c r="U287" s="281"/>
      <c r="V287" s="281"/>
      <c r="W287" s="281"/>
      <c r="X287" s="281">
        <v>1</v>
      </c>
    </row>
    <row r="288" spans="1:24" s="283" customFormat="1">
      <c r="A288" s="346">
        <v>236</v>
      </c>
      <c r="B288" s="281"/>
      <c r="C288" s="281"/>
      <c r="D288" s="281"/>
      <c r="E288" s="281"/>
      <c r="F288" s="281"/>
      <c r="G288" s="281" t="s">
        <v>52</v>
      </c>
      <c r="H288" s="281"/>
      <c r="I288" s="281"/>
      <c r="J288" s="836" t="s">
        <v>809</v>
      </c>
      <c r="K288" s="837">
        <v>35000</v>
      </c>
      <c r="L288" s="836" t="s">
        <v>423</v>
      </c>
      <c r="M288" s="281"/>
      <c r="N288" s="281"/>
      <c r="O288" s="281"/>
      <c r="P288" s="281"/>
      <c r="Q288" s="281"/>
      <c r="R288" s="277" t="s">
        <v>10</v>
      </c>
      <c r="S288" s="281" t="s">
        <v>246</v>
      </c>
      <c r="T288" s="281"/>
      <c r="U288" s="281"/>
      <c r="V288" s="281"/>
      <c r="W288" s="281"/>
      <c r="X288" s="281">
        <v>1</v>
      </c>
    </row>
    <row r="289" spans="1:24" s="283" customFormat="1">
      <c r="A289" s="346">
        <v>237</v>
      </c>
      <c r="B289" s="284"/>
      <c r="C289" s="276"/>
      <c r="D289" s="276"/>
      <c r="E289" s="276"/>
      <c r="F289" s="276"/>
      <c r="G289" s="281" t="s">
        <v>52</v>
      </c>
      <c r="H289" s="276"/>
      <c r="I289" s="276"/>
      <c r="J289" s="836" t="s">
        <v>546</v>
      </c>
      <c r="K289" s="837">
        <v>35000</v>
      </c>
      <c r="L289" s="836" t="s">
        <v>423</v>
      </c>
      <c r="M289" s="276"/>
      <c r="N289" s="276"/>
      <c r="O289" s="276"/>
      <c r="P289" s="276"/>
      <c r="Q289" s="276"/>
      <c r="R289" s="277" t="s">
        <v>10</v>
      </c>
      <c r="S289" s="281" t="s">
        <v>246</v>
      </c>
      <c r="T289" s="276"/>
      <c r="U289" s="276"/>
      <c r="V289" s="281"/>
      <c r="W289" s="281"/>
      <c r="X289" s="281">
        <v>1</v>
      </c>
    </row>
    <row r="290" spans="1:24" s="283" customFormat="1">
      <c r="A290" s="346">
        <v>238</v>
      </c>
      <c r="B290" s="284"/>
      <c r="C290" s="276"/>
      <c r="D290" s="276"/>
      <c r="E290" s="276"/>
      <c r="F290" s="276" t="s">
        <v>264</v>
      </c>
      <c r="G290" s="276"/>
      <c r="H290" s="276"/>
      <c r="I290" s="276"/>
      <c r="J290" s="836" t="s">
        <v>63</v>
      </c>
      <c r="K290" s="837">
        <v>260000</v>
      </c>
      <c r="L290" s="836" t="s">
        <v>423</v>
      </c>
      <c r="M290" s="276"/>
      <c r="N290" s="276"/>
      <c r="O290" s="276"/>
      <c r="P290" s="276"/>
      <c r="Q290" s="276"/>
      <c r="R290" s="277" t="s">
        <v>10</v>
      </c>
      <c r="S290" s="281" t="s">
        <v>246</v>
      </c>
      <c r="T290" s="276"/>
      <c r="U290" s="276"/>
      <c r="V290" s="281"/>
      <c r="W290" s="281"/>
      <c r="X290" s="281">
        <v>1</v>
      </c>
    </row>
    <row r="291" spans="1:24" s="283" customFormat="1">
      <c r="A291" s="346">
        <v>239</v>
      </c>
      <c r="B291" s="284"/>
      <c r="C291" s="276"/>
      <c r="D291" s="276"/>
      <c r="E291" s="276"/>
      <c r="F291" s="276"/>
      <c r="G291" s="276" t="s">
        <v>91</v>
      </c>
      <c r="H291" s="276"/>
      <c r="I291" s="276"/>
      <c r="J291" s="836" t="s">
        <v>810</v>
      </c>
      <c r="K291" s="837">
        <v>35000</v>
      </c>
      <c r="L291" s="836" t="s">
        <v>426</v>
      </c>
      <c r="M291" s="276"/>
      <c r="N291" s="276"/>
      <c r="O291" s="276"/>
      <c r="P291" s="276"/>
      <c r="Q291" s="276"/>
      <c r="R291" s="277" t="s">
        <v>10</v>
      </c>
      <c r="S291" s="281" t="s">
        <v>246</v>
      </c>
      <c r="T291" s="276"/>
      <c r="U291" s="276"/>
      <c r="V291" s="281"/>
      <c r="W291" s="281"/>
      <c r="X291" s="276">
        <v>1</v>
      </c>
    </row>
    <row r="292" spans="1:24" s="283" customFormat="1">
      <c r="A292" s="346">
        <v>240</v>
      </c>
      <c r="B292" s="284"/>
      <c r="C292" s="276"/>
      <c r="D292" s="276"/>
      <c r="E292" s="276"/>
      <c r="F292" s="276"/>
      <c r="G292" s="276" t="s">
        <v>91</v>
      </c>
      <c r="H292" s="276"/>
      <c r="I292" s="276"/>
      <c r="J292" s="838" t="s">
        <v>810</v>
      </c>
      <c r="K292" s="839">
        <v>35000</v>
      </c>
      <c r="L292" s="838" t="s">
        <v>441</v>
      </c>
      <c r="M292" s="276"/>
      <c r="N292" s="276"/>
      <c r="O292" s="276"/>
      <c r="P292" s="276"/>
      <c r="Q292" s="276"/>
      <c r="R292" s="277" t="s">
        <v>10</v>
      </c>
      <c r="S292" s="281" t="s">
        <v>246</v>
      </c>
      <c r="T292" s="276"/>
      <c r="U292" s="276"/>
      <c r="V292" s="281"/>
      <c r="W292" s="281"/>
      <c r="X292" s="276">
        <v>1</v>
      </c>
    </row>
    <row r="293" spans="1:24" s="283" customFormat="1">
      <c r="A293" s="346">
        <v>241</v>
      </c>
      <c r="B293" s="284"/>
      <c r="C293" s="276"/>
      <c r="D293" s="276"/>
      <c r="E293" s="276"/>
      <c r="F293" s="276"/>
      <c r="G293" s="276" t="s">
        <v>91</v>
      </c>
      <c r="H293" s="276"/>
      <c r="I293" s="276"/>
      <c r="J293" s="838" t="s">
        <v>810</v>
      </c>
      <c r="K293" s="839">
        <v>35000</v>
      </c>
      <c r="L293" s="838" t="s">
        <v>427</v>
      </c>
      <c r="M293" s="276"/>
      <c r="N293" s="276"/>
      <c r="O293" s="276"/>
      <c r="P293" s="276"/>
      <c r="Q293" s="276"/>
      <c r="R293" s="277" t="s">
        <v>10</v>
      </c>
      <c r="S293" s="281" t="s">
        <v>246</v>
      </c>
      <c r="T293" s="276"/>
      <c r="U293" s="276"/>
      <c r="V293" s="281"/>
      <c r="W293" s="281"/>
      <c r="X293" s="276">
        <v>1</v>
      </c>
    </row>
    <row r="294" spans="1:24" s="283" customFormat="1">
      <c r="A294" s="346">
        <v>242</v>
      </c>
      <c r="B294" s="284"/>
      <c r="C294" s="276"/>
      <c r="D294" s="276"/>
      <c r="E294" s="276"/>
      <c r="F294" s="276"/>
      <c r="G294" s="276" t="s">
        <v>91</v>
      </c>
      <c r="H294" s="276"/>
      <c r="I294" s="276"/>
      <c r="J294" s="840" t="s">
        <v>811</v>
      </c>
      <c r="K294" s="839">
        <v>60000</v>
      </c>
      <c r="L294" s="838" t="s">
        <v>812</v>
      </c>
      <c r="M294" s="276"/>
      <c r="N294" s="276"/>
      <c r="O294" s="276"/>
      <c r="P294" s="276"/>
      <c r="Q294" s="276"/>
      <c r="R294" s="277" t="s">
        <v>10</v>
      </c>
      <c r="S294" s="281" t="s">
        <v>246</v>
      </c>
      <c r="T294" s="276"/>
      <c r="U294" s="276"/>
      <c r="V294" s="281"/>
      <c r="W294" s="281"/>
      <c r="X294" s="276">
        <v>2</v>
      </c>
    </row>
    <row r="295" spans="1:24" s="283" customFormat="1">
      <c r="A295" s="346">
        <v>243</v>
      </c>
      <c r="B295" s="284"/>
      <c r="C295" s="276"/>
      <c r="D295" s="276"/>
      <c r="E295" s="276"/>
      <c r="F295" s="276"/>
      <c r="G295" s="276" t="s">
        <v>91</v>
      </c>
      <c r="H295" s="276"/>
      <c r="I295" s="276"/>
      <c r="J295" s="840" t="s">
        <v>811</v>
      </c>
      <c r="K295" s="839">
        <v>60000</v>
      </c>
      <c r="L295" s="838" t="s">
        <v>813</v>
      </c>
      <c r="M295" s="276"/>
      <c r="N295" s="276"/>
      <c r="O295" s="276"/>
      <c r="P295" s="276"/>
      <c r="Q295" s="276"/>
      <c r="R295" s="277" t="s">
        <v>10</v>
      </c>
      <c r="S295" s="281" t="s">
        <v>246</v>
      </c>
      <c r="T295" s="276"/>
      <c r="U295" s="276"/>
      <c r="V295" s="281"/>
      <c r="W295" s="281"/>
      <c r="X295" s="276">
        <v>2</v>
      </c>
    </row>
    <row r="296" spans="1:24" s="283" customFormat="1">
      <c r="A296" s="346">
        <v>244</v>
      </c>
      <c r="B296" s="284"/>
      <c r="C296" s="276"/>
      <c r="D296" s="276"/>
      <c r="E296" s="276"/>
      <c r="F296" s="276"/>
      <c r="G296" s="276" t="s">
        <v>91</v>
      </c>
      <c r="H296" s="276"/>
      <c r="I296" s="276"/>
      <c r="J296" s="840" t="s">
        <v>811</v>
      </c>
      <c r="K296" s="839">
        <v>60000</v>
      </c>
      <c r="L296" s="838" t="s">
        <v>814</v>
      </c>
      <c r="M296" s="276"/>
      <c r="N296" s="276"/>
      <c r="O296" s="276"/>
      <c r="P296" s="276"/>
      <c r="Q296" s="276"/>
      <c r="R296" s="277" t="s">
        <v>10</v>
      </c>
      <c r="S296" s="281" t="s">
        <v>246</v>
      </c>
      <c r="T296" s="276"/>
      <c r="U296" s="276"/>
      <c r="V296" s="281"/>
      <c r="W296" s="281"/>
      <c r="X296" s="276">
        <v>2</v>
      </c>
    </row>
    <row r="297" spans="1:24" s="283" customFormat="1">
      <c r="A297" s="346">
        <v>245</v>
      </c>
      <c r="B297" s="284"/>
      <c r="C297" s="276"/>
      <c r="D297" s="276"/>
      <c r="E297" s="276"/>
      <c r="F297" s="276"/>
      <c r="G297" s="276" t="s">
        <v>91</v>
      </c>
      <c r="H297" s="276"/>
      <c r="I297" s="276"/>
      <c r="J297" s="840" t="s">
        <v>811</v>
      </c>
      <c r="K297" s="839">
        <v>60000</v>
      </c>
      <c r="L297" s="838" t="s">
        <v>434</v>
      </c>
      <c r="M297" s="276"/>
      <c r="N297" s="276"/>
      <c r="O297" s="276"/>
      <c r="P297" s="276"/>
      <c r="Q297" s="276"/>
      <c r="R297" s="277" t="s">
        <v>10</v>
      </c>
      <c r="S297" s="281" t="s">
        <v>246</v>
      </c>
      <c r="T297" s="276"/>
      <c r="U297" s="276"/>
      <c r="V297" s="281"/>
      <c r="W297" s="281"/>
      <c r="X297" s="276">
        <v>2</v>
      </c>
    </row>
    <row r="298" spans="1:24" s="283" customFormat="1" ht="20.25">
      <c r="A298" s="346">
        <v>246</v>
      </c>
      <c r="B298" s="284"/>
      <c r="C298" s="276"/>
      <c r="D298" s="276"/>
      <c r="E298" s="276"/>
      <c r="F298" s="276"/>
      <c r="G298" s="276" t="s">
        <v>91</v>
      </c>
      <c r="H298" s="276"/>
      <c r="I298" s="276"/>
      <c r="J298" s="836" t="s">
        <v>815</v>
      </c>
      <c r="K298" s="279">
        <v>55000</v>
      </c>
      <c r="L298" s="836" t="s">
        <v>423</v>
      </c>
      <c r="M298" s="276"/>
      <c r="N298" s="276"/>
      <c r="O298" s="276"/>
      <c r="P298" s="276"/>
      <c r="Q298" s="276"/>
      <c r="R298" s="277" t="s">
        <v>10</v>
      </c>
      <c r="S298" s="281" t="s">
        <v>246</v>
      </c>
      <c r="T298" s="276"/>
      <c r="U298" s="276"/>
      <c r="V298" s="281"/>
      <c r="W298" s="281"/>
      <c r="X298" s="276">
        <v>1</v>
      </c>
    </row>
    <row r="299" spans="1:24" s="283" customFormat="1" ht="57" thickBot="1">
      <c r="A299" s="346">
        <v>247</v>
      </c>
      <c r="B299" s="284"/>
      <c r="C299" s="276"/>
      <c r="D299" s="276"/>
      <c r="E299" s="276"/>
      <c r="F299" s="276"/>
      <c r="G299" s="276" t="s">
        <v>91</v>
      </c>
      <c r="H299" s="276"/>
      <c r="I299" s="276"/>
      <c r="J299" s="841" t="s">
        <v>816</v>
      </c>
      <c r="K299" s="842">
        <v>37000</v>
      </c>
      <c r="L299" s="838" t="s">
        <v>440</v>
      </c>
      <c r="M299" s="276"/>
      <c r="N299" s="276"/>
      <c r="O299" s="276"/>
      <c r="P299" s="276"/>
      <c r="Q299" s="276"/>
      <c r="R299" s="277" t="s">
        <v>10</v>
      </c>
      <c r="S299" s="281" t="s">
        <v>246</v>
      </c>
      <c r="T299" s="276"/>
      <c r="U299" s="276"/>
      <c r="V299" s="281"/>
      <c r="W299" s="281"/>
      <c r="X299" s="276">
        <v>1</v>
      </c>
    </row>
    <row r="300" spans="1:24" s="283" customFormat="1" ht="27" customHeight="1" thickBot="1">
      <c r="A300" s="843"/>
      <c r="B300" s="844"/>
      <c r="J300" s="845" t="s">
        <v>8</v>
      </c>
      <c r="K300" s="846">
        <f>SUM(K48:K299)</f>
        <v>121711500</v>
      </c>
      <c r="L300" s="847"/>
      <c r="V300" s="315"/>
      <c r="W300" s="315"/>
    </row>
    <row r="301" spans="1:24" s="999" customFormat="1" ht="45.75" customHeight="1">
      <c r="A301" s="995">
        <v>1</v>
      </c>
      <c r="B301" s="996"/>
      <c r="C301" s="961"/>
      <c r="D301" s="961"/>
      <c r="E301" s="961"/>
      <c r="F301" s="961" t="s">
        <v>52</v>
      </c>
      <c r="G301" s="961"/>
      <c r="H301" s="961"/>
      <c r="I301" s="961"/>
      <c r="J301" s="997" t="s">
        <v>157</v>
      </c>
      <c r="K301" s="998">
        <v>4200000</v>
      </c>
      <c r="L301" s="956" t="s">
        <v>19</v>
      </c>
      <c r="M301" s="961" t="s">
        <v>52</v>
      </c>
      <c r="N301" s="956"/>
      <c r="O301" s="956"/>
      <c r="P301" s="956"/>
      <c r="Q301" s="956"/>
      <c r="R301" s="956"/>
      <c r="S301" s="961" t="s">
        <v>19</v>
      </c>
      <c r="T301" s="961">
        <v>1</v>
      </c>
      <c r="U301" s="956"/>
      <c r="V301" s="956"/>
      <c r="W301" s="956"/>
      <c r="X301" s="956"/>
    </row>
    <row r="302" spans="1:24" s="999" customFormat="1" ht="45.75" customHeight="1">
      <c r="A302" s="995">
        <v>2</v>
      </c>
      <c r="B302" s="996"/>
      <c r="C302" s="961"/>
      <c r="D302" s="961"/>
      <c r="E302" s="961"/>
      <c r="F302" s="961" t="s">
        <v>52</v>
      </c>
      <c r="G302" s="961"/>
      <c r="H302" s="961"/>
      <c r="I302" s="961"/>
      <c r="J302" s="997" t="s">
        <v>157</v>
      </c>
      <c r="K302" s="998">
        <v>4200000</v>
      </c>
      <c r="L302" s="956" t="s">
        <v>19</v>
      </c>
      <c r="M302" s="961" t="s">
        <v>52</v>
      </c>
      <c r="N302" s="956"/>
      <c r="O302" s="956"/>
      <c r="P302" s="956"/>
      <c r="Q302" s="956"/>
      <c r="R302" s="956"/>
      <c r="S302" s="961" t="s">
        <v>19</v>
      </c>
      <c r="T302" s="956"/>
      <c r="U302" s="956">
        <v>1</v>
      </c>
      <c r="V302" s="956"/>
      <c r="W302" s="956"/>
      <c r="X302" s="956"/>
    </row>
    <row r="303" spans="1:24" s="71" customFormat="1" ht="23.25" customHeight="1">
      <c r="A303" s="1000">
        <v>3</v>
      </c>
      <c r="B303" s="1001"/>
      <c r="C303" s="470"/>
      <c r="D303" s="470"/>
      <c r="E303" s="470"/>
      <c r="F303" s="961" t="s">
        <v>52</v>
      </c>
      <c r="G303" s="470"/>
      <c r="H303" s="470"/>
      <c r="I303" s="470"/>
      <c r="J303" s="1002" t="s">
        <v>165</v>
      </c>
      <c r="K303" s="1003">
        <v>5000000</v>
      </c>
      <c r="L303" s="470" t="s">
        <v>163</v>
      </c>
      <c r="M303" s="470"/>
      <c r="N303" s="470" t="s">
        <v>52</v>
      </c>
      <c r="O303" s="470"/>
      <c r="P303" s="470"/>
      <c r="Q303" s="470"/>
      <c r="R303" s="470"/>
      <c r="S303" s="961" t="s">
        <v>19</v>
      </c>
      <c r="T303" s="470">
        <v>1</v>
      </c>
      <c r="U303" s="470"/>
      <c r="V303" s="470"/>
      <c r="W303" s="470"/>
      <c r="X303" s="470"/>
    </row>
    <row r="304" spans="1:24" s="71" customFormat="1" ht="57.75" customHeight="1">
      <c r="A304" s="1000">
        <v>4</v>
      </c>
      <c r="B304" s="1001"/>
      <c r="C304" s="961" t="s">
        <v>52</v>
      </c>
      <c r="D304" s="470"/>
      <c r="E304" s="470"/>
      <c r="F304" s="470"/>
      <c r="G304" s="470"/>
      <c r="H304" s="470"/>
      <c r="I304" s="470"/>
      <c r="J304" s="1002" t="s">
        <v>161</v>
      </c>
      <c r="K304" s="1003">
        <v>5180000</v>
      </c>
      <c r="L304" s="470" t="s">
        <v>163</v>
      </c>
      <c r="M304" s="470"/>
      <c r="N304" s="470" t="s">
        <v>52</v>
      </c>
      <c r="O304" s="470"/>
      <c r="P304" s="470"/>
      <c r="Q304" s="470"/>
      <c r="R304" s="470"/>
      <c r="S304" s="961" t="s">
        <v>19</v>
      </c>
      <c r="T304" s="470"/>
      <c r="U304" s="470">
        <v>1</v>
      </c>
      <c r="V304" s="470"/>
      <c r="W304" s="470"/>
      <c r="X304" s="470"/>
    </row>
    <row r="305" spans="1:24" s="71" customFormat="1" ht="23.25" customHeight="1">
      <c r="A305" s="1000">
        <v>5</v>
      </c>
      <c r="B305" s="1001"/>
      <c r="C305" s="470"/>
      <c r="D305" s="470"/>
      <c r="E305" s="470"/>
      <c r="F305" s="961" t="s">
        <v>52</v>
      </c>
      <c r="G305" s="470"/>
      <c r="H305" s="470"/>
      <c r="I305" s="470"/>
      <c r="J305" s="1002" t="s">
        <v>166</v>
      </c>
      <c r="K305" s="1003">
        <v>9630000</v>
      </c>
      <c r="L305" s="470" t="s">
        <v>163</v>
      </c>
      <c r="M305" s="470"/>
      <c r="N305" s="470" t="s">
        <v>52</v>
      </c>
      <c r="O305" s="470"/>
      <c r="P305" s="470"/>
      <c r="Q305" s="470"/>
      <c r="R305" s="470"/>
      <c r="S305" s="961" t="s">
        <v>19</v>
      </c>
      <c r="T305" s="470"/>
      <c r="U305" s="470"/>
      <c r="V305" s="470">
        <v>1</v>
      </c>
      <c r="W305" s="470"/>
      <c r="X305" s="470"/>
    </row>
    <row r="306" spans="1:24" s="71" customFormat="1" ht="23.25" customHeight="1">
      <c r="A306" s="1000">
        <v>6</v>
      </c>
      <c r="B306" s="1001"/>
      <c r="C306" s="470"/>
      <c r="D306" s="961" t="s">
        <v>52</v>
      </c>
      <c r="E306" s="470"/>
      <c r="F306" s="470"/>
      <c r="G306" s="470"/>
      <c r="H306" s="470"/>
      <c r="I306" s="470"/>
      <c r="J306" s="1002" t="s">
        <v>167</v>
      </c>
      <c r="K306" s="1003">
        <v>3600000</v>
      </c>
      <c r="L306" s="470" t="s">
        <v>163</v>
      </c>
      <c r="M306" s="470"/>
      <c r="N306" s="470" t="s">
        <v>52</v>
      </c>
      <c r="O306" s="470"/>
      <c r="P306" s="470"/>
      <c r="Q306" s="470"/>
      <c r="R306" s="470"/>
      <c r="S306" s="961" t="s">
        <v>19</v>
      </c>
      <c r="T306" s="470"/>
      <c r="U306" s="470"/>
      <c r="V306" s="470"/>
      <c r="W306" s="470">
        <v>1</v>
      </c>
      <c r="X306" s="470"/>
    </row>
    <row r="307" spans="1:24" s="71" customFormat="1" ht="23.25" customHeight="1">
      <c r="A307" s="1000">
        <v>7</v>
      </c>
      <c r="B307" s="1001"/>
      <c r="C307" s="470"/>
      <c r="D307" s="961" t="s">
        <v>52</v>
      </c>
      <c r="E307" s="470"/>
      <c r="F307" s="470"/>
      <c r="G307" s="470"/>
      <c r="H307" s="470"/>
      <c r="I307" s="470"/>
      <c r="J307" s="1002" t="s">
        <v>168</v>
      </c>
      <c r="K307" s="1003">
        <v>3000000</v>
      </c>
      <c r="L307" s="470" t="s">
        <v>163</v>
      </c>
      <c r="M307" s="470"/>
      <c r="N307" s="470" t="s">
        <v>52</v>
      </c>
      <c r="O307" s="470"/>
      <c r="P307" s="470"/>
      <c r="Q307" s="470"/>
      <c r="R307" s="470"/>
      <c r="S307" s="961" t="s">
        <v>19</v>
      </c>
      <c r="T307" s="470"/>
      <c r="U307" s="470"/>
      <c r="V307" s="470"/>
      <c r="W307" s="470">
        <v>1</v>
      </c>
      <c r="X307" s="470"/>
    </row>
    <row r="308" spans="1:24" s="71" customFormat="1" ht="23.25" customHeight="1">
      <c r="A308" s="1000">
        <v>8</v>
      </c>
      <c r="B308" s="1001"/>
      <c r="C308" s="470" t="s">
        <v>957</v>
      </c>
      <c r="D308" s="470"/>
      <c r="E308" s="470"/>
      <c r="F308" s="961" t="s">
        <v>52</v>
      </c>
      <c r="G308" s="470"/>
      <c r="H308" s="470"/>
      <c r="I308" s="470"/>
      <c r="J308" s="1002" t="s">
        <v>169</v>
      </c>
      <c r="K308" s="1003">
        <v>10165000</v>
      </c>
      <c r="L308" s="470" t="s">
        <v>163</v>
      </c>
      <c r="M308" s="470"/>
      <c r="N308" s="470" t="s">
        <v>52</v>
      </c>
      <c r="O308" s="470"/>
      <c r="P308" s="470"/>
      <c r="Q308" s="470"/>
      <c r="R308" s="470"/>
      <c r="S308" s="961" t="s">
        <v>19</v>
      </c>
      <c r="T308" s="470"/>
      <c r="U308" s="470"/>
      <c r="V308" s="470"/>
      <c r="W308" s="470"/>
      <c r="X308" s="470">
        <v>1</v>
      </c>
    </row>
    <row r="309" spans="1:24" s="71" customFormat="1" ht="23.25" customHeight="1">
      <c r="A309" s="1000"/>
      <c r="B309" s="1004"/>
      <c r="C309" s="1004"/>
      <c r="D309" s="470" t="s">
        <v>958</v>
      </c>
      <c r="E309" s="1004"/>
      <c r="F309" s="1004"/>
      <c r="G309" s="1004"/>
      <c r="H309" s="1004"/>
      <c r="I309" s="1004"/>
      <c r="J309" s="541" t="s">
        <v>468</v>
      </c>
      <c r="K309" s="1005">
        <v>700000</v>
      </c>
      <c r="L309" s="470" t="s">
        <v>469</v>
      </c>
      <c r="M309" s="1006"/>
      <c r="N309" s="1006"/>
      <c r="O309" s="1006"/>
      <c r="P309" s="470" t="s">
        <v>958</v>
      </c>
      <c r="Q309" s="1007"/>
      <c r="R309" s="1007"/>
      <c r="S309" s="470" t="s">
        <v>19</v>
      </c>
      <c r="T309" s="470">
        <v>1</v>
      </c>
      <c r="U309" s="470"/>
      <c r="V309" s="1007"/>
      <c r="W309" s="1007"/>
      <c r="X309" s="1007"/>
    </row>
    <row r="310" spans="1:24" s="71" customFormat="1" ht="54" customHeight="1">
      <c r="A310" s="1000"/>
      <c r="B310" s="1001"/>
      <c r="C310" s="470"/>
      <c r="D310" s="470"/>
      <c r="E310" s="470"/>
      <c r="F310" s="470"/>
      <c r="G310" s="470" t="s">
        <v>958</v>
      </c>
      <c r="H310" s="470"/>
      <c r="I310" s="470"/>
      <c r="J310" s="544" t="s">
        <v>472</v>
      </c>
      <c r="K310" s="1008">
        <v>3090000</v>
      </c>
      <c r="L310" s="470" t="s">
        <v>469</v>
      </c>
      <c r="M310" s="470"/>
      <c r="N310" s="470"/>
      <c r="O310" s="470"/>
      <c r="P310" s="470" t="s">
        <v>958</v>
      </c>
      <c r="Q310" s="1007"/>
      <c r="R310" s="1007"/>
      <c r="S310" s="470" t="s">
        <v>19</v>
      </c>
      <c r="T310" s="1007">
        <v>1</v>
      </c>
      <c r="U310" s="470"/>
      <c r="V310" s="1007"/>
      <c r="W310" s="1007"/>
      <c r="X310" s="1007"/>
    </row>
    <row r="311" spans="1:24" s="71" customFormat="1" ht="40.5" customHeight="1">
      <c r="A311" s="1000"/>
      <c r="B311" s="1001"/>
      <c r="C311" s="470"/>
      <c r="D311" s="470" t="s">
        <v>958</v>
      </c>
      <c r="E311" s="470"/>
      <c r="F311" s="470"/>
      <c r="G311" s="470"/>
      <c r="H311" s="470"/>
      <c r="I311" s="470"/>
      <c r="J311" s="546" t="s">
        <v>959</v>
      </c>
      <c r="K311" s="1008">
        <f>1450000*2</f>
        <v>2900000</v>
      </c>
      <c r="L311" s="470" t="s">
        <v>469</v>
      </c>
      <c r="M311" s="470"/>
      <c r="N311" s="470"/>
      <c r="O311" s="470"/>
      <c r="P311" s="470" t="s">
        <v>958</v>
      </c>
      <c r="Q311" s="1007"/>
      <c r="R311" s="1007"/>
      <c r="S311" s="470" t="s">
        <v>19</v>
      </c>
      <c r="T311" s="1007">
        <v>2</v>
      </c>
      <c r="U311" s="470"/>
      <c r="V311" s="1007"/>
      <c r="W311" s="1007"/>
      <c r="X311" s="1007"/>
    </row>
    <row r="312" spans="1:24" s="71" customFormat="1" ht="23.25" customHeight="1">
      <c r="A312" s="1000"/>
      <c r="B312" s="1001"/>
      <c r="C312" s="470"/>
      <c r="D312" s="470" t="s">
        <v>958</v>
      </c>
      <c r="E312" s="470"/>
      <c r="F312" s="470"/>
      <c r="G312" s="470"/>
      <c r="H312" s="470"/>
      <c r="I312" s="470"/>
      <c r="J312" s="546" t="s">
        <v>474</v>
      </c>
      <c r="K312" s="1008">
        <v>1760000</v>
      </c>
      <c r="L312" s="470" t="s">
        <v>469</v>
      </c>
      <c r="M312" s="470"/>
      <c r="N312" s="470"/>
      <c r="O312" s="470"/>
      <c r="P312" s="470" t="s">
        <v>958</v>
      </c>
      <c r="Q312" s="1007"/>
      <c r="R312" s="1007"/>
      <c r="S312" s="470" t="s">
        <v>19</v>
      </c>
      <c r="T312" s="1007">
        <v>1</v>
      </c>
      <c r="U312" s="470"/>
      <c r="V312" s="1007"/>
      <c r="W312" s="1007"/>
      <c r="X312" s="1007"/>
    </row>
    <row r="313" spans="1:24" s="71" customFormat="1" ht="23.25" customHeight="1">
      <c r="A313" s="1000"/>
      <c r="B313" s="1001"/>
      <c r="C313" s="470"/>
      <c r="D313" s="470" t="s">
        <v>958</v>
      </c>
      <c r="E313" s="470"/>
      <c r="F313" s="470"/>
      <c r="G313" s="470"/>
      <c r="H313" s="470"/>
      <c r="I313" s="470"/>
      <c r="J313" s="546" t="s">
        <v>265</v>
      </c>
      <c r="K313" s="1008">
        <v>555000</v>
      </c>
      <c r="L313" s="470" t="s">
        <v>469</v>
      </c>
      <c r="M313" s="470"/>
      <c r="N313" s="470"/>
      <c r="O313" s="470"/>
      <c r="P313" s="470" t="s">
        <v>958</v>
      </c>
      <c r="Q313" s="1007"/>
      <c r="R313" s="1007"/>
      <c r="S313" s="470" t="s">
        <v>19</v>
      </c>
      <c r="T313" s="1007">
        <v>1</v>
      </c>
      <c r="U313" s="470"/>
      <c r="V313" s="1007"/>
      <c r="W313" s="1007"/>
      <c r="X313" s="1007"/>
    </row>
    <row r="314" spans="1:24" s="1012" customFormat="1" ht="38.25" customHeight="1">
      <c r="A314" s="1009"/>
      <c r="B314" s="1010" t="s">
        <v>91</v>
      </c>
      <c r="C314" s="548"/>
      <c r="D314" s="548" t="s">
        <v>91</v>
      </c>
      <c r="E314" s="548"/>
      <c r="F314" s="548"/>
      <c r="G314" s="548"/>
      <c r="H314" s="548"/>
      <c r="I314" s="548"/>
      <c r="J314" s="548" t="s">
        <v>475</v>
      </c>
      <c r="K314" s="1011">
        <f>850000*2</f>
        <v>1700000</v>
      </c>
      <c r="L314" s="550" t="s">
        <v>476</v>
      </c>
      <c r="M314" s="548"/>
      <c r="N314" s="548"/>
      <c r="O314" s="548"/>
      <c r="P314" s="548" t="s">
        <v>91</v>
      </c>
      <c r="Q314" s="548"/>
      <c r="R314" s="548"/>
      <c r="S314" s="548" t="s">
        <v>19</v>
      </c>
      <c r="T314" s="548">
        <v>2</v>
      </c>
      <c r="U314" s="548"/>
      <c r="V314" s="548"/>
      <c r="W314" s="548"/>
      <c r="X314" s="548"/>
    </row>
    <row r="315" spans="1:24" s="1012" customFormat="1" ht="26.25" customHeight="1">
      <c r="A315" s="1009"/>
      <c r="B315" s="1010" t="s">
        <v>91</v>
      </c>
      <c r="C315" s="548"/>
      <c r="D315" s="548" t="s">
        <v>91</v>
      </c>
      <c r="E315" s="548"/>
      <c r="F315" s="548"/>
      <c r="G315" s="548"/>
      <c r="H315" s="548"/>
      <c r="I315" s="548"/>
      <c r="J315" s="548" t="s">
        <v>478</v>
      </c>
      <c r="K315" s="1011">
        <v>850000</v>
      </c>
      <c r="L315" s="550" t="s">
        <v>476</v>
      </c>
      <c r="M315" s="548"/>
      <c r="N315" s="548"/>
      <c r="O315" s="548"/>
      <c r="P315" s="548" t="s">
        <v>91</v>
      </c>
      <c r="Q315" s="548"/>
      <c r="R315" s="548"/>
      <c r="S315" s="548" t="s">
        <v>19</v>
      </c>
      <c r="T315" s="548">
        <v>1</v>
      </c>
      <c r="U315" s="548"/>
      <c r="V315" s="548"/>
      <c r="W315" s="548"/>
      <c r="X315" s="548"/>
    </row>
    <row r="316" spans="1:24" s="1012" customFormat="1" ht="36" customHeight="1">
      <c r="A316" s="1009"/>
      <c r="B316" s="1010" t="s">
        <v>91</v>
      </c>
      <c r="C316" s="548"/>
      <c r="D316" s="548" t="s">
        <v>91</v>
      </c>
      <c r="E316" s="548"/>
      <c r="F316" s="548"/>
      <c r="G316" s="548"/>
      <c r="H316" s="548"/>
      <c r="I316" s="548"/>
      <c r="J316" s="548" t="s">
        <v>479</v>
      </c>
      <c r="K316" s="553">
        <v>4200000</v>
      </c>
      <c r="L316" s="550" t="s">
        <v>476</v>
      </c>
      <c r="M316" s="548"/>
      <c r="N316" s="548"/>
      <c r="O316" s="548"/>
      <c r="P316" s="548" t="s">
        <v>91</v>
      </c>
      <c r="Q316" s="548"/>
      <c r="R316" s="548"/>
      <c r="S316" s="548" t="s">
        <v>19</v>
      </c>
      <c r="T316" s="548">
        <v>1</v>
      </c>
      <c r="U316" s="548"/>
      <c r="V316" s="548"/>
      <c r="W316" s="548"/>
      <c r="X316" s="548"/>
    </row>
    <row r="317" spans="1:24" s="1012" customFormat="1" ht="21" customHeight="1">
      <c r="A317" s="1009"/>
      <c r="B317" s="1010" t="s">
        <v>91</v>
      </c>
      <c r="C317" s="548"/>
      <c r="D317" s="548" t="s">
        <v>91</v>
      </c>
      <c r="E317" s="548"/>
      <c r="F317" s="548"/>
      <c r="G317" s="548"/>
      <c r="H317" s="548"/>
      <c r="I317" s="548"/>
      <c r="J317" s="548" t="s">
        <v>960</v>
      </c>
      <c r="K317" s="553">
        <f>550000*2</f>
        <v>1100000</v>
      </c>
      <c r="L317" s="550" t="s">
        <v>476</v>
      </c>
      <c r="M317" s="548"/>
      <c r="N317" s="548"/>
      <c r="O317" s="548"/>
      <c r="P317" s="548" t="s">
        <v>91</v>
      </c>
      <c r="Q317" s="548"/>
      <c r="R317" s="548"/>
      <c r="S317" s="548" t="s">
        <v>19</v>
      </c>
      <c r="T317" s="548">
        <v>1</v>
      </c>
      <c r="U317" s="548"/>
      <c r="V317" s="548"/>
      <c r="W317" s="548"/>
      <c r="X317" s="548"/>
    </row>
    <row r="318" spans="1:24" s="1012" customFormat="1" ht="40.5" customHeight="1">
      <c r="A318" s="1009"/>
      <c r="B318" s="1010" t="s">
        <v>91</v>
      </c>
      <c r="C318" s="548"/>
      <c r="D318" s="548" t="s">
        <v>91</v>
      </c>
      <c r="E318" s="548"/>
      <c r="F318" s="548"/>
      <c r="G318" s="548"/>
      <c r="H318" s="548"/>
      <c r="I318" s="548"/>
      <c r="J318" s="548" t="s">
        <v>961</v>
      </c>
      <c r="K318" s="553">
        <f>160000*3</f>
        <v>480000</v>
      </c>
      <c r="L318" s="550" t="s">
        <v>476</v>
      </c>
      <c r="M318" s="548"/>
      <c r="N318" s="548"/>
      <c r="O318" s="548"/>
      <c r="P318" s="548" t="s">
        <v>91</v>
      </c>
      <c r="Q318" s="548"/>
      <c r="R318" s="548"/>
      <c r="S318" s="548" t="s">
        <v>19</v>
      </c>
      <c r="T318" s="548">
        <v>1</v>
      </c>
      <c r="U318" s="548">
        <v>1</v>
      </c>
      <c r="V318" s="548">
        <v>1</v>
      </c>
      <c r="W318" s="548"/>
      <c r="X318" s="548"/>
    </row>
    <row r="319" spans="1:24" s="1012" customFormat="1" ht="37.5" customHeight="1">
      <c r="A319" s="1009"/>
      <c r="B319" s="1010" t="s">
        <v>91</v>
      </c>
      <c r="C319" s="548"/>
      <c r="D319" s="548" t="s">
        <v>91</v>
      </c>
      <c r="E319" s="548"/>
      <c r="F319" s="548"/>
      <c r="G319" s="548"/>
      <c r="H319" s="548"/>
      <c r="I319" s="548"/>
      <c r="J319" s="548" t="s">
        <v>482</v>
      </c>
      <c r="K319" s="1011">
        <v>1000000</v>
      </c>
      <c r="L319" s="550" t="s">
        <v>476</v>
      </c>
      <c r="M319" s="548"/>
      <c r="N319" s="548"/>
      <c r="O319" s="548"/>
      <c r="P319" s="548" t="s">
        <v>91</v>
      </c>
      <c r="Q319" s="548"/>
      <c r="R319" s="548"/>
      <c r="S319" s="548" t="s">
        <v>19</v>
      </c>
      <c r="T319" s="548">
        <v>1</v>
      </c>
      <c r="U319" s="548"/>
      <c r="V319" s="548"/>
      <c r="W319" s="548"/>
      <c r="X319" s="548"/>
    </row>
    <row r="320" spans="1:24" s="1012" customFormat="1" ht="43.5" customHeight="1">
      <c r="A320" s="1009"/>
      <c r="B320" s="1010" t="s">
        <v>91</v>
      </c>
      <c r="C320" s="548"/>
      <c r="D320" s="548" t="s">
        <v>91</v>
      </c>
      <c r="E320" s="548"/>
      <c r="F320" s="548" t="s">
        <v>91</v>
      </c>
      <c r="G320" s="548"/>
      <c r="H320" s="548"/>
      <c r="I320" s="548"/>
      <c r="J320" s="548" t="s">
        <v>962</v>
      </c>
      <c r="K320" s="1011">
        <f>400000*2</f>
        <v>800000</v>
      </c>
      <c r="L320" s="550" t="s">
        <v>476</v>
      </c>
      <c r="M320" s="548"/>
      <c r="N320" s="548"/>
      <c r="O320" s="548"/>
      <c r="P320" s="548" t="s">
        <v>91</v>
      </c>
      <c r="Q320" s="548"/>
      <c r="R320" s="548"/>
      <c r="S320" s="548" t="s">
        <v>19</v>
      </c>
      <c r="T320" s="548">
        <v>1</v>
      </c>
      <c r="U320" s="548">
        <v>1</v>
      </c>
      <c r="V320" s="548"/>
      <c r="W320" s="548"/>
      <c r="X320" s="548"/>
    </row>
    <row r="321" spans="1:24" s="1012" customFormat="1" ht="25.5" customHeight="1">
      <c r="A321" s="1009"/>
      <c r="B321" s="1010" t="s">
        <v>91</v>
      </c>
      <c r="C321" s="548"/>
      <c r="D321" s="548" t="s">
        <v>91</v>
      </c>
      <c r="E321" s="548"/>
      <c r="F321" s="548"/>
      <c r="G321" s="548"/>
      <c r="H321" s="548"/>
      <c r="I321" s="548"/>
      <c r="J321" s="548" t="s">
        <v>484</v>
      </c>
      <c r="K321" s="553">
        <v>100000</v>
      </c>
      <c r="L321" s="550" t="s">
        <v>476</v>
      </c>
      <c r="M321" s="548"/>
      <c r="N321" s="548"/>
      <c r="O321" s="548"/>
      <c r="P321" s="548" t="s">
        <v>91</v>
      </c>
      <c r="Q321" s="548"/>
      <c r="R321" s="548"/>
      <c r="S321" s="548" t="s">
        <v>19</v>
      </c>
      <c r="T321" s="548">
        <v>1</v>
      </c>
      <c r="U321" s="548"/>
      <c r="V321" s="548"/>
      <c r="W321" s="548"/>
      <c r="X321" s="548"/>
    </row>
    <row r="322" spans="1:24" s="1012" customFormat="1" ht="24.75" customHeight="1">
      <c r="A322" s="1009"/>
      <c r="B322" s="1010"/>
      <c r="C322" s="548"/>
      <c r="D322" s="548"/>
      <c r="E322" s="548" t="s">
        <v>91</v>
      </c>
      <c r="F322" s="548"/>
      <c r="G322" s="548"/>
      <c r="H322" s="548"/>
      <c r="I322" s="548"/>
      <c r="J322" s="548" t="s">
        <v>485</v>
      </c>
      <c r="K322" s="1011">
        <v>5000000</v>
      </c>
      <c r="L322" s="550" t="s">
        <v>476</v>
      </c>
      <c r="M322" s="548"/>
      <c r="N322" s="548"/>
      <c r="O322" s="548"/>
      <c r="P322" s="548" t="s">
        <v>91</v>
      </c>
      <c r="Q322" s="548"/>
      <c r="R322" s="548"/>
      <c r="S322" s="548" t="s">
        <v>19</v>
      </c>
      <c r="T322" s="548">
        <v>1</v>
      </c>
      <c r="U322" s="548"/>
      <c r="V322" s="548"/>
      <c r="W322" s="548"/>
      <c r="X322" s="548"/>
    </row>
    <row r="323" spans="1:24" s="1012" customFormat="1" ht="22.5" customHeight="1">
      <c r="A323" s="1009"/>
      <c r="B323" s="1010"/>
      <c r="C323" s="548"/>
      <c r="D323" s="548"/>
      <c r="E323" s="548"/>
      <c r="F323" s="548" t="s">
        <v>91</v>
      </c>
      <c r="G323" s="548"/>
      <c r="H323" s="548"/>
      <c r="I323" s="548"/>
      <c r="J323" s="548" t="s">
        <v>487</v>
      </c>
      <c r="K323" s="553">
        <v>2140000</v>
      </c>
      <c r="L323" s="550" t="s">
        <v>476</v>
      </c>
      <c r="M323" s="548"/>
      <c r="N323" s="548"/>
      <c r="O323" s="548"/>
      <c r="P323" s="548" t="s">
        <v>91</v>
      </c>
      <c r="Q323" s="548"/>
      <c r="R323" s="548"/>
      <c r="S323" s="548" t="s">
        <v>19</v>
      </c>
      <c r="T323" s="548">
        <v>1</v>
      </c>
      <c r="U323" s="548"/>
      <c r="V323" s="548"/>
      <c r="W323" s="548"/>
      <c r="X323" s="548"/>
    </row>
    <row r="324" spans="1:24" s="1012" customFormat="1">
      <c r="A324" s="1009"/>
      <c r="B324" s="1010"/>
      <c r="C324" s="548"/>
      <c r="D324" s="548"/>
      <c r="E324" s="548"/>
      <c r="F324" s="548" t="s">
        <v>91</v>
      </c>
      <c r="G324" s="548"/>
      <c r="H324" s="548"/>
      <c r="I324" s="548"/>
      <c r="J324" s="548" t="s">
        <v>486</v>
      </c>
      <c r="K324" s="553">
        <v>2060000</v>
      </c>
      <c r="L324" s="550" t="s">
        <v>476</v>
      </c>
      <c r="M324" s="548"/>
      <c r="N324" s="548"/>
      <c r="O324" s="548"/>
      <c r="P324" s="548" t="s">
        <v>91</v>
      </c>
      <c r="Q324" s="548"/>
      <c r="R324" s="548"/>
      <c r="S324" s="548" t="s">
        <v>19</v>
      </c>
      <c r="T324" s="548">
        <v>1</v>
      </c>
      <c r="U324" s="548"/>
      <c r="V324" s="548"/>
      <c r="W324" s="548"/>
      <c r="X324" s="548"/>
    </row>
    <row r="325" spans="1:24" s="1012" customFormat="1" ht="48.75" customHeight="1">
      <c r="A325" s="1009"/>
      <c r="B325" s="1010" t="s">
        <v>91</v>
      </c>
      <c r="C325" s="548"/>
      <c r="D325" s="548" t="s">
        <v>91</v>
      </c>
      <c r="E325" s="548"/>
      <c r="F325" s="548"/>
      <c r="G325" s="548"/>
      <c r="H325" s="548"/>
      <c r="I325" s="548"/>
      <c r="J325" s="548" t="s">
        <v>488</v>
      </c>
      <c r="K325" s="553">
        <f>60000*3*4</f>
        <v>720000</v>
      </c>
      <c r="L325" s="550" t="s">
        <v>476</v>
      </c>
      <c r="M325" s="548"/>
      <c r="N325" s="548"/>
      <c r="O325" s="548"/>
      <c r="P325" s="548" t="s">
        <v>91</v>
      </c>
      <c r="Q325" s="548"/>
      <c r="R325" s="548"/>
      <c r="S325" s="548" t="s">
        <v>19</v>
      </c>
      <c r="T325" s="548">
        <v>3</v>
      </c>
      <c r="U325" s="548">
        <v>3</v>
      </c>
      <c r="V325" s="548">
        <v>3</v>
      </c>
      <c r="W325" s="548">
        <v>3</v>
      </c>
      <c r="X325" s="548"/>
    </row>
    <row r="326" spans="1:24" s="1012" customFormat="1" ht="38.25" customHeight="1">
      <c r="A326" s="1009"/>
      <c r="B326" s="1010" t="s">
        <v>91</v>
      </c>
      <c r="C326" s="548"/>
      <c r="D326" s="548" t="s">
        <v>91</v>
      </c>
      <c r="E326" s="548"/>
      <c r="F326" s="548"/>
      <c r="G326" s="548"/>
      <c r="H326" s="548"/>
      <c r="I326" s="548"/>
      <c r="J326" s="548" t="s">
        <v>489</v>
      </c>
      <c r="K326" s="553">
        <f>60000*4</f>
        <v>240000</v>
      </c>
      <c r="L326" s="550" t="s">
        <v>476</v>
      </c>
      <c r="M326" s="548"/>
      <c r="N326" s="548"/>
      <c r="O326" s="548"/>
      <c r="P326" s="548" t="s">
        <v>91</v>
      </c>
      <c r="Q326" s="548"/>
      <c r="R326" s="548"/>
      <c r="S326" s="548" t="s">
        <v>19</v>
      </c>
      <c r="T326" s="548">
        <v>1</v>
      </c>
      <c r="U326" s="548">
        <v>1</v>
      </c>
      <c r="V326" s="548">
        <v>1</v>
      </c>
      <c r="W326" s="548">
        <v>1</v>
      </c>
      <c r="X326" s="548"/>
    </row>
    <row r="327" spans="1:24" s="1012" customFormat="1" ht="27" customHeight="1">
      <c r="A327" s="1009"/>
      <c r="B327" s="1010" t="s">
        <v>91</v>
      </c>
      <c r="C327" s="548"/>
      <c r="D327" s="548" t="s">
        <v>91</v>
      </c>
      <c r="E327" s="1007"/>
      <c r="F327" s="1007"/>
      <c r="G327" s="1007"/>
      <c r="H327" s="1007"/>
      <c r="I327" s="1007"/>
      <c r="J327" s="548" t="s">
        <v>490</v>
      </c>
      <c r="K327" s="1013">
        <v>500000</v>
      </c>
      <c r="L327" s="550" t="s">
        <v>476</v>
      </c>
      <c r="M327" s="548"/>
      <c r="N327" s="548"/>
      <c r="O327" s="548"/>
      <c r="P327" s="548" t="s">
        <v>91</v>
      </c>
      <c r="Q327" s="548"/>
      <c r="R327" s="548"/>
      <c r="S327" s="548" t="s">
        <v>19</v>
      </c>
      <c r="T327" s="548">
        <v>1</v>
      </c>
      <c r="U327" s="1007"/>
      <c r="V327" s="1007"/>
      <c r="W327" s="1007"/>
      <c r="X327" s="1007"/>
    </row>
    <row r="328" spans="1:24" s="71" customFormat="1" ht="56.25">
      <c r="A328" s="1009"/>
      <c r="B328" s="1014" t="s">
        <v>91</v>
      </c>
      <c r="C328" s="1007"/>
      <c r="D328" s="1007"/>
      <c r="E328" s="1007"/>
      <c r="F328" s="1007"/>
      <c r="G328" s="1007"/>
      <c r="H328" s="1007"/>
      <c r="I328" s="1007"/>
      <c r="J328" s="544" t="s">
        <v>491</v>
      </c>
      <c r="K328" s="556">
        <v>4280000</v>
      </c>
      <c r="L328" s="550" t="s">
        <v>476</v>
      </c>
      <c r="M328" s="548"/>
      <c r="N328" s="548"/>
      <c r="O328" s="548"/>
      <c r="P328" s="548" t="s">
        <v>91</v>
      </c>
      <c r="Q328" s="548"/>
      <c r="R328" s="548"/>
      <c r="S328" s="548" t="s">
        <v>19</v>
      </c>
      <c r="T328" s="548">
        <v>1</v>
      </c>
      <c r="U328" s="1007"/>
      <c r="V328" s="1007"/>
      <c r="W328" s="1007"/>
      <c r="X328" s="1007"/>
    </row>
    <row r="329" spans="1:24" s="71" customFormat="1" ht="37.5">
      <c r="A329" s="1009"/>
      <c r="B329" s="1014"/>
      <c r="C329" s="1007"/>
      <c r="D329" s="1007"/>
      <c r="E329" s="1007"/>
      <c r="F329" s="1007"/>
      <c r="G329" s="1007"/>
      <c r="H329" s="1007"/>
      <c r="I329" s="1007"/>
      <c r="J329" s="544" t="s">
        <v>963</v>
      </c>
      <c r="K329" s="556">
        <v>58000</v>
      </c>
      <c r="L329" s="550" t="s">
        <v>476</v>
      </c>
      <c r="M329" s="548"/>
      <c r="N329" s="548"/>
      <c r="O329" s="548"/>
      <c r="P329" s="548" t="s">
        <v>91</v>
      </c>
      <c r="Q329" s="548"/>
      <c r="R329" s="548"/>
      <c r="S329" s="548" t="s">
        <v>19</v>
      </c>
      <c r="T329" s="548">
        <v>1</v>
      </c>
      <c r="U329" s="1007"/>
      <c r="V329" s="1007"/>
      <c r="W329" s="1007"/>
      <c r="X329" s="1007"/>
    </row>
    <row r="330" spans="1:24" s="71" customFormat="1" ht="37.5">
      <c r="A330" s="1009"/>
      <c r="B330" s="1014"/>
      <c r="C330" s="1007"/>
      <c r="D330" s="1007"/>
      <c r="E330" s="1007"/>
      <c r="F330" s="1007"/>
      <c r="G330" s="1007"/>
      <c r="H330" s="1007"/>
      <c r="I330" s="1007"/>
      <c r="J330" s="544" t="s">
        <v>964</v>
      </c>
      <c r="K330" s="556">
        <v>145000</v>
      </c>
      <c r="L330" s="550" t="s">
        <v>476</v>
      </c>
      <c r="M330" s="548"/>
      <c r="N330" s="548"/>
      <c r="O330" s="548"/>
      <c r="P330" s="548" t="s">
        <v>91</v>
      </c>
      <c r="Q330" s="548"/>
      <c r="R330" s="548"/>
      <c r="S330" s="548" t="s">
        <v>19</v>
      </c>
      <c r="T330" s="548">
        <v>1</v>
      </c>
      <c r="U330" s="1007"/>
      <c r="V330" s="1007"/>
      <c r="W330" s="1007"/>
      <c r="X330" s="1007"/>
    </row>
    <row r="331" spans="1:24" s="71" customFormat="1" ht="56.25">
      <c r="A331" s="1009"/>
      <c r="B331" s="1014"/>
      <c r="C331" s="1007"/>
      <c r="D331" s="1007"/>
      <c r="E331" s="1007"/>
      <c r="F331" s="1007"/>
      <c r="G331" s="1007"/>
      <c r="H331" s="1007"/>
      <c r="I331" s="1007"/>
      <c r="J331" s="544" t="s">
        <v>965</v>
      </c>
      <c r="K331" s="556">
        <v>450000</v>
      </c>
      <c r="L331" s="550" t="s">
        <v>476</v>
      </c>
      <c r="M331" s="548"/>
      <c r="N331" s="548"/>
      <c r="O331" s="548"/>
      <c r="P331" s="548" t="s">
        <v>91</v>
      </c>
      <c r="Q331" s="548"/>
      <c r="R331" s="548"/>
      <c r="S331" s="548" t="s">
        <v>19</v>
      </c>
      <c r="T331" s="548">
        <v>1</v>
      </c>
      <c r="U331" s="1007"/>
      <c r="V331" s="1007"/>
      <c r="W331" s="1007"/>
      <c r="X331" s="1007"/>
    </row>
    <row r="332" spans="1:24" s="71" customFormat="1" ht="206.25">
      <c r="A332" s="1009"/>
      <c r="B332" s="1014"/>
      <c r="C332" s="1007"/>
      <c r="D332" s="1007"/>
      <c r="E332" s="1007"/>
      <c r="F332" s="1007"/>
      <c r="G332" s="1007"/>
      <c r="H332" s="1007"/>
      <c r="I332" s="1007"/>
      <c r="J332" s="544" t="s">
        <v>966</v>
      </c>
      <c r="K332" s="556">
        <v>3200000</v>
      </c>
      <c r="L332" s="550" t="s">
        <v>476</v>
      </c>
      <c r="M332" s="548"/>
      <c r="N332" s="548"/>
      <c r="O332" s="548"/>
      <c r="P332" s="548" t="s">
        <v>91</v>
      </c>
      <c r="Q332" s="548"/>
      <c r="R332" s="548"/>
      <c r="S332" s="548" t="s">
        <v>19</v>
      </c>
      <c r="T332" s="548">
        <v>1</v>
      </c>
      <c r="U332" s="1007"/>
      <c r="V332" s="1007"/>
      <c r="W332" s="1007"/>
      <c r="X332" s="1007"/>
    </row>
    <row r="333" spans="1:24" s="71" customFormat="1" ht="42" customHeight="1">
      <c r="A333" s="1009"/>
      <c r="B333" s="1014"/>
      <c r="C333" s="1007"/>
      <c r="D333" s="1007"/>
      <c r="E333" s="1007"/>
      <c r="F333" s="1007"/>
      <c r="G333" s="1007"/>
      <c r="H333" s="1007"/>
      <c r="I333" s="1007"/>
      <c r="J333" s="1015" t="s">
        <v>967</v>
      </c>
      <c r="K333" s="556">
        <f>2500000*2</f>
        <v>5000000</v>
      </c>
      <c r="L333" s="218" t="s">
        <v>493</v>
      </c>
      <c r="M333" s="218"/>
      <c r="N333" s="218"/>
      <c r="O333" s="218"/>
      <c r="P333" s="1016" t="s">
        <v>52</v>
      </c>
      <c r="Q333" s="1016"/>
      <c r="R333" s="1016"/>
      <c r="S333" s="911" t="s">
        <v>19</v>
      </c>
      <c r="T333" s="911">
        <v>1</v>
      </c>
      <c r="U333" s="218">
        <v>1</v>
      </c>
      <c r="V333" s="1017"/>
      <c r="W333" s="218"/>
      <c r="X333" s="1007"/>
    </row>
    <row r="334" spans="1:24" s="57" customFormat="1" ht="37.5">
      <c r="A334" s="911"/>
      <c r="B334" s="218"/>
      <c r="C334" s="218"/>
      <c r="D334" s="218"/>
      <c r="E334" s="218"/>
      <c r="F334" s="1016" t="s">
        <v>52</v>
      </c>
      <c r="G334" s="218"/>
      <c r="H334" s="218"/>
      <c r="I334" s="218"/>
      <c r="J334" s="557" t="s">
        <v>492</v>
      </c>
      <c r="K334" s="559">
        <v>2060000</v>
      </c>
      <c r="L334" s="218" t="s">
        <v>493</v>
      </c>
      <c r="M334" s="218"/>
      <c r="N334" s="218"/>
      <c r="O334" s="218"/>
      <c r="P334" s="1016" t="s">
        <v>52</v>
      </c>
      <c r="Q334" s="1016"/>
      <c r="R334" s="1016"/>
      <c r="S334" s="911" t="s">
        <v>19</v>
      </c>
      <c r="T334" s="911">
        <v>1</v>
      </c>
      <c r="U334" s="1017"/>
      <c r="V334" s="1017"/>
      <c r="W334" s="218"/>
      <c r="X334" s="218"/>
    </row>
    <row r="335" spans="1:24" s="57" customFormat="1" ht="37.5">
      <c r="A335" s="911"/>
      <c r="B335" s="218"/>
      <c r="C335" s="218"/>
      <c r="D335" s="218"/>
      <c r="E335" s="1016" t="s">
        <v>52</v>
      </c>
      <c r="F335" s="1016"/>
      <c r="G335" s="218"/>
      <c r="H335" s="218"/>
      <c r="I335" s="218"/>
      <c r="J335" s="557" t="s">
        <v>494</v>
      </c>
      <c r="K335" s="559">
        <v>4120000</v>
      </c>
      <c r="L335" s="218" t="s">
        <v>493</v>
      </c>
      <c r="M335" s="218"/>
      <c r="N335" s="218"/>
      <c r="O335" s="218"/>
      <c r="P335" s="911" t="s">
        <v>52</v>
      </c>
      <c r="Q335" s="218"/>
      <c r="R335" s="218"/>
      <c r="S335" s="911" t="s">
        <v>19</v>
      </c>
      <c r="T335" s="911">
        <v>1</v>
      </c>
      <c r="U335" s="1017"/>
      <c r="V335" s="1017"/>
      <c r="W335" s="218"/>
      <c r="X335" s="218"/>
    </row>
    <row r="336" spans="1:24" s="57" customFormat="1">
      <c r="A336" s="911"/>
      <c r="B336" s="218"/>
      <c r="C336" s="218"/>
      <c r="D336" s="1016" t="s">
        <v>52</v>
      </c>
      <c r="E336" s="218"/>
      <c r="F336" s="218"/>
      <c r="G336" s="218"/>
      <c r="H336" s="218"/>
      <c r="I336" s="218"/>
      <c r="J336" s="557" t="s">
        <v>495</v>
      </c>
      <c r="K336" s="559">
        <v>100000</v>
      </c>
      <c r="L336" s="218" t="s">
        <v>493</v>
      </c>
      <c r="M336" s="218"/>
      <c r="N336" s="218"/>
      <c r="O336" s="218"/>
      <c r="P336" s="911" t="s">
        <v>52</v>
      </c>
      <c r="Q336" s="218"/>
      <c r="R336" s="218"/>
      <c r="S336" s="911" t="s">
        <v>19</v>
      </c>
      <c r="T336" s="911">
        <v>1</v>
      </c>
      <c r="U336" s="1017"/>
      <c r="V336" s="1017"/>
      <c r="W336" s="218"/>
      <c r="X336" s="218"/>
    </row>
    <row r="337" spans="1:24" s="71" customFormat="1" ht="40.5" customHeight="1">
      <c r="A337" s="1000"/>
      <c r="B337" s="1001"/>
      <c r="C337" s="470"/>
      <c r="D337" s="470"/>
      <c r="E337" s="470"/>
      <c r="F337" s="470" t="s">
        <v>958</v>
      </c>
      <c r="G337" s="470"/>
      <c r="H337" s="470"/>
      <c r="I337" s="470"/>
      <c r="J337" s="541" t="s">
        <v>496</v>
      </c>
      <c r="K337" s="1008">
        <v>4200000</v>
      </c>
      <c r="L337" s="470" t="s">
        <v>469</v>
      </c>
      <c r="M337" s="470"/>
      <c r="N337" s="470"/>
      <c r="O337" s="470"/>
      <c r="P337" s="470" t="s">
        <v>958</v>
      </c>
      <c r="Q337" s="1007"/>
      <c r="R337" s="1007"/>
      <c r="S337" s="470" t="s">
        <v>19</v>
      </c>
      <c r="T337" s="1007"/>
      <c r="U337" s="470">
        <v>1</v>
      </c>
      <c r="V337" s="1007"/>
      <c r="W337" s="1007"/>
      <c r="X337" s="1007"/>
    </row>
    <row r="338" spans="1:24" s="71" customFormat="1" ht="22.5" customHeight="1">
      <c r="A338" s="1000"/>
      <c r="B338" s="1001"/>
      <c r="C338" s="470"/>
      <c r="D338" s="470" t="s">
        <v>958</v>
      </c>
      <c r="E338" s="470"/>
      <c r="F338" s="470"/>
      <c r="G338" s="470"/>
      <c r="H338" s="470"/>
      <c r="I338" s="470"/>
      <c r="J338" s="541" t="s">
        <v>497</v>
      </c>
      <c r="K338" s="1008">
        <v>800000</v>
      </c>
      <c r="L338" s="470" t="s">
        <v>469</v>
      </c>
      <c r="M338" s="470"/>
      <c r="N338" s="470"/>
      <c r="O338" s="470"/>
      <c r="P338" s="470" t="s">
        <v>958</v>
      </c>
      <c r="Q338" s="1007"/>
      <c r="R338" s="1007"/>
      <c r="S338" s="470" t="s">
        <v>19</v>
      </c>
      <c r="T338" s="1007"/>
      <c r="U338" s="470">
        <v>1</v>
      </c>
      <c r="V338" s="1007"/>
      <c r="W338" s="1007"/>
      <c r="X338" s="1007"/>
    </row>
    <row r="339" spans="1:24" s="71" customFormat="1" ht="40.5" customHeight="1">
      <c r="A339" s="1000"/>
      <c r="B339" s="1001"/>
      <c r="C339" s="470"/>
      <c r="D339" s="470" t="s">
        <v>958</v>
      </c>
      <c r="E339" s="470"/>
      <c r="F339" s="470"/>
      <c r="G339" s="470"/>
      <c r="H339" s="470"/>
      <c r="I339" s="470"/>
      <c r="J339" s="541" t="s">
        <v>498</v>
      </c>
      <c r="K339" s="1008">
        <v>450000</v>
      </c>
      <c r="L339" s="470" t="s">
        <v>469</v>
      </c>
      <c r="M339" s="470"/>
      <c r="N339" s="470"/>
      <c r="O339" s="470"/>
      <c r="P339" s="470" t="s">
        <v>958</v>
      </c>
      <c r="Q339" s="1007"/>
      <c r="R339" s="1007"/>
      <c r="S339" s="470" t="s">
        <v>19</v>
      </c>
      <c r="T339" s="1007"/>
      <c r="U339" s="470">
        <v>1</v>
      </c>
      <c r="V339" s="1007"/>
      <c r="W339" s="1007"/>
      <c r="X339" s="1007"/>
    </row>
    <row r="340" spans="1:24" s="71" customFormat="1" ht="36.75" customHeight="1">
      <c r="A340" s="1000"/>
      <c r="B340" s="1001"/>
      <c r="C340" s="470"/>
      <c r="D340" s="470" t="s">
        <v>958</v>
      </c>
      <c r="E340" s="470"/>
      <c r="F340" s="470"/>
      <c r="G340" s="470"/>
      <c r="H340" s="470"/>
      <c r="I340" s="470"/>
      <c r="J340" s="546" t="s">
        <v>499</v>
      </c>
      <c r="K340" s="1008">
        <v>1500000</v>
      </c>
      <c r="L340" s="470" t="s">
        <v>469</v>
      </c>
      <c r="M340" s="470"/>
      <c r="N340" s="470"/>
      <c r="O340" s="470"/>
      <c r="P340" s="470" t="s">
        <v>958</v>
      </c>
      <c r="Q340" s="1007"/>
      <c r="R340" s="1007"/>
      <c r="S340" s="470" t="s">
        <v>19</v>
      </c>
      <c r="T340" s="1007"/>
      <c r="U340" s="470"/>
      <c r="V340" s="470">
        <v>1</v>
      </c>
      <c r="W340" s="1007"/>
      <c r="X340" s="1007"/>
    </row>
    <row r="341" spans="1:24" s="71" customFormat="1" ht="57" customHeight="1">
      <c r="A341" s="1000"/>
      <c r="B341" s="1001"/>
      <c r="C341" s="470"/>
      <c r="D341" s="470" t="s">
        <v>958</v>
      </c>
      <c r="E341" s="470"/>
      <c r="F341" s="470"/>
      <c r="G341" s="470"/>
      <c r="H341" s="470"/>
      <c r="I341" s="470"/>
      <c r="J341" s="546" t="s">
        <v>500</v>
      </c>
      <c r="K341" s="1008">
        <f>520000*3</f>
        <v>1560000</v>
      </c>
      <c r="L341" s="470" t="s">
        <v>469</v>
      </c>
      <c r="M341" s="470"/>
      <c r="N341" s="470"/>
      <c r="O341" s="470"/>
      <c r="P341" s="470" t="s">
        <v>958</v>
      </c>
      <c r="Q341" s="1007"/>
      <c r="R341" s="1007"/>
      <c r="S341" s="470" t="s">
        <v>19</v>
      </c>
      <c r="T341" s="1007"/>
      <c r="U341" s="470"/>
      <c r="V341" s="470">
        <v>1</v>
      </c>
      <c r="W341" s="470">
        <v>1</v>
      </c>
      <c r="X341" s="470">
        <v>1</v>
      </c>
    </row>
    <row r="342" spans="1:24" s="71" customFormat="1" ht="57" customHeight="1">
      <c r="A342" s="1000"/>
      <c r="B342" s="1001"/>
      <c r="C342" s="470"/>
      <c r="D342" s="470" t="s">
        <v>958</v>
      </c>
      <c r="E342" s="470"/>
      <c r="F342" s="470"/>
      <c r="G342" s="470"/>
      <c r="H342" s="470"/>
      <c r="I342" s="470"/>
      <c r="J342" s="546" t="s">
        <v>265</v>
      </c>
      <c r="K342" s="1008">
        <v>555000</v>
      </c>
      <c r="L342" s="470" t="s">
        <v>469</v>
      </c>
      <c r="M342" s="470"/>
      <c r="N342" s="470"/>
      <c r="O342" s="470"/>
      <c r="P342" s="470" t="s">
        <v>958</v>
      </c>
      <c r="Q342" s="1007"/>
      <c r="R342" s="1007"/>
      <c r="S342" s="470" t="s">
        <v>19</v>
      </c>
      <c r="T342" s="1007"/>
      <c r="U342" s="470"/>
      <c r="V342" s="470">
        <v>1</v>
      </c>
      <c r="W342" s="470"/>
      <c r="X342" s="470"/>
    </row>
    <row r="343" spans="1:24" s="71" customFormat="1" ht="56.25">
      <c r="A343" s="1009"/>
      <c r="B343" s="1014" t="s">
        <v>91</v>
      </c>
      <c r="C343" s="1007"/>
      <c r="D343" s="1007"/>
      <c r="E343" s="1007"/>
      <c r="F343" s="1007"/>
      <c r="G343" s="1007"/>
      <c r="H343" s="1007"/>
      <c r="I343" s="1007"/>
      <c r="J343" s="562" t="s">
        <v>501</v>
      </c>
      <c r="K343" s="563">
        <v>1300000</v>
      </c>
      <c r="L343" s="550" t="s">
        <v>476</v>
      </c>
      <c r="M343" s="548"/>
      <c r="N343" s="548"/>
      <c r="O343" s="548"/>
      <c r="P343" s="548" t="s">
        <v>91</v>
      </c>
      <c r="Q343" s="548"/>
      <c r="R343" s="548"/>
      <c r="S343" s="548" t="s">
        <v>19</v>
      </c>
      <c r="T343" s="548"/>
      <c r="U343" s="1007">
        <v>1</v>
      </c>
      <c r="V343" s="1007"/>
      <c r="W343" s="1007"/>
      <c r="X343" s="1007"/>
    </row>
    <row r="344" spans="1:24" s="57" customFormat="1" ht="56.25">
      <c r="A344" s="911"/>
      <c r="B344" s="218"/>
      <c r="C344" s="218"/>
      <c r="D344" s="218"/>
      <c r="E344" s="218"/>
      <c r="F344" s="1016" t="s">
        <v>52</v>
      </c>
      <c r="G344" s="218"/>
      <c r="H344" s="218"/>
      <c r="I344" s="218"/>
      <c r="J344" s="1018" t="s">
        <v>502</v>
      </c>
      <c r="K344" s="559">
        <v>1300000</v>
      </c>
      <c r="L344" s="218" t="s">
        <v>493</v>
      </c>
      <c r="M344" s="218"/>
      <c r="N344" s="218"/>
      <c r="O344" s="218"/>
      <c r="P344" s="1016" t="s">
        <v>52</v>
      </c>
      <c r="Q344" s="1017"/>
      <c r="R344" s="1017"/>
      <c r="S344" s="911" t="s">
        <v>19</v>
      </c>
      <c r="T344" s="1017"/>
      <c r="U344" s="911">
        <v>1</v>
      </c>
      <c r="V344" s="1017"/>
      <c r="W344" s="218"/>
      <c r="X344" s="218"/>
    </row>
    <row r="345" spans="1:24" s="57" customFormat="1" ht="37.5">
      <c r="A345" s="911"/>
      <c r="B345" s="218"/>
      <c r="C345" s="218"/>
      <c r="D345" s="218"/>
      <c r="E345" s="218"/>
      <c r="F345" s="1016" t="s">
        <v>52</v>
      </c>
      <c r="G345" s="218"/>
      <c r="H345" s="218"/>
      <c r="I345" s="218"/>
      <c r="J345" s="1018" t="s">
        <v>503</v>
      </c>
      <c r="K345" s="559">
        <v>5000000</v>
      </c>
      <c r="L345" s="218" t="s">
        <v>493</v>
      </c>
      <c r="M345" s="218"/>
      <c r="N345" s="218"/>
      <c r="O345" s="218"/>
      <c r="P345" s="1016" t="s">
        <v>52</v>
      </c>
      <c r="Q345" s="218"/>
      <c r="R345" s="218"/>
      <c r="S345" s="911" t="s">
        <v>19</v>
      </c>
      <c r="T345" s="218"/>
      <c r="U345" s="911">
        <v>1</v>
      </c>
      <c r="V345" s="218"/>
      <c r="W345" s="218"/>
      <c r="X345" s="218"/>
    </row>
    <row r="346" spans="1:24" s="57" customFormat="1" ht="37.5">
      <c r="A346" s="911"/>
      <c r="B346" s="218"/>
      <c r="C346" s="218"/>
      <c r="D346" s="218"/>
      <c r="E346" s="218"/>
      <c r="F346" s="1016" t="s">
        <v>52</v>
      </c>
      <c r="G346" s="218"/>
      <c r="H346" s="218"/>
      <c r="I346" s="218"/>
      <c r="J346" s="1018" t="s">
        <v>968</v>
      </c>
      <c r="K346" s="559">
        <v>930000</v>
      </c>
      <c r="L346" s="218" t="s">
        <v>493</v>
      </c>
      <c r="M346" s="218"/>
      <c r="N346" s="218"/>
      <c r="O346" s="218"/>
      <c r="P346" s="1016" t="s">
        <v>52</v>
      </c>
      <c r="Q346" s="218"/>
      <c r="R346" s="218"/>
      <c r="S346" s="911" t="s">
        <v>19</v>
      </c>
      <c r="T346" s="218"/>
      <c r="U346" s="911">
        <v>1</v>
      </c>
      <c r="V346" s="218"/>
      <c r="W346" s="218"/>
      <c r="X346" s="218"/>
    </row>
    <row r="347" spans="1:24" s="57" customFormat="1">
      <c r="A347" s="911"/>
      <c r="B347" s="218"/>
      <c r="C347" s="218"/>
      <c r="D347" s="218"/>
      <c r="E347" s="218"/>
      <c r="F347" s="1016" t="s">
        <v>52</v>
      </c>
      <c r="G347" s="218"/>
      <c r="H347" s="218"/>
      <c r="I347" s="218"/>
      <c r="J347" s="557" t="s">
        <v>350</v>
      </c>
      <c r="K347" s="559">
        <v>1700000</v>
      </c>
      <c r="L347" s="218" t="s">
        <v>493</v>
      </c>
      <c r="M347" s="218"/>
      <c r="N347" s="218"/>
      <c r="O347" s="218"/>
      <c r="P347" s="911" t="s">
        <v>52</v>
      </c>
      <c r="Q347" s="218"/>
      <c r="R347" s="218"/>
      <c r="S347" s="911" t="s">
        <v>19</v>
      </c>
      <c r="T347" s="218"/>
      <c r="U347" s="218"/>
      <c r="V347" s="911">
        <v>1</v>
      </c>
      <c r="W347" s="218"/>
      <c r="X347" s="218"/>
    </row>
    <row r="348" spans="1:24" s="57" customFormat="1" ht="36.75" customHeight="1">
      <c r="A348" s="911"/>
      <c r="B348" s="218"/>
      <c r="C348" s="218"/>
      <c r="D348" s="1016" t="s">
        <v>52</v>
      </c>
      <c r="E348" s="218"/>
      <c r="F348" s="218"/>
      <c r="G348" s="218"/>
      <c r="H348" s="218"/>
      <c r="I348" s="218"/>
      <c r="J348" s="557" t="s">
        <v>504</v>
      </c>
      <c r="K348" s="559">
        <v>2400000</v>
      </c>
      <c r="L348" s="218" t="s">
        <v>493</v>
      </c>
      <c r="M348" s="218"/>
      <c r="N348" s="218"/>
      <c r="O348" s="218"/>
      <c r="P348" s="911" t="s">
        <v>52</v>
      </c>
      <c r="Q348" s="218"/>
      <c r="R348" s="218"/>
      <c r="S348" s="911" t="s">
        <v>19</v>
      </c>
      <c r="T348" s="218"/>
      <c r="U348" s="218"/>
      <c r="V348" s="911">
        <v>1</v>
      </c>
      <c r="W348" s="218"/>
      <c r="X348" s="218"/>
    </row>
    <row r="349" spans="1:24" s="57" customFormat="1" ht="37.5">
      <c r="A349" s="911"/>
      <c r="B349" s="218"/>
      <c r="C349" s="218"/>
      <c r="D349" s="1016" t="s">
        <v>52</v>
      </c>
      <c r="E349" s="218"/>
      <c r="F349" s="218"/>
      <c r="G349" s="218"/>
      <c r="H349" s="218"/>
      <c r="I349" s="218"/>
      <c r="J349" s="557" t="s">
        <v>505</v>
      </c>
      <c r="K349" s="559">
        <v>1100000</v>
      </c>
      <c r="L349" s="218" t="s">
        <v>493</v>
      </c>
      <c r="M349" s="218"/>
      <c r="N349" s="218"/>
      <c r="O349" s="218"/>
      <c r="P349" s="911" t="s">
        <v>52</v>
      </c>
      <c r="Q349" s="218"/>
      <c r="R349" s="218"/>
      <c r="S349" s="911" t="s">
        <v>19</v>
      </c>
      <c r="T349" s="218"/>
      <c r="U349" s="218"/>
      <c r="V349" s="911">
        <v>1</v>
      </c>
      <c r="W349" s="218"/>
      <c r="X349" s="218"/>
    </row>
    <row r="350" spans="1:24" s="57" customFormat="1" ht="37.5" customHeight="1">
      <c r="A350" s="911"/>
      <c r="B350" s="218"/>
      <c r="C350" s="218"/>
      <c r="D350" s="1016"/>
      <c r="E350" s="218"/>
      <c r="F350" s="218"/>
      <c r="G350" s="218"/>
      <c r="H350" s="218"/>
      <c r="I350" s="218"/>
      <c r="J350" s="1018" t="s">
        <v>969</v>
      </c>
      <c r="K350" s="559">
        <v>1700000</v>
      </c>
      <c r="L350" s="218" t="s">
        <v>493</v>
      </c>
      <c r="M350" s="218"/>
      <c r="N350" s="218"/>
      <c r="O350" s="218"/>
      <c r="P350" s="911" t="s">
        <v>52</v>
      </c>
      <c r="Q350" s="218"/>
      <c r="R350" s="218"/>
      <c r="S350" s="911" t="s">
        <v>19</v>
      </c>
      <c r="T350" s="218"/>
      <c r="U350" s="218"/>
      <c r="V350" s="911">
        <v>1</v>
      </c>
      <c r="W350" s="218"/>
      <c r="X350" s="218"/>
    </row>
    <row r="351" spans="1:24" s="57" customFormat="1" ht="60" customHeight="1">
      <c r="A351" s="911"/>
      <c r="B351" s="218"/>
      <c r="C351" s="218"/>
      <c r="D351" s="218"/>
      <c r="E351" s="218"/>
      <c r="F351" s="218"/>
      <c r="G351" s="1016" t="s">
        <v>52</v>
      </c>
      <c r="H351" s="218"/>
      <c r="I351" s="218"/>
      <c r="J351" s="557" t="s">
        <v>506</v>
      </c>
      <c r="K351" s="559">
        <v>1930000</v>
      </c>
      <c r="L351" s="218" t="s">
        <v>493</v>
      </c>
      <c r="M351" s="218"/>
      <c r="N351" s="218"/>
      <c r="O351" s="218"/>
      <c r="P351" s="911" t="s">
        <v>52</v>
      </c>
      <c r="Q351" s="218"/>
      <c r="R351" s="218"/>
      <c r="S351" s="911" t="s">
        <v>19</v>
      </c>
      <c r="T351" s="218"/>
      <c r="U351" s="218"/>
      <c r="V351" s="911">
        <v>1</v>
      </c>
      <c r="W351" s="218"/>
      <c r="X351" s="218"/>
    </row>
    <row r="352" spans="1:24" s="57" customFormat="1" ht="27.75" customHeight="1">
      <c r="A352" s="911"/>
      <c r="B352" s="218"/>
      <c r="C352" s="218"/>
      <c r="D352" s="218"/>
      <c r="E352" s="218"/>
      <c r="F352" s="218"/>
      <c r="G352" s="1016"/>
      <c r="H352" s="218"/>
      <c r="I352" s="218"/>
      <c r="J352" s="557" t="s">
        <v>265</v>
      </c>
      <c r="K352" s="559">
        <v>555000</v>
      </c>
      <c r="L352" s="218" t="s">
        <v>469</v>
      </c>
      <c r="M352" s="218"/>
      <c r="N352" s="218"/>
      <c r="O352" s="218"/>
      <c r="P352" s="911" t="s">
        <v>52</v>
      </c>
      <c r="Q352" s="218"/>
      <c r="R352" s="218"/>
      <c r="S352" s="911" t="s">
        <v>19</v>
      </c>
      <c r="T352" s="218"/>
      <c r="U352" s="218"/>
      <c r="V352" s="911">
        <v>1</v>
      </c>
      <c r="W352" s="218"/>
      <c r="X352" s="218"/>
    </row>
    <row r="353" spans="1:24" s="57" customFormat="1" ht="75">
      <c r="A353" s="911"/>
      <c r="B353" s="218"/>
      <c r="C353" s="218"/>
      <c r="D353" s="218"/>
      <c r="E353" s="218"/>
      <c r="F353" s="218"/>
      <c r="G353" s="1016" t="s">
        <v>52</v>
      </c>
      <c r="H353" s="218"/>
      <c r="I353" s="218"/>
      <c r="J353" s="557" t="s">
        <v>507</v>
      </c>
      <c r="K353" s="559">
        <v>2270000</v>
      </c>
      <c r="L353" s="218" t="s">
        <v>493</v>
      </c>
      <c r="M353" s="218"/>
      <c r="N353" s="218"/>
      <c r="O353" s="218"/>
      <c r="P353" s="1016" t="s">
        <v>52</v>
      </c>
      <c r="Q353" s="218"/>
      <c r="R353" s="218"/>
      <c r="S353" s="911" t="s">
        <v>19</v>
      </c>
      <c r="T353" s="218"/>
      <c r="U353" s="218"/>
      <c r="V353" s="218"/>
      <c r="W353" s="911">
        <v>1</v>
      </c>
      <c r="X353" s="218"/>
    </row>
    <row r="354" spans="1:24" s="57" customFormat="1" ht="56.25">
      <c r="A354" s="911"/>
      <c r="B354" s="1019" t="s">
        <v>91</v>
      </c>
      <c r="C354" s="1019"/>
      <c r="D354" s="1019"/>
      <c r="E354" s="1019"/>
      <c r="F354" s="1019"/>
      <c r="G354" s="1016"/>
      <c r="H354" s="1019"/>
      <c r="I354" s="1019"/>
      <c r="J354" s="1020" t="s">
        <v>970</v>
      </c>
      <c r="K354" s="1021">
        <v>480000</v>
      </c>
      <c r="L354" s="1019" t="s">
        <v>971</v>
      </c>
      <c r="M354" s="1019"/>
      <c r="N354" s="1019"/>
      <c r="O354" s="1019"/>
      <c r="P354" s="1022"/>
      <c r="Q354" s="470" t="s">
        <v>958</v>
      </c>
      <c r="R354" s="470"/>
      <c r="S354" s="470" t="s">
        <v>19</v>
      </c>
      <c r="T354" s="470">
        <v>1</v>
      </c>
      <c r="U354" s="218"/>
      <c r="V354" s="218"/>
      <c r="W354" s="911"/>
      <c r="X354" s="218"/>
    </row>
    <row r="355" spans="1:24" s="71" customFormat="1" ht="38.25" customHeight="1">
      <c r="A355" s="1000"/>
      <c r="B355" s="1001"/>
      <c r="C355" s="470"/>
      <c r="D355" s="470"/>
      <c r="E355" s="470"/>
      <c r="F355" s="470"/>
      <c r="G355" s="470"/>
      <c r="H355" s="470">
        <v>1</v>
      </c>
      <c r="I355" s="470"/>
      <c r="J355" s="546" t="s">
        <v>512</v>
      </c>
      <c r="K355" s="556">
        <v>1294000</v>
      </c>
      <c r="L355" s="470" t="s">
        <v>513</v>
      </c>
      <c r="M355" s="470"/>
      <c r="N355" s="470"/>
      <c r="O355" s="470"/>
      <c r="P355" s="470"/>
      <c r="Q355" s="470" t="s">
        <v>958</v>
      </c>
      <c r="R355" s="470"/>
      <c r="S355" s="470" t="s">
        <v>19</v>
      </c>
      <c r="T355" s="470">
        <v>1</v>
      </c>
      <c r="U355" s="470"/>
      <c r="V355" s="470"/>
      <c r="W355" s="470"/>
      <c r="X355" s="470"/>
    </row>
    <row r="356" spans="1:24" s="71" customFormat="1" ht="23.25" customHeight="1">
      <c r="A356" s="1000"/>
      <c r="B356" s="1001"/>
      <c r="C356" s="470"/>
      <c r="D356" s="470">
        <v>1</v>
      </c>
      <c r="E356" s="470"/>
      <c r="F356" s="470"/>
      <c r="G356" s="470"/>
      <c r="H356" s="470"/>
      <c r="I356" s="470"/>
      <c r="J356" s="546" t="s">
        <v>514</v>
      </c>
      <c r="K356" s="556">
        <v>1760000</v>
      </c>
      <c r="L356" s="470" t="s">
        <v>513</v>
      </c>
      <c r="M356" s="470"/>
      <c r="N356" s="470"/>
      <c r="O356" s="470"/>
      <c r="P356" s="470"/>
      <c r="Q356" s="470" t="s">
        <v>958</v>
      </c>
      <c r="R356" s="470"/>
      <c r="S356" s="470" t="s">
        <v>19</v>
      </c>
      <c r="T356" s="470">
        <v>1</v>
      </c>
      <c r="U356" s="470"/>
      <c r="V356" s="470"/>
      <c r="W356" s="470"/>
      <c r="X356" s="470"/>
    </row>
    <row r="357" spans="1:24" s="71" customFormat="1" ht="23.25" customHeight="1">
      <c r="A357" s="1000"/>
      <c r="B357" s="1001"/>
      <c r="C357" s="470"/>
      <c r="D357" s="470"/>
      <c r="E357" s="470"/>
      <c r="F357" s="470"/>
      <c r="G357" s="470">
        <v>1</v>
      </c>
      <c r="H357" s="470"/>
      <c r="I357" s="470"/>
      <c r="J357" s="546" t="s">
        <v>515</v>
      </c>
      <c r="K357" s="556">
        <v>2000000</v>
      </c>
      <c r="L357" s="470" t="s">
        <v>513</v>
      </c>
      <c r="M357" s="470"/>
      <c r="N357" s="470"/>
      <c r="O357" s="470"/>
      <c r="P357" s="470"/>
      <c r="Q357" s="470" t="s">
        <v>958</v>
      </c>
      <c r="R357" s="470"/>
      <c r="S357" s="470" t="s">
        <v>19</v>
      </c>
      <c r="T357" s="470">
        <v>1</v>
      </c>
      <c r="U357" s="470"/>
      <c r="V357" s="470"/>
      <c r="W357" s="470"/>
      <c r="X357" s="470"/>
    </row>
    <row r="358" spans="1:24" s="71" customFormat="1" ht="23.25" customHeight="1">
      <c r="A358" s="1000"/>
      <c r="B358" s="1001"/>
      <c r="C358" s="470"/>
      <c r="D358" s="470"/>
      <c r="E358" s="470"/>
      <c r="F358" s="470"/>
      <c r="G358" s="470"/>
      <c r="H358" s="470"/>
      <c r="I358" s="470"/>
      <c r="J358" s="546" t="s">
        <v>516</v>
      </c>
      <c r="K358" s="1008">
        <v>550000</v>
      </c>
      <c r="L358" s="470" t="s">
        <v>972</v>
      </c>
      <c r="M358" s="470"/>
      <c r="N358" s="470"/>
      <c r="O358" s="470"/>
      <c r="P358" s="470"/>
      <c r="Q358" s="470" t="s">
        <v>52</v>
      </c>
      <c r="R358" s="470"/>
      <c r="S358" s="470" t="s">
        <v>19</v>
      </c>
      <c r="T358" s="470">
        <v>1</v>
      </c>
      <c r="U358" s="470"/>
      <c r="V358" s="470"/>
      <c r="W358" s="470"/>
      <c r="X358" s="470"/>
    </row>
    <row r="359" spans="1:24" s="71" customFormat="1" ht="23.25" customHeight="1">
      <c r="A359" s="1000"/>
      <c r="B359" s="1001"/>
      <c r="C359" s="470"/>
      <c r="D359" s="470"/>
      <c r="E359" s="470"/>
      <c r="F359" s="470"/>
      <c r="G359" s="470"/>
      <c r="H359" s="470"/>
      <c r="I359" s="470"/>
      <c r="J359" s="546" t="s">
        <v>519</v>
      </c>
      <c r="K359" s="1008">
        <v>245000</v>
      </c>
      <c r="L359" s="470" t="s">
        <v>972</v>
      </c>
      <c r="M359" s="470"/>
      <c r="N359" s="470"/>
      <c r="O359" s="470"/>
      <c r="P359" s="470"/>
      <c r="Q359" s="470" t="s">
        <v>52</v>
      </c>
      <c r="R359" s="470"/>
      <c r="S359" s="470" t="s">
        <v>19</v>
      </c>
      <c r="T359" s="470">
        <v>1</v>
      </c>
      <c r="U359" s="470"/>
      <c r="V359" s="470"/>
      <c r="W359" s="470"/>
      <c r="X359" s="470"/>
    </row>
    <row r="360" spans="1:24" s="71" customFormat="1" ht="23.25" customHeight="1">
      <c r="A360" s="1000"/>
      <c r="B360" s="1001"/>
      <c r="C360" s="470"/>
      <c r="D360" s="470"/>
      <c r="E360" s="470"/>
      <c r="F360" s="470"/>
      <c r="G360" s="470"/>
      <c r="H360" s="470"/>
      <c r="I360" s="470"/>
      <c r="J360" s="546" t="s">
        <v>520</v>
      </c>
      <c r="K360" s="1008">
        <v>200000</v>
      </c>
      <c r="L360" s="470" t="s">
        <v>972</v>
      </c>
      <c r="M360" s="470"/>
      <c r="N360" s="470"/>
      <c r="O360" s="470"/>
      <c r="P360" s="470"/>
      <c r="Q360" s="470" t="s">
        <v>52</v>
      </c>
      <c r="R360" s="470"/>
      <c r="S360" s="470" t="s">
        <v>19</v>
      </c>
      <c r="T360" s="470">
        <v>1</v>
      </c>
      <c r="U360" s="470"/>
      <c r="V360" s="470"/>
      <c r="W360" s="470"/>
      <c r="X360" s="470"/>
    </row>
    <row r="361" spans="1:24" s="999" customFormat="1" ht="39.75" customHeight="1">
      <c r="A361" s="995"/>
      <c r="B361" s="996"/>
      <c r="C361" s="956"/>
      <c r="D361" s="956"/>
      <c r="E361" s="956"/>
      <c r="F361" s="956"/>
      <c r="G361" s="956" t="s">
        <v>91</v>
      </c>
      <c r="H361" s="956"/>
      <c r="I361" s="956"/>
      <c r="J361" s="188" t="s">
        <v>521</v>
      </c>
      <c r="K361" s="1023">
        <v>1930000</v>
      </c>
      <c r="L361" s="956" t="s">
        <v>172</v>
      </c>
      <c r="M361" s="956"/>
      <c r="N361" s="956"/>
      <c r="O361" s="956"/>
      <c r="P361" s="956"/>
      <c r="Q361" s="956" t="s">
        <v>91</v>
      </c>
      <c r="R361" s="956"/>
      <c r="S361" s="956" t="s">
        <v>19</v>
      </c>
      <c r="T361" s="956">
        <v>1</v>
      </c>
      <c r="U361" s="956"/>
      <c r="V361" s="956"/>
      <c r="W361" s="956"/>
      <c r="X361" s="956"/>
    </row>
    <row r="362" spans="1:24" s="999" customFormat="1" ht="43.5" customHeight="1">
      <c r="A362" s="995"/>
      <c r="B362" s="996"/>
      <c r="C362" s="956"/>
      <c r="D362" s="956"/>
      <c r="E362" s="956"/>
      <c r="F362" s="956"/>
      <c r="G362" s="956" t="s">
        <v>91</v>
      </c>
      <c r="H362" s="956"/>
      <c r="I362" s="956"/>
      <c r="J362" s="188" t="s">
        <v>522</v>
      </c>
      <c r="K362" s="1023">
        <v>1340000</v>
      </c>
      <c r="L362" s="956" t="s">
        <v>172</v>
      </c>
      <c r="M362" s="956"/>
      <c r="N362" s="956"/>
      <c r="O362" s="956"/>
      <c r="P362" s="956"/>
      <c r="Q362" s="956" t="s">
        <v>91</v>
      </c>
      <c r="R362" s="956"/>
      <c r="S362" s="956" t="s">
        <v>19</v>
      </c>
      <c r="T362" s="956">
        <v>1</v>
      </c>
      <c r="U362" s="956"/>
      <c r="V362" s="956"/>
      <c r="W362" s="956"/>
      <c r="X362" s="956"/>
    </row>
    <row r="363" spans="1:24" s="999" customFormat="1" ht="34.5" customHeight="1">
      <c r="A363" s="995"/>
      <c r="B363" s="996"/>
      <c r="C363" s="956"/>
      <c r="D363" s="956" t="s">
        <v>91</v>
      </c>
      <c r="E363" s="956"/>
      <c r="F363" s="956"/>
      <c r="G363" s="956"/>
      <c r="H363" s="956"/>
      <c r="I363" s="956"/>
      <c r="J363" s="997" t="s">
        <v>174</v>
      </c>
      <c r="K363" s="998">
        <v>300000</v>
      </c>
      <c r="L363" s="956" t="s">
        <v>172</v>
      </c>
      <c r="M363" s="956"/>
      <c r="N363" s="956"/>
      <c r="O363" s="956"/>
      <c r="P363" s="956"/>
      <c r="Q363" s="956" t="s">
        <v>91</v>
      </c>
      <c r="R363" s="956"/>
      <c r="S363" s="961" t="s">
        <v>19</v>
      </c>
      <c r="T363" s="956">
        <v>1</v>
      </c>
      <c r="U363" s="956"/>
      <c r="V363" s="956"/>
      <c r="W363" s="956"/>
      <c r="X363" s="956"/>
    </row>
    <row r="364" spans="1:24" s="999" customFormat="1" ht="34.5" customHeight="1">
      <c r="A364" s="995"/>
      <c r="B364" s="996"/>
      <c r="C364" s="956"/>
      <c r="D364" s="956" t="s">
        <v>91</v>
      </c>
      <c r="E364" s="956"/>
      <c r="F364" s="956"/>
      <c r="G364" s="956"/>
      <c r="H364" s="956"/>
      <c r="I364" s="956"/>
      <c r="J364" s="997" t="s">
        <v>175</v>
      </c>
      <c r="K364" s="998">
        <v>160000</v>
      </c>
      <c r="L364" s="956" t="s">
        <v>172</v>
      </c>
      <c r="M364" s="956"/>
      <c r="N364" s="956"/>
      <c r="O364" s="956"/>
      <c r="P364" s="956"/>
      <c r="Q364" s="956" t="s">
        <v>91</v>
      </c>
      <c r="R364" s="956"/>
      <c r="S364" s="961" t="s">
        <v>19</v>
      </c>
      <c r="T364" s="956">
        <v>1</v>
      </c>
      <c r="U364" s="956"/>
      <c r="V364" s="956"/>
      <c r="W364" s="956"/>
      <c r="X364" s="956"/>
    </row>
    <row r="365" spans="1:24" s="999" customFormat="1" ht="34.5" customHeight="1">
      <c r="A365" s="995"/>
      <c r="B365" s="996"/>
      <c r="C365" s="956"/>
      <c r="D365" s="956" t="s">
        <v>91</v>
      </c>
      <c r="E365" s="956"/>
      <c r="F365" s="956"/>
      <c r="G365" s="956"/>
      <c r="H365" s="956"/>
      <c r="I365" s="956"/>
      <c r="J365" s="997" t="s">
        <v>176</v>
      </c>
      <c r="K365" s="998">
        <v>280000</v>
      </c>
      <c r="L365" s="956" t="s">
        <v>172</v>
      </c>
      <c r="M365" s="956"/>
      <c r="N365" s="956"/>
      <c r="O365" s="956"/>
      <c r="P365" s="956"/>
      <c r="Q365" s="956" t="s">
        <v>91</v>
      </c>
      <c r="R365" s="956"/>
      <c r="S365" s="961" t="s">
        <v>19</v>
      </c>
      <c r="T365" s="956">
        <v>1</v>
      </c>
      <c r="U365" s="956"/>
      <c r="V365" s="956"/>
      <c r="W365" s="956"/>
      <c r="X365" s="956"/>
    </row>
    <row r="366" spans="1:24" s="999" customFormat="1" ht="34.5" customHeight="1">
      <c r="A366" s="995"/>
      <c r="B366" s="996"/>
      <c r="C366" s="956"/>
      <c r="D366" s="956" t="s">
        <v>91</v>
      </c>
      <c r="E366" s="956"/>
      <c r="F366" s="956"/>
      <c r="G366" s="956"/>
      <c r="H366" s="956"/>
      <c r="I366" s="956"/>
      <c r="J366" s="997" t="s">
        <v>177</v>
      </c>
      <c r="K366" s="998">
        <v>500000</v>
      </c>
      <c r="L366" s="956" t="s">
        <v>172</v>
      </c>
      <c r="M366" s="956"/>
      <c r="N366" s="956"/>
      <c r="O366" s="956"/>
      <c r="P366" s="956"/>
      <c r="Q366" s="956" t="s">
        <v>91</v>
      </c>
      <c r="R366" s="956"/>
      <c r="S366" s="961" t="s">
        <v>19</v>
      </c>
      <c r="T366" s="956">
        <v>1</v>
      </c>
      <c r="U366" s="956"/>
      <c r="V366" s="956"/>
      <c r="W366" s="956"/>
      <c r="X366" s="956"/>
    </row>
    <row r="367" spans="1:24" s="71" customFormat="1" ht="33.75" customHeight="1">
      <c r="A367" s="1000"/>
      <c r="B367" s="1001"/>
      <c r="C367" s="470"/>
      <c r="D367" s="470"/>
      <c r="E367" s="470" t="s">
        <v>52</v>
      </c>
      <c r="F367" s="470"/>
      <c r="G367" s="470"/>
      <c r="H367" s="470"/>
      <c r="I367" s="470"/>
      <c r="J367" s="546" t="s">
        <v>973</v>
      </c>
      <c r="K367" s="1008">
        <f>60000*5</f>
        <v>300000</v>
      </c>
      <c r="L367" s="470" t="s">
        <v>523</v>
      </c>
      <c r="M367" s="470"/>
      <c r="N367" s="470"/>
      <c r="O367" s="470"/>
      <c r="P367" s="470"/>
      <c r="Q367" s="470" t="s">
        <v>52</v>
      </c>
      <c r="R367" s="470"/>
      <c r="S367" s="470" t="s">
        <v>19</v>
      </c>
      <c r="T367" s="470">
        <v>1</v>
      </c>
      <c r="U367" s="470"/>
      <c r="V367" s="470"/>
      <c r="W367" s="470"/>
      <c r="X367" s="470"/>
    </row>
    <row r="368" spans="1:24" s="71" customFormat="1" ht="23.25" customHeight="1">
      <c r="A368" s="1000"/>
      <c r="B368" s="1001"/>
      <c r="C368" s="470"/>
      <c r="D368" s="470"/>
      <c r="E368" s="470"/>
      <c r="F368" s="470"/>
      <c r="G368" s="470" t="s">
        <v>52</v>
      </c>
      <c r="H368" s="470"/>
      <c r="I368" s="470"/>
      <c r="J368" s="546" t="s">
        <v>524</v>
      </c>
      <c r="K368" s="1008">
        <v>54000</v>
      </c>
      <c r="L368" s="470" t="s">
        <v>523</v>
      </c>
      <c r="M368" s="470"/>
      <c r="N368" s="470"/>
      <c r="O368" s="470"/>
      <c r="P368" s="470"/>
      <c r="Q368" s="470" t="s">
        <v>52</v>
      </c>
      <c r="R368" s="470"/>
      <c r="S368" s="470" t="s">
        <v>19</v>
      </c>
      <c r="T368" s="470">
        <v>1</v>
      </c>
      <c r="U368" s="470"/>
      <c r="V368" s="470"/>
      <c r="W368" s="470"/>
      <c r="X368" s="470"/>
    </row>
    <row r="369" spans="1:24" s="71" customFormat="1" ht="23.25" customHeight="1">
      <c r="A369" s="1000"/>
      <c r="B369" s="1001"/>
      <c r="C369" s="470"/>
      <c r="D369" s="470"/>
      <c r="E369" s="470"/>
      <c r="F369" s="470" t="s">
        <v>52</v>
      </c>
      <c r="G369" s="470"/>
      <c r="H369" s="470"/>
      <c r="I369" s="470"/>
      <c r="J369" s="546" t="s">
        <v>356</v>
      </c>
      <c r="K369" s="1008">
        <v>50000</v>
      </c>
      <c r="L369" s="470" t="s">
        <v>523</v>
      </c>
      <c r="M369" s="470"/>
      <c r="N369" s="470"/>
      <c r="O369" s="470"/>
      <c r="P369" s="470"/>
      <c r="Q369" s="470" t="s">
        <v>52</v>
      </c>
      <c r="R369" s="470"/>
      <c r="S369" s="470" t="s">
        <v>19</v>
      </c>
      <c r="T369" s="470">
        <v>1</v>
      </c>
      <c r="U369" s="470"/>
      <c r="V369" s="470"/>
      <c r="W369" s="470"/>
      <c r="X369" s="470"/>
    </row>
    <row r="370" spans="1:24" s="71" customFormat="1" ht="23.25" customHeight="1">
      <c r="A370" s="1000"/>
      <c r="B370" s="1001"/>
      <c r="C370" s="470"/>
      <c r="D370" s="470"/>
      <c r="E370" s="470"/>
      <c r="F370" s="470"/>
      <c r="G370" s="470"/>
      <c r="H370" s="470"/>
      <c r="I370" s="470" t="s">
        <v>52</v>
      </c>
      <c r="J370" s="546" t="s">
        <v>358</v>
      </c>
      <c r="K370" s="1008">
        <v>20000</v>
      </c>
      <c r="L370" s="470" t="s">
        <v>523</v>
      </c>
      <c r="M370" s="470"/>
      <c r="N370" s="470"/>
      <c r="O370" s="470"/>
      <c r="P370" s="470"/>
      <c r="Q370" s="470" t="s">
        <v>52</v>
      </c>
      <c r="R370" s="470"/>
      <c r="S370" s="470" t="s">
        <v>19</v>
      </c>
      <c r="T370" s="470">
        <v>1</v>
      </c>
      <c r="U370" s="470"/>
      <c r="V370" s="470"/>
      <c r="W370" s="470"/>
      <c r="X370" s="470"/>
    </row>
    <row r="371" spans="1:24" s="71" customFormat="1" ht="23.25" customHeight="1">
      <c r="A371" s="1000"/>
      <c r="B371" s="1001"/>
      <c r="C371" s="470"/>
      <c r="D371" s="470"/>
      <c r="E371" s="470"/>
      <c r="F371" s="470"/>
      <c r="G371" s="470"/>
      <c r="H371" s="470"/>
      <c r="I371" s="470" t="s">
        <v>52</v>
      </c>
      <c r="J371" s="546" t="s">
        <v>525</v>
      </c>
      <c r="K371" s="1008">
        <v>15000</v>
      </c>
      <c r="L371" s="470" t="s">
        <v>523</v>
      </c>
      <c r="M371" s="470"/>
      <c r="N371" s="470"/>
      <c r="O371" s="470"/>
      <c r="P371" s="470"/>
      <c r="Q371" s="470" t="s">
        <v>52</v>
      </c>
      <c r="R371" s="470"/>
      <c r="S371" s="470" t="s">
        <v>19</v>
      </c>
      <c r="T371" s="470">
        <v>1</v>
      </c>
      <c r="U371" s="470"/>
      <c r="V371" s="470"/>
      <c r="W371" s="470"/>
      <c r="X371" s="470"/>
    </row>
    <row r="372" spans="1:24" s="71" customFormat="1" ht="23.25" customHeight="1">
      <c r="A372" s="1000"/>
      <c r="B372" s="1001"/>
      <c r="C372" s="470"/>
      <c r="D372" s="470"/>
      <c r="E372" s="470"/>
      <c r="F372" s="470"/>
      <c r="G372" s="470"/>
      <c r="H372" s="470"/>
      <c r="I372" s="470" t="s">
        <v>52</v>
      </c>
      <c r="J372" s="546" t="s">
        <v>526</v>
      </c>
      <c r="K372" s="1008">
        <v>13000</v>
      </c>
      <c r="L372" s="470" t="s">
        <v>523</v>
      </c>
      <c r="M372" s="470"/>
      <c r="N372" s="470"/>
      <c r="O372" s="470"/>
      <c r="P372" s="470"/>
      <c r="Q372" s="470" t="s">
        <v>52</v>
      </c>
      <c r="R372" s="470"/>
      <c r="S372" s="470" t="s">
        <v>19</v>
      </c>
      <c r="T372" s="470">
        <v>1</v>
      </c>
      <c r="U372" s="470"/>
      <c r="V372" s="470"/>
      <c r="W372" s="470"/>
      <c r="X372" s="470"/>
    </row>
    <row r="373" spans="1:24" s="71" customFormat="1" ht="23.25" customHeight="1">
      <c r="A373" s="1000"/>
      <c r="B373" s="1024"/>
      <c r="C373" s="631"/>
      <c r="D373" s="631"/>
      <c r="E373" s="631"/>
      <c r="F373" s="470" t="s">
        <v>52</v>
      </c>
      <c r="G373" s="575"/>
      <c r="H373" s="575"/>
      <c r="I373" s="575"/>
      <c r="J373" s="546" t="s">
        <v>527</v>
      </c>
      <c r="K373" s="1008">
        <v>1200000</v>
      </c>
      <c r="L373" s="470" t="s">
        <v>529</v>
      </c>
      <c r="M373" s="631"/>
      <c r="N373" s="631"/>
      <c r="O373" s="631"/>
      <c r="P373" s="631"/>
      <c r="Q373" s="470" t="s">
        <v>52</v>
      </c>
      <c r="R373" s="631"/>
      <c r="S373" s="470" t="s">
        <v>19</v>
      </c>
      <c r="T373" s="956">
        <v>1</v>
      </c>
      <c r="U373" s="470"/>
      <c r="V373" s="470"/>
      <c r="W373" s="470"/>
      <c r="X373" s="470"/>
    </row>
    <row r="374" spans="1:24" s="71" customFormat="1" ht="37.5" customHeight="1">
      <c r="A374" s="1000"/>
      <c r="B374" s="1024"/>
      <c r="C374" s="631"/>
      <c r="D374" s="631"/>
      <c r="E374" s="631"/>
      <c r="F374" s="470" t="s">
        <v>52</v>
      </c>
      <c r="G374" s="884"/>
      <c r="H374" s="884"/>
      <c r="I374" s="884"/>
      <c r="J374" s="546" t="s">
        <v>974</v>
      </c>
      <c r="K374" s="1008">
        <f>930000*2</f>
        <v>1860000</v>
      </c>
      <c r="L374" s="470" t="s">
        <v>529</v>
      </c>
      <c r="M374" s="631"/>
      <c r="N374" s="631"/>
      <c r="O374" s="631"/>
      <c r="P374" s="631"/>
      <c r="Q374" s="470" t="s">
        <v>52</v>
      </c>
      <c r="R374" s="631"/>
      <c r="S374" s="470" t="s">
        <v>19</v>
      </c>
      <c r="T374" s="956">
        <v>1</v>
      </c>
      <c r="U374" s="470"/>
      <c r="V374" s="470"/>
      <c r="W374" s="470"/>
      <c r="X374" s="956">
        <v>1</v>
      </c>
    </row>
    <row r="375" spans="1:24" s="71" customFormat="1" ht="37.5" customHeight="1">
      <c r="A375" s="1000"/>
      <c r="B375" s="470" t="s">
        <v>52</v>
      </c>
      <c r="C375" s="631"/>
      <c r="D375" s="631"/>
      <c r="E375" s="631"/>
      <c r="F375" s="631"/>
      <c r="G375" s="575"/>
      <c r="H375" s="575"/>
      <c r="I375" s="575"/>
      <c r="J375" s="546" t="s">
        <v>975</v>
      </c>
      <c r="K375" s="1008">
        <f>480000*2</f>
        <v>960000</v>
      </c>
      <c r="L375" s="470" t="s">
        <v>529</v>
      </c>
      <c r="M375" s="631"/>
      <c r="N375" s="631"/>
      <c r="O375" s="631"/>
      <c r="P375" s="631"/>
      <c r="Q375" s="470" t="s">
        <v>52</v>
      </c>
      <c r="R375" s="631"/>
      <c r="S375" s="470" t="s">
        <v>19</v>
      </c>
      <c r="T375" s="956">
        <v>1</v>
      </c>
      <c r="U375" s="470"/>
      <c r="V375" s="956">
        <v>1</v>
      </c>
      <c r="W375" s="470"/>
      <c r="X375" s="470"/>
    </row>
    <row r="376" spans="1:24" s="71" customFormat="1" ht="52.5" customHeight="1">
      <c r="A376" s="1000"/>
      <c r="B376" s="1024"/>
      <c r="C376" s="470" t="s">
        <v>52</v>
      </c>
      <c r="D376" s="631"/>
      <c r="E376" s="631"/>
      <c r="F376" s="631"/>
      <c r="G376" s="575"/>
      <c r="H376" s="575"/>
      <c r="I376" s="575"/>
      <c r="J376" s="546" t="s">
        <v>976</v>
      </c>
      <c r="K376" s="1008">
        <f>2000000*2</f>
        <v>4000000</v>
      </c>
      <c r="L376" s="470" t="s">
        <v>529</v>
      </c>
      <c r="M376" s="631"/>
      <c r="N376" s="631"/>
      <c r="O376" s="631"/>
      <c r="P376" s="631"/>
      <c r="Q376" s="470" t="s">
        <v>52</v>
      </c>
      <c r="R376" s="631"/>
      <c r="S376" s="470" t="s">
        <v>19</v>
      </c>
      <c r="T376" s="631">
        <v>1</v>
      </c>
      <c r="U376" s="470"/>
      <c r="V376" s="470"/>
      <c r="W376" s="470"/>
      <c r="X376" s="470">
        <v>1</v>
      </c>
    </row>
    <row r="377" spans="1:24" s="71" customFormat="1" ht="37.5" customHeight="1">
      <c r="A377" s="1000"/>
      <c r="B377" s="1024"/>
      <c r="C377" s="631"/>
      <c r="D377" s="631"/>
      <c r="E377" s="631"/>
      <c r="F377" s="470" t="s">
        <v>52</v>
      </c>
      <c r="G377" s="575"/>
      <c r="H377" s="575"/>
      <c r="I377" s="575"/>
      <c r="J377" s="546" t="s">
        <v>977</v>
      </c>
      <c r="K377" s="1008">
        <f>280000*2</f>
        <v>560000</v>
      </c>
      <c r="L377" s="470" t="s">
        <v>529</v>
      </c>
      <c r="M377" s="631"/>
      <c r="N377" s="631"/>
      <c r="O377" s="631"/>
      <c r="P377" s="631"/>
      <c r="Q377" s="470" t="s">
        <v>52</v>
      </c>
      <c r="R377" s="631"/>
      <c r="S377" s="470" t="s">
        <v>19</v>
      </c>
      <c r="T377" s="956">
        <v>1</v>
      </c>
      <c r="U377" s="956">
        <v>1</v>
      </c>
      <c r="V377" s="470"/>
      <c r="W377" s="470"/>
      <c r="X377" s="470"/>
    </row>
    <row r="378" spans="1:24" s="71" customFormat="1" ht="23.25" customHeight="1">
      <c r="A378" s="1000"/>
      <c r="B378" s="470" t="s">
        <v>52</v>
      </c>
      <c r="C378" s="631"/>
      <c r="D378" s="631"/>
      <c r="E378" s="631"/>
      <c r="F378" s="631"/>
      <c r="G378" s="575"/>
      <c r="H378" s="575"/>
      <c r="I378" s="575"/>
      <c r="J378" s="546" t="s">
        <v>534</v>
      </c>
      <c r="K378" s="1008">
        <v>260000</v>
      </c>
      <c r="L378" s="470" t="s">
        <v>529</v>
      </c>
      <c r="M378" s="631"/>
      <c r="N378" s="631"/>
      <c r="O378" s="631"/>
      <c r="P378" s="631"/>
      <c r="Q378" s="470" t="s">
        <v>52</v>
      </c>
      <c r="R378" s="631"/>
      <c r="S378" s="470" t="s">
        <v>19</v>
      </c>
      <c r="T378" s="956">
        <v>1</v>
      </c>
      <c r="U378" s="470"/>
      <c r="V378" s="470"/>
      <c r="W378" s="470"/>
      <c r="X378" s="470"/>
    </row>
    <row r="379" spans="1:24" s="71" customFormat="1" ht="23.25" customHeight="1">
      <c r="A379" s="1000"/>
      <c r="B379" s="1024"/>
      <c r="C379" s="631"/>
      <c r="D379" s="470" t="s">
        <v>52</v>
      </c>
      <c r="E379" s="631"/>
      <c r="F379" s="631"/>
      <c r="G379" s="575"/>
      <c r="H379" s="575"/>
      <c r="I379" s="575"/>
      <c r="J379" s="546" t="s">
        <v>78</v>
      </c>
      <c r="K379" s="1008">
        <v>550000</v>
      </c>
      <c r="L379" s="470" t="s">
        <v>529</v>
      </c>
      <c r="M379" s="631"/>
      <c r="N379" s="631"/>
      <c r="O379" s="631"/>
      <c r="P379" s="631"/>
      <c r="Q379" s="470" t="s">
        <v>52</v>
      </c>
      <c r="R379" s="631"/>
      <c r="S379" s="470" t="s">
        <v>19</v>
      </c>
      <c r="T379" s="956">
        <v>1</v>
      </c>
      <c r="U379" s="470"/>
      <c r="V379" s="470"/>
      <c r="W379" s="470"/>
      <c r="X379" s="470"/>
    </row>
    <row r="380" spans="1:24" s="71" customFormat="1" ht="23.25" customHeight="1">
      <c r="A380" s="1000"/>
      <c r="B380" s="1024"/>
      <c r="C380" s="631"/>
      <c r="D380" s="470" t="s">
        <v>52</v>
      </c>
      <c r="E380" s="631"/>
      <c r="F380" s="631"/>
      <c r="G380" s="575"/>
      <c r="H380" s="575"/>
      <c r="I380" s="575"/>
      <c r="J380" s="546" t="s">
        <v>978</v>
      </c>
      <c r="K380" s="1008">
        <f>460000*2</f>
        <v>920000</v>
      </c>
      <c r="L380" s="470" t="s">
        <v>529</v>
      </c>
      <c r="M380" s="631"/>
      <c r="N380" s="631"/>
      <c r="O380" s="631"/>
      <c r="P380" s="631"/>
      <c r="Q380" s="470" t="s">
        <v>52</v>
      </c>
      <c r="R380" s="631"/>
      <c r="S380" s="470" t="s">
        <v>19</v>
      </c>
      <c r="T380" s="956">
        <v>1</v>
      </c>
      <c r="U380" s="470"/>
      <c r="V380" s="956">
        <v>1</v>
      </c>
      <c r="W380" s="470"/>
      <c r="X380" s="470"/>
    </row>
    <row r="381" spans="1:24" s="71" customFormat="1" ht="23.25" customHeight="1">
      <c r="A381" s="1000"/>
      <c r="B381" s="1024"/>
      <c r="C381" s="631"/>
      <c r="D381" s="631"/>
      <c r="E381" s="631"/>
      <c r="F381" s="631"/>
      <c r="G381" s="470" t="s">
        <v>52</v>
      </c>
      <c r="H381" s="575"/>
      <c r="I381" s="575"/>
      <c r="J381" s="546" t="s">
        <v>535</v>
      </c>
      <c r="K381" s="1008">
        <v>500000</v>
      </c>
      <c r="L381" s="470" t="s">
        <v>529</v>
      </c>
      <c r="M381" s="631"/>
      <c r="N381" s="631"/>
      <c r="O381" s="631"/>
      <c r="P381" s="631"/>
      <c r="Q381" s="470" t="s">
        <v>52</v>
      </c>
      <c r="R381" s="631"/>
      <c r="S381" s="470" t="s">
        <v>19</v>
      </c>
      <c r="T381" s="956">
        <v>1</v>
      </c>
      <c r="U381" s="470"/>
      <c r="V381" s="470"/>
      <c r="W381" s="470"/>
      <c r="X381" s="470"/>
    </row>
    <row r="382" spans="1:24" s="71" customFormat="1" ht="61.5" customHeight="1">
      <c r="A382" s="1000"/>
      <c r="B382" s="1024"/>
      <c r="C382" s="631"/>
      <c r="D382" s="631"/>
      <c r="E382" s="631"/>
      <c r="F382" s="631"/>
      <c r="G382" s="470" t="s">
        <v>52</v>
      </c>
      <c r="H382" s="575"/>
      <c r="I382" s="575"/>
      <c r="J382" s="546" t="s">
        <v>979</v>
      </c>
      <c r="K382" s="1008">
        <f>840000*2</f>
        <v>1680000</v>
      </c>
      <c r="L382" s="470" t="s">
        <v>529</v>
      </c>
      <c r="M382" s="631"/>
      <c r="N382" s="631"/>
      <c r="O382" s="631"/>
      <c r="P382" s="631"/>
      <c r="Q382" s="470" t="s">
        <v>52</v>
      </c>
      <c r="R382" s="631"/>
      <c r="S382" s="470" t="s">
        <v>19</v>
      </c>
      <c r="T382" s="956">
        <v>1</v>
      </c>
      <c r="U382" s="470"/>
      <c r="V382" s="470"/>
      <c r="W382" s="956">
        <v>1</v>
      </c>
      <c r="X382" s="470"/>
    </row>
    <row r="383" spans="1:24" s="71" customFormat="1" ht="23.25" customHeight="1">
      <c r="A383" s="1000"/>
      <c r="B383" s="1024"/>
      <c r="C383" s="631"/>
      <c r="D383" s="631"/>
      <c r="E383" s="631"/>
      <c r="F383" s="631"/>
      <c r="G383" s="470" t="s">
        <v>52</v>
      </c>
      <c r="H383" s="575"/>
      <c r="I383" s="575"/>
      <c r="J383" s="546" t="s">
        <v>537</v>
      </c>
      <c r="K383" s="1008">
        <v>550000</v>
      </c>
      <c r="L383" s="470" t="s">
        <v>529</v>
      </c>
      <c r="M383" s="631"/>
      <c r="N383" s="631"/>
      <c r="O383" s="631"/>
      <c r="P383" s="631"/>
      <c r="Q383" s="470" t="s">
        <v>52</v>
      </c>
      <c r="R383" s="631"/>
      <c r="S383" s="470" t="s">
        <v>19</v>
      </c>
      <c r="T383" s="956">
        <v>1</v>
      </c>
      <c r="U383" s="470"/>
      <c r="V383" s="470"/>
      <c r="W383" s="470"/>
      <c r="X383" s="470"/>
    </row>
    <row r="384" spans="1:24" s="71" customFormat="1" ht="38.25" customHeight="1">
      <c r="A384" s="1000"/>
      <c r="B384" s="1024"/>
      <c r="C384" s="631"/>
      <c r="D384" s="631"/>
      <c r="E384" s="631"/>
      <c r="F384" s="631"/>
      <c r="G384" s="575"/>
      <c r="H384" s="575"/>
      <c r="I384" s="575"/>
      <c r="J384" s="546" t="s">
        <v>538</v>
      </c>
      <c r="K384" s="1008">
        <v>1300000</v>
      </c>
      <c r="L384" s="470" t="s">
        <v>529</v>
      </c>
      <c r="M384" s="631"/>
      <c r="N384" s="631"/>
      <c r="O384" s="631"/>
      <c r="P384" s="631"/>
      <c r="Q384" s="470" t="s">
        <v>52</v>
      </c>
      <c r="R384" s="631"/>
      <c r="S384" s="470" t="s">
        <v>19</v>
      </c>
      <c r="T384" s="631">
        <v>1</v>
      </c>
      <c r="U384" s="470"/>
      <c r="V384" s="470"/>
      <c r="W384" s="470"/>
      <c r="X384" s="470"/>
    </row>
    <row r="385" spans="1:24" s="71" customFormat="1" ht="34.5" customHeight="1">
      <c r="A385" s="1000"/>
      <c r="B385" s="1024"/>
      <c r="C385" s="631"/>
      <c r="D385" s="631"/>
      <c r="E385" s="631"/>
      <c r="F385" s="631"/>
      <c r="G385" s="575"/>
      <c r="H385" s="575"/>
      <c r="I385" s="575"/>
      <c r="J385" s="546" t="s">
        <v>539</v>
      </c>
      <c r="K385" s="1008">
        <v>821000</v>
      </c>
      <c r="L385" s="470" t="s">
        <v>529</v>
      </c>
      <c r="M385" s="631"/>
      <c r="N385" s="631"/>
      <c r="O385" s="631"/>
      <c r="P385" s="631"/>
      <c r="Q385" s="470" t="s">
        <v>52</v>
      </c>
      <c r="R385" s="631"/>
      <c r="S385" s="470" t="s">
        <v>19</v>
      </c>
      <c r="T385" s="631">
        <v>1</v>
      </c>
      <c r="U385" s="470"/>
      <c r="V385" s="470"/>
      <c r="W385" s="470"/>
      <c r="X385" s="470"/>
    </row>
    <row r="386" spans="1:24" s="999" customFormat="1" ht="34.5" customHeight="1">
      <c r="A386" s="995"/>
      <c r="B386" s="996" t="s">
        <v>91</v>
      </c>
      <c r="C386" s="956"/>
      <c r="D386" s="956"/>
      <c r="E386" s="956"/>
      <c r="F386" s="956"/>
      <c r="G386" s="956"/>
      <c r="H386" s="956"/>
      <c r="I386" s="956"/>
      <c r="J386" s="997" t="s">
        <v>980</v>
      </c>
      <c r="K386" s="998">
        <f>480000*2</f>
        <v>960000</v>
      </c>
      <c r="L386" s="956" t="s">
        <v>172</v>
      </c>
      <c r="M386" s="956"/>
      <c r="N386" s="956"/>
      <c r="O386" s="956"/>
      <c r="P386" s="956"/>
      <c r="Q386" s="956" t="s">
        <v>91</v>
      </c>
      <c r="R386" s="956"/>
      <c r="S386" s="961" t="s">
        <v>19</v>
      </c>
      <c r="T386" s="956"/>
      <c r="U386" s="956">
        <v>1</v>
      </c>
      <c r="V386" s="956"/>
      <c r="W386" s="956">
        <v>1</v>
      </c>
      <c r="X386" s="956"/>
    </row>
    <row r="387" spans="1:24" s="71" customFormat="1" ht="23.25" customHeight="1">
      <c r="A387" s="1000"/>
      <c r="B387" s="1025"/>
      <c r="C387" s="54"/>
      <c r="D387" s="54"/>
      <c r="E387" s="54"/>
      <c r="F387" s="54"/>
      <c r="G387" s="470" t="s">
        <v>958</v>
      </c>
      <c r="H387" s="54"/>
      <c r="I387" s="54"/>
      <c r="J387" s="1026" t="s">
        <v>508</v>
      </c>
      <c r="K387" s="1027">
        <v>2000000</v>
      </c>
      <c r="L387" s="54" t="s">
        <v>509</v>
      </c>
      <c r="M387" s="1028"/>
      <c r="N387" s="54"/>
      <c r="O387" s="54"/>
      <c r="P387" s="54"/>
      <c r="Q387" s="470" t="s">
        <v>958</v>
      </c>
      <c r="R387" s="54"/>
      <c r="S387" s="54" t="s">
        <v>19</v>
      </c>
      <c r="T387" s="1007"/>
      <c r="U387" s="911">
        <v>1</v>
      </c>
      <c r="V387" s="1007"/>
      <c r="W387" s="1007"/>
      <c r="X387" s="1007"/>
    </row>
    <row r="388" spans="1:24" s="71" customFormat="1" ht="23.25" customHeight="1">
      <c r="A388" s="1000"/>
      <c r="B388" s="1001"/>
      <c r="C388" s="470"/>
      <c r="D388" s="470"/>
      <c r="E388" s="470"/>
      <c r="F388" s="470"/>
      <c r="G388" s="470"/>
      <c r="H388" s="470"/>
      <c r="I388" s="470" t="s">
        <v>52</v>
      </c>
      <c r="J388" s="546" t="s">
        <v>540</v>
      </c>
      <c r="K388" s="1008">
        <v>20000</v>
      </c>
      <c r="L388" s="470" t="s">
        <v>523</v>
      </c>
      <c r="M388" s="470"/>
      <c r="N388" s="470"/>
      <c r="O388" s="470"/>
      <c r="P388" s="470"/>
      <c r="Q388" s="470" t="s">
        <v>52</v>
      </c>
      <c r="R388" s="470"/>
      <c r="S388" s="470" t="s">
        <v>19</v>
      </c>
      <c r="T388" s="470"/>
      <c r="U388" s="470">
        <v>1</v>
      </c>
      <c r="V388" s="470"/>
      <c r="W388" s="470"/>
      <c r="X388" s="470"/>
    </row>
    <row r="389" spans="1:24" s="71" customFormat="1" ht="23.25" customHeight="1">
      <c r="A389" s="1000"/>
      <c r="B389" s="470" t="s">
        <v>52</v>
      </c>
      <c r="C389" s="631"/>
      <c r="D389" s="631"/>
      <c r="E389" s="631"/>
      <c r="F389" s="631"/>
      <c r="G389" s="575"/>
      <c r="H389" s="575"/>
      <c r="I389" s="575"/>
      <c r="J389" s="546" t="s">
        <v>283</v>
      </c>
      <c r="K389" s="1008">
        <v>215000</v>
      </c>
      <c r="L389" s="470" t="s">
        <v>529</v>
      </c>
      <c r="M389" s="631"/>
      <c r="N389" s="631"/>
      <c r="O389" s="631"/>
      <c r="P389" s="631"/>
      <c r="Q389" s="470" t="s">
        <v>52</v>
      </c>
      <c r="R389" s="631"/>
      <c r="S389" s="470" t="s">
        <v>19</v>
      </c>
      <c r="T389" s="631"/>
      <c r="U389" s="956">
        <v>1</v>
      </c>
      <c r="V389" s="470"/>
      <c r="W389" s="470"/>
      <c r="X389" s="470"/>
    </row>
    <row r="390" spans="1:24" s="71" customFormat="1" ht="23.25" customHeight="1">
      <c r="A390" s="1000"/>
      <c r="B390" s="1024"/>
      <c r="C390" s="631"/>
      <c r="D390" s="631"/>
      <c r="E390" s="631"/>
      <c r="F390" s="631"/>
      <c r="G390" s="470" t="s">
        <v>52</v>
      </c>
      <c r="H390" s="575"/>
      <c r="I390" s="575"/>
      <c r="J390" s="546" t="s">
        <v>541</v>
      </c>
      <c r="K390" s="1008">
        <v>760000</v>
      </c>
      <c r="L390" s="470" t="s">
        <v>529</v>
      </c>
      <c r="M390" s="631"/>
      <c r="N390" s="631"/>
      <c r="O390" s="631"/>
      <c r="P390" s="631"/>
      <c r="Q390" s="470" t="s">
        <v>52</v>
      </c>
      <c r="R390" s="631"/>
      <c r="S390" s="470" t="s">
        <v>19</v>
      </c>
      <c r="T390" s="631"/>
      <c r="U390" s="470">
        <v>1</v>
      </c>
      <c r="V390" s="470"/>
      <c r="W390" s="470"/>
      <c r="X390" s="470"/>
    </row>
    <row r="391" spans="1:24" s="71" customFormat="1" ht="23.25" customHeight="1">
      <c r="A391" s="1000"/>
      <c r="B391" s="1024"/>
      <c r="C391" s="631"/>
      <c r="D391" s="631"/>
      <c r="E391" s="631"/>
      <c r="F391" s="631"/>
      <c r="G391" s="575"/>
      <c r="H391" s="575"/>
      <c r="I391" s="575"/>
      <c r="J391" s="546" t="s">
        <v>542</v>
      </c>
      <c r="K391" s="1008">
        <v>1198000</v>
      </c>
      <c r="L391" s="470" t="s">
        <v>529</v>
      </c>
      <c r="M391" s="631"/>
      <c r="N391" s="631"/>
      <c r="O391" s="631"/>
      <c r="P391" s="631"/>
      <c r="Q391" s="470" t="s">
        <v>52</v>
      </c>
      <c r="R391" s="631"/>
      <c r="S391" s="470" t="s">
        <v>19</v>
      </c>
      <c r="T391" s="631"/>
      <c r="U391" s="470">
        <v>1</v>
      </c>
      <c r="V391" s="470"/>
      <c r="W391" s="470"/>
      <c r="X391" s="470"/>
    </row>
    <row r="392" spans="1:24" s="71" customFormat="1" ht="23.25" customHeight="1">
      <c r="A392" s="1000"/>
      <c r="B392" s="1024"/>
      <c r="C392" s="631"/>
      <c r="D392" s="631"/>
      <c r="E392" s="631"/>
      <c r="F392" s="631"/>
      <c r="G392" s="575"/>
      <c r="H392" s="575"/>
      <c r="I392" s="575"/>
      <c r="J392" s="546" t="s">
        <v>87</v>
      </c>
      <c r="K392" s="1008">
        <v>310000</v>
      </c>
      <c r="L392" s="470" t="s">
        <v>529</v>
      </c>
      <c r="M392" s="631"/>
      <c r="N392" s="631"/>
      <c r="O392" s="631"/>
      <c r="P392" s="631"/>
      <c r="Q392" s="470" t="s">
        <v>52</v>
      </c>
      <c r="R392" s="631"/>
      <c r="S392" s="470" t="s">
        <v>19</v>
      </c>
      <c r="T392" s="631"/>
      <c r="U392" s="470">
        <v>1</v>
      </c>
      <c r="V392" s="470"/>
      <c r="W392" s="470"/>
      <c r="X392" s="470"/>
    </row>
    <row r="393" spans="1:24" s="71" customFormat="1" ht="35.25" customHeight="1">
      <c r="A393" s="1000"/>
      <c r="B393" s="1024"/>
      <c r="C393" s="631"/>
      <c r="D393" s="631"/>
      <c r="E393" s="631"/>
      <c r="F393" s="631"/>
      <c r="G393" s="575"/>
      <c r="H393" s="575"/>
      <c r="I393" s="575"/>
      <c r="J393" s="546" t="s">
        <v>543</v>
      </c>
      <c r="K393" s="1008">
        <v>1294000</v>
      </c>
      <c r="L393" s="470" t="s">
        <v>529</v>
      </c>
      <c r="M393" s="631"/>
      <c r="N393" s="631"/>
      <c r="O393" s="631"/>
      <c r="P393" s="631"/>
      <c r="Q393" s="470" t="s">
        <v>52</v>
      </c>
      <c r="R393" s="631"/>
      <c r="S393" s="470" t="s">
        <v>19</v>
      </c>
      <c r="T393" s="631"/>
      <c r="U393" s="470">
        <v>1</v>
      </c>
      <c r="V393" s="470"/>
      <c r="W393" s="470"/>
      <c r="X393" s="470"/>
    </row>
    <row r="394" spans="1:24" s="71" customFormat="1" ht="23.25" customHeight="1">
      <c r="A394" s="1000"/>
      <c r="B394" s="1001"/>
      <c r="C394" s="470"/>
      <c r="D394" s="470"/>
      <c r="E394" s="470"/>
      <c r="F394" s="470"/>
      <c r="G394" s="470"/>
      <c r="H394" s="470"/>
      <c r="I394" s="470"/>
      <c r="J394" s="546" t="s">
        <v>62</v>
      </c>
      <c r="K394" s="1008">
        <v>1200000</v>
      </c>
      <c r="L394" s="470" t="s">
        <v>972</v>
      </c>
      <c r="M394" s="470"/>
      <c r="N394" s="470"/>
      <c r="O394" s="470"/>
      <c r="P394" s="470"/>
      <c r="Q394" s="470" t="s">
        <v>52</v>
      </c>
      <c r="R394" s="470"/>
      <c r="S394" s="470" t="s">
        <v>19</v>
      </c>
      <c r="T394" s="470"/>
      <c r="U394" s="470">
        <v>1</v>
      </c>
      <c r="V394" s="470"/>
      <c r="W394" s="470"/>
      <c r="X394" s="470"/>
    </row>
    <row r="395" spans="1:24" s="71" customFormat="1" ht="23.25" customHeight="1">
      <c r="A395" s="1000"/>
      <c r="B395" s="1024"/>
      <c r="C395" s="631"/>
      <c r="D395" s="470" t="s">
        <v>52</v>
      </c>
      <c r="E395" s="631"/>
      <c r="F395" s="631"/>
      <c r="G395" s="575"/>
      <c r="H395" s="575"/>
      <c r="I395" s="575"/>
      <c r="J395" s="546" t="s">
        <v>258</v>
      </c>
      <c r="K395" s="1008">
        <v>550000</v>
      </c>
      <c r="L395" s="470" t="s">
        <v>529</v>
      </c>
      <c r="M395" s="631"/>
      <c r="N395" s="631"/>
      <c r="O395" s="631"/>
      <c r="P395" s="631"/>
      <c r="Q395" s="470" t="s">
        <v>52</v>
      </c>
      <c r="R395" s="631"/>
      <c r="S395" s="470" t="s">
        <v>19</v>
      </c>
      <c r="T395" s="631"/>
      <c r="U395" s="470"/>
      <c r="V395" s="956">
        <v>1</v>
      </c>
      <c r="W395" s="470"/>
      <c r="X395" s="470"/>
    </row>
    <row r="396" spans="1:24" s="71" customFormat="1" ht="23.25" customHeight="1">
      <c r="A396" s="1000"/>
      <c r="B396" s="1001"/>
      <c r="C396" s="470"/>
      <c r="D396" s="470"/>
      <c r="E396" s="470"/>
      <c r="F396" s="470"/>
      <c r="G396" s="470"/>
      <c r="H396" s="470"/>
      <c r="I396" s="470"/>
      <c r="J396" s="546" t="s">
        <v>544</v>
      </c>
      <c r="K396" s="1008">
        <v>2000000</v>
      </c>
      <c r="L396" s="470" t="s">
        <v>972</v>
      </c>
      <c r="M396" s="470"/>
      <c r="N396" s="470"/>
      <c r="O396" s="470"/>
      <c r="P396" s="470"/>
      <c r="Q396" s="470" t="s">
        <v>52</v>
      </c>
      <c r="R396" s="470"/>
      <c r="S396" s="470" t="s">
        <v>19</v>
      </c>
      <c r="T396" s="470"/>
      <c r="U396" s="470"/>
      <c r="V396" s="470">
        <v>1</v>
      </c>
      <c r="W396" s="470"/>
      <c r="X396" s="470"/>
    </row>
    <row r="397" spans="1:24" s="71" customFormat="1" ht="35.25" customHeight="1">
      <c r="A397" s="1000"/>
      <c r="B397" s="1001"/>
      <c r="C397" s="470">
        <v>1</v>
      </c>
      <c r="D397" s="470"/>
      <c r="E397" s="470"/>
      <c r="F397" s="470"/>
      <c r="G397" s="470"/>
      <c r="H397" s="470"/>
      <c r="I397" s="470"/>
      <c r="J397" s="546" t="s">
        <v>545</v>
      </c>
      <c r="K397" s="556">
        <v>2480000</v>
      </c>
      <c r="L397" s="470" t="s">
        <v>513</v>
      </c>
      <c r="M397" s="470"/>
      <c r="N397" s="470"/>
      <c r="O397" s="470"/>
      <c r="P397" s="470"/>
      <c r="Q397" s="470" t="s">
        <v>958</v>
      </c>
      <c r="R397" s="470"/>
      <c r="S397" s="470" t="s">
        <v>19</v>
      </c>
      <c r="T397" s="470"/>
      <c r="U397" s="470"/>
      <c r="V397" s="470">
        <v>1</v>
      </c>
      <c r="W397" s="470"/>
      <c r="X397" s="470"/>
    </row>
    <row r="398" spans="1:24" s="71" customFormat="1" ht="23.25" customHeight="1">
      <c r="A398" s="1000"/>
      <c r="B398" s="1001"/>
      <c r="C398" s="470"/>
      <c r="D398" s="470"/>
      <c r="E398" s="470"/>
      <c r="F398" s="470" t="s">
        <v>52</v>
      </c>
      <c r="G398" s="470"/>
      <c r="H398" s="470"/>
      <c r="I398" s="470"/>
      <c r="J398" s="546" t="s">
        <v>546</v>
      </c>
      <c r="K398" s="1008">
        <v>33000</v>
      </c>
      <c r="L398" s="470" t="s">
        <v>523</v>
      </c>
      <c r="M398" s="470"/>
      <c r="N398" s="470"/>
      <c r="O398" s="470"/>
      <c r="P398" s="470"/>
      <c r="Q398" s="470" t="s">
        <v>52</v>
      </c>
      <c r="R398" s="470"/>
      <c r="S398" s="470" t="s">
        <v>19</v>
      </c>
      <c r="T398" s="470"/>
      <c r="U398" s="470"/>
      <c r="V398" s="470">
        <v>1</v>
      </c>
      <c r="W398" s="470"/>
      <c r="X398" s="470"/>
    </row>
    <row r="399" spans="1:24" s="999" customFormat="1" ht="25.5" customHeight="1">
      <c r="A399" s="995"/>
      <c r="B399" s="996"/>
      <c r="C399" s="956" t="s">
        <v>91</v>
      </c>
      <c r="D399" s="956"/>
      <c r="E399" s="956"/>
      <c r="F399" s="956"/>
      <c r="G399" s="956"/>
      <c r="H399" s="956"/>
      <c r="I399" s="956"/>
      <c r="J399" s="188" t="s">
        <v>547</v>
      </c>
      <c r="K399" s="1023">
        <v>2000000</v>
      </c>
      <c r="L399" s="956" t="s">
        <v>172</v>
      </c>
      <c r="M399" s="956"/>
      <c r="N399" s="956"/>
      <c r="O399" s="956"/>
      <c r="P399" s="956"/>
      <c r="Q399" s="956" t="s">
        <v>91</v>
      </c>
      <c r="R399" s="956"/>
      <c r="S399" s="956" t="s">
        <v>19</v>
      </c>
      <c r="T399" s="956"/>
      <c r="U399" s="956"/>
      <c r="V399" s="956">
        <v>1</v>
      </c>
      <c r="W399" s="956"/>
      <c r="X399" s="956"/>
    </row>
    <row r="400" spans="1:24" s="71" customFormat="1" ht="23.25" customHeight="1">
      <c r="A400" s="1000"/>
      <c r="B400" s="1024"/>
      <c r="C400" s="631"/>
      <c r="D400" s="631"/>
      <c r="E400" s="631"/>
      <c r="F400" s="631"/>
      <c r="G400" s="575"/>
      <c r="H400" s="575"/>
      <c r="I400" s="575"/>
      <c r="J400" s="546" t="s">
        <v>290</v>
      </c>
      <c r="K400" s="1008">
        <v>150000</v>
      </c>
      <c r="L400" s="470" t="s">
        <v>529</v>
      </c>
      <c r="M400" s="631"/>
      <c r="N400" s="631"/>
      <c r="O400" s="631"/>
      <c r="P400" s="631"/>
      <c r="Q400" s="470" t="s">
        <v>52</v>
      </c>
      <c r="R400" s="631"/>
      <c r="S400" s="470" t="s">
        <v>19</v>
      </c>
      <c r="T400" s="631"/>
      <c r="U400" s="470"/>
      <c r="V400" s="470"/>
      <c r="W400" s="470">
        <v>1</v>
      </c>
      <c r="X400" s="470"/>
    </row>
    <row r="401" spans="1:32" s="71" customFormat="1" ht="23.25" customHeight="1">
      <c r="A401" s="1000"/>
      <c r="B401" s="1024"/>
      <c r="C401" s="631"/>
      <c r="D401" s="631"/>
      <c r="E401" s="631"/>
      <c r="F401" s="631"/>
      <c r="G401" s="575"/>
      <c r="H401" s="575"/>
      <c r="I401" s="575"/>
      <c r="J401" s="546" t="s">
        <v>276</v>
      </c>
      <c r="K401" s="1008">
        <v>375000</v>
      </c>
      <c r="L401" s="470" t="s">
        <v>529</v>
      </c>
      <c r="M401" s="631"/>
      <c r="N401" s="631"/>
      <c r="O401" s="631"/>
      <c r="P401" s="631"/>
      <c r="Q401" s="470" t="s">
        <v>52</v>
      </c>
      <c r="R401" s="631"/>
      <c r="S401" s="470" t="s">
        <v>19</v>
      </c>
      <c r="T401" s="631"/>
      <c r="U401" s="470"/>
      <c r="V401" s="470"/>
      <c r="W401" s="470">
        <v>1</v>
      </c>
      <c r="X401" s="470"/>
    </row>
    <row r="402" spans="1:32" s="71" customFormat="1" ht="23.25" customHeight="1">
      <c r="A402" s="1000"/>
      <c r="B402" s="1001"/>
      <c r="C402" s="470"/>
      <c r="D402" s="470"/>
      <c r="E402" s="470"/>
      <c r="F402" s="470"/>
      <c r="G402" s="470"/>
      <c r="H402" s="470"/>
      <c r="I402" s="470"/>
      <c r="J402" s="546" t="s">
        <v>265</v>
      </c>
      <c r="K402" s="1008">
        <v>460000</v>
      </c>
      <c r="L402" s="470" t="s">
        <v>972</v>
      </c>
      <c r="M402" s="470"/>
      <c r="N402" s="470"/>
      <c r="O402" s="470"/>
      <c r="P402" s="470"/>
      <c r="Q402" s="470" t="s">
        <v>52</v>
      </c>
      <c r="R402" s="470"/>
      <c r="S402" s="470" t="s">
        <v>19</v>
      </c>
      <c r="T402" s="470"/>
      <c r="U402" s="470"/>
      <c r="V402" s="470"/>
      <c r="W402" s="470">
        <v>1</v>
      </c>
      <c r="X402" s="470"/>
    </row>
    <row r="403" spans="1:32" s="71" customFormat="1" ht="23.25" customHeight="1">
      <c r="A403" s="1000"/>
      <c r="B403" s="1001"/>
      <c r="C403" s="470"/>
      <c r="D403" s="470"/>
      <c r="E403" s="470"/>
      <c r="F403" s="470"/>
      <c r="G403" s="470" t="s">
        <v>52</v>
      </c>
      <c r="H403" s="470"/>
      <c r="I403" s="470"/>
      <c r="J403" s="546" t="s">
        <v>981</v>
      </c>
      <c r="K403" s="1008">
        <f>20000*4</f>
        <v>80000</v>
      </c>
      <c r="L403" s="470" t="s">
        <v>523</v>
      </c>
      <c r="M403" s="470"/>
      <c r="N403" s="470"/>
      <c r="O403" s="470"/>
      <c r="P403" s="470"/>
      <c r="Q403" s="470" t="s">
        <v>52</v>
      </c>
      <c r="R403" s="470"/>
      <c r="S403" s="470" t="s">
        <v>19</v>
      </c>
      <c r="T403" s="470"/>
      <c r="U403" s="470"/>
      <c r="V403" s="470"/>
      <c r="W403" s="470">
        <v>1</v>
      </c>
      <c r="X403" s="470"/>
    </row>
    <row r="404" spans="1:32" s="71" customFormat="1" ht="23.25" customHeight="1">
      <c r="A404" s="1000"/>
      <c r="B404" s="1001"/>
      <c r="C404" s="470"/>
      <c r="D404" s="470"/>
      <c r="E404" s="470"/>
      <c r="F404" s="470"/>
      <c r="G404" s="470" t="s">
        <v>52</v>
      </c>
      <c r="H404" s="470"/>
      <c r="I404" s="470"/>
      <c r="J404" s="546" t="s">
        <v>982</v>
      </c>
      <c r="K404" s="1008">
        <f>6900*6</f>
        <v>41400</v>
      </c>
      <c r="L404" s="470" t="s">
        <v>523</v>
      </c>
      <c r="M404" s="470"/>
      <c r="N404" s="470"/>
      <c r="O404" s="470"/>
      <c r="P404" s="470"/>
      <c r="Q404" s="470" t="s">
        <v>52</v>
      </c>
      <c r="R404" s="470"/>
      <c r="S404" s="470" t="s">
        <v>19</v>
      </c>
      <c r="T404" s="470"/>
      <c r="U404" s="470"/>
      <c r="V404" s="470"/>
      <c r="W404" s="470">
        <v>1</v>
      </c>
      <c r="X404" s="470"/>
    </row>
    <row r="405" spans="1:32" s="71" customFormat="1" ht="37.5" customHeight="1">
      <c r="A405" s="1000"/>
      <c r="B405" s="1024"/>
      <c r="C405" s="631"/>
      <c r="D405" s="631"/>
      <c r="E405" s="631"/>
      <c r="F405" s="470" t="s">
        <v>52</v>
      </c>
      <c r="G405" s="575"/>
      <c r="H405" s="575"/>
      <c r="I405" s="575"/>
      <c r="J405" s="546" t="s">
        <v>550</v>
      </c>
      <c r="K405" s="1008">
        <v>645000</v>
      </c>
      <c r="L405" s="470" t="s">
        <v>529</v>
      </c>
      <c r="M405" s="631"/>
      <c r="N405" s="631"/>
      <c r="O405" s="631"/>
      <c r="P405" s="631"/>
      <c r="Q405" s="470" t="s">
        <v>52</v>
      </c>
      <c r="R405" s="631"/>
      <c r="S405" s="470" t="s">
        <v>19</v>
      </c>
      <c r="T405" s="631"/>
      <c r="U405" s="470"/>
      <c r="V405" s="470"/>
      <c r="W405" s="470"/>
      <c r="X405" s="956">
        <v>1</v>
      </c>
    </row>
    <row r="406" spans="1:32" s="71" customFormat="1" ht="23.25" customHeight="1">
      <c r="A406" s="1000"/>
      <c r="B406" s="1024"/>
      <c r="C406" s="631"/>
      <c r="D406" s="631"/>
      <c r="E406" s="631"/>
      <c r="F406" s="631"/>
      <c r="G406" s="575"/>
      <c r="H406" s="575"/>
      <c r="I406" s="575"/>
      <c r="J406" s="546" t="s">
        <v>364</v>
      </c>
      <c r="K406" s="1008">
        <v>375000</v>
      </c>
      <c r="L406" s="470" t="s">
        <v>529</v>
      </c>
      <c r="M406" s="631"/>
      <c r="N406" s="631"/>
      <c r="O406" s="631"/>
      <c r="P406" s="631"/>
      <c r="Q406" s="470" t="s">
        <v>52</v>
      </c>
      <c r="R406" s="631"/>
      <c r="S406" s="470" t="s">
        <v>19</v>
      </c>
      <c r="T406" s="631"/>
      <c r="U406" s="470"/>
      <c r="V406" s="470"/>
      <c r="W406" s="470"/>
      <c r="X406" s="470">
        <v>1</v>
      </c>
    </row>
    <row r="407" spans="1:32" s="71" customFormat="1" ht="23.25" customHeight="1">
      <c r="A407" s="1000"/>
      <c r="B407" s="1001"/>
      <c r="C407" s="470"/>
      <c r="D407" s="470"/>
      <c r="E407" s="470"/>
      <c r="F407" s="470"/>
      <c r="G407" s="470"/>
      <c r="H407" s="470"/>
      <c r="I407" s="470"/>
      <c r="J407" s="546" t="s">
        <v>983</v>
      </c>
      <c r="K407" s="1008">
        <v>60000</v>
      </c>
      <c r="L407" s="470" t="s">
        <v>972</v>
      </c>
      <c r="M407" s="470"/>
      <c r="N407" s="470"/>
      <c r="O407" s="470"/>
      <c r="P407" s="470"/>
      <c r="Q407" s="470" t="s">
        <v>52</v>
      </c>
      <c r="R407" s="470"/>
      <c r="S407" s="470" t="s">
        <v>19</v>
      </c>
      <c r="T407" s="470"/>
      <c r="U407" s="470"/>
      <c r="V407" s="470"/>
      <c r="W407" s="470"/>
      <c r="X407" s="470">
        <v>1</v>
      </c>
    </row>
    <row r="408" spans="1:32" s="71" customFormat="1" ht="23.25" customHeight="1">
      <c r="A408" s="1000"/>
      <c r="B408" s="1001"/>
      <c r="C408" s="470"/>
      <c r="D408" s="470"/>
      <c r="E408" s="470"/>
      <c r="F408" s="470"/>
      <c r="G408" s="470"/>
      <c r="H408" s="470"/>
      <c r="I408" s="470"/>
      <c r="J408" s="546" t="s">
        <v>552</v>
      </c>
      <c r="K408" s="1008">
        <v>55000</v>
      </c>
      <c r="L408" s="470" t="s">
        <v>972</v>
      </c>
      <c r="M408" s="470"/>
      <c r="N408" s="470"/>
      <c r="O408" s="470"/>
      <c r="P408" s="470"/>
      <c r="Q408" s="470" t="s">
        <v>52</v>
      </c>
      <c r="R408" s="470"/>
      <c r="S408" s="470" t="s">
        <v>19</v>
      </c>
      <c r="T408" s="470"/>
      <c r="U408" s="470"/>
      <c r="V408" s="470"/>
      <c r="W408" s="470"/>
      <c r="X408" s="470">
        <v>1</v>
      </c>
    </row>
    <row r="409" spans="1:32" s="71" customFormat="1" ht="23.25" customHeight="1">
      <c r="A409" s="1000"/>
      <c r="B409" s="1001"/>
      <c r="C409" s="470"/>
      <c r="D409" s="470"/>
      <c r="E409" s="470" t="s">
        <v>52</v>
      </c>
      <c r="F409" s="470"/>
      <c r="G409" s="470"/>
      <c r="H409" s="470"/>
      <c r="I409" s="470"/>
      <c r="J409" s="546" t="s">
        <v>333</v>
      </c>
      <c r="K409" s="1008">
        <v>75000</v>
      </c>
      <c r="L409" s="470" t="s">
        <v>523</v>
      </c>
      <c r="M409" s="470"/>
      <c r="N409" s="470"/>
      <c r="O409" s="470"/>
      <c r="P409" s="470"/>
      <c r="Q409" s="470" t="s">
        <v>52</v>
      </c>
      <c r="R409" s="470"/>
      <c r="S409" s="470" t="s">
        <v>19</v>
      </c>
      <c r="T409" s="470"/>
      <c r="U409" s="470"/>
      <c r="V409" s="470"/>
      <c r="W409" s="470"/>
      <c r="X409" s="470">
        <v>1</v>
      </c>
    </row>
    <row r="410" spans="1:32" s="71" customFormat="1" ht="23.25" customHeight="1">
      <c r="A410" s="1000"/>
      <c r="B410" s="1001"/>
      <c r="C410" s="470"/>
      <c r="D410" s="470"/>
      <c r="E410" s="470"/>
      <c r="F410" s="470"/>
      <c r="G410" s="470" t="s">
        <v>91</v>
      </c>
      <c r="H410" s="470"/>
      <c r="I410" s="470"/>
      <c r="J410" s="1029" t="s">
        <v>984</v>
      </c>
      <c r="K410" s="1008">
        <v>145000</v>
      </c>
      <c r="L410" s="1030" t="s">
        <v>469</v>
      </c>
      <c r="M410" s="470"/>
      <c r="N410" s="470"/>
      <c r="O410" s="470"/>
      <c r="P410" s="470" t="s">
        <v>91</v>
      </c>
      <c r="Q410" s="470"/>
      <c r="R410" s="470"/>
      <c r="S410" s="470" t="s">
        <v>19</v>
      </c>
      <c r="T410" s="470"/>
      <c r="U410" s="470"/>
      <c r="V410" s="470"/>
      <c r="W410" s="470"/>
      <c r="X410" s="470">
        <v>1</v>
      </c>
    </row>
    <row r="411" spans="1:32" s="71" customFormat="1" ht="23.25" customHeight="1">
      <c r="A411" s="1000"/>
      <c r="B411" s="1001"/>
      <c r="C411" s="470"/>
      <c r="D411" s="470"/>
      <c r="E411" s="470"/>
      <c r="F411" s="470" t="s">
        <v>91</v>
      </c>
      <c r="G411" s="470"/>
      <c r="H411" s="470"/>
      <c r="I411" s="470"/>
      <c r="J411" s="1029" t="s">
        <v>985</v>
      </c>
      <c r="K411" s="1008">
        <v>58000</v>
      </c>
      <c r="L411" s="1030" t="s">
        <v>469</v>
      </c>
      <c r="M411" s="470"/>
      <c r="N411" s="470"/>
      <c r="O411" s="470"/>
      <c r="P411" s="470" t="s">
        <v>91</v>
      </c>
      <c r="Q411" s="470"/>
      <c r="R411" s="470"/>
      <c r="S411" s="470" t="s">
        <v>19</v>
      </c>
      <c r="T411" s="470"/>
      <c r="U411" s="470"/>
      <c r="V411" s="470"/>
      <c r="W411" s="470"/>
      <c r="X411" s="470">
        <v>1</v>
      </c>
    </row>
    <row r="412" spans="1:32" s="685" customFormat="1" ht="23.25" customHeight="1">
      <c r="A412" s="691"/>
      <c r="B412" s="1031"/>
      <c r="C412" s="684"/>
      <c r="D412" s="684"/>
      <c r="E412" s="684"/>
      <c r="F412" s="684"/>
      <c r="G412" s="684"/>
      <c r="H412" s="684"/>
      <c r="I412" s="684" t="s">
        <v>91</v>
      </c>
      <c r="J412" s="1032" t="s">
        <v>986</v>
      </c>
      <c r="K412" s="1033">
        <f>120000*12</f>
        <v>1440000</v>
      </c>
      <c r="L412" s="1034" t="s">
        <v>987</v>
      </c>
      <c r="M412" s="684"/>
      <c r="N412" s="684"/>
      <c r="O412" s="684"/>
      <c r="P412" s="684"/>
      <c r="Q412" s="684"/>
      <c r="R412" s="684" t="s">
        <v>988</v>
      </c>
      <c r="S412" s="684" t="s">
        <v>19</v>
      </c>
      <c r="T412" s="684"/>
      <c r="U412" s="684"/>
      <c r="V412" s="684"/>
      <c r="W412" s="684"/>
      <c r="X412" s="684">
        <v>1</v>
      </c>
    </row>
    <row r="413" spans="1:32" s="685" customFormat="1" ht="33" customHeight="1">
      <c r="A413" s="691"/>
      <c r="B413" s="1031"/>
      <c r="C413" s="684"/>
      <c r="D413" s="684"/>
      <c r="E413" s="684"/>
      <c r="F413" s="684"/>
      <c r="G413" s="684"/>
      <c r="H413" s="684"/>
      <c r="I413" s="684" t="s">
        <v>91</v>
      </c>
      <c r="J413" s="1032" t="s">
        <v>989</v>
      </c>
      <c r="K413" s="1033">
        <f>83*20000</f>
        <v>1660000</v>
      </c>
      <c r="L413" s="1034" t="s">
        <v>987</v>
      </c>
      <c r="M413" s="684"/>
      <c r="N413" s="684"/>
      <c r="O413" s="684"/>
      <c r="P413" s="684"/>
      <c r="Q413" s="684"/>
      <c r="R413" s="684" t="s">
        <v>988</v>
      </c>
      <c r="S413" s="684" t="s">
        <v>19</v>
      </c>
      <c r="T413" s="684"/>
      <c r="U413" s="684"/>
      <c r="V413" s="684"/>
      <c r="W413" s="684"/>
      <c r="X413" s="684">
        <v>1</v>
      </c>
    </row>
    <row r="414" spans="1:32" s="685" customFormat="1" ht="27" customHeight="1">
      <c r="A414" s="691"/>
      <c r="B414" s="1031"/>
      <c r="C414" s="684"/>
      <c r="D414" s="684"/>
      <c r="E414" s="684"/>
      <c r="F414" s="684"/>
      <c r="G414" s="684"/>
      <c r="H414" s="684" t="s">
        <v>91</v>
      </c>
      <c r="I414" s="684"/>
      <c r="J414" s="1032" t="s">
        <v>990</v>
      </c>
      <c r="K414" s="1033">
        <f>1300000*10</f>
        <v>13000000</v>
      </c>
      <c r="L414" s="1034" t="s">
        <v>987</v>
      </c>
      <c r="M414" s="684"/>
      <c r="N414" s="684"/>
      <c r="O414" s="684"/>
      <c r="P414" s="684"/>
      <c r="Q414" s="684"/>
      <c r="R414" s="684" t="s">
        <v>988</v>
      </c>
      <c r="S414" s="684" t="s">
        <v>19</v>
      </c>
      <c r="T414" s="684"/>
      <c r="U414" s="684"/>
      <c r="V414" s="684"/>
      <c r="W414" s="684"/>
      <c r="X414" s="684">
        <v>1</v>
      </c>
    </row>
    <row r="415" spans="1:32" s="685" customFormat="1" ht="23.25" customHeight="1">
      <c r="A415" s="691"/>
      <c r="B415" s="1031"/>
      <c r="C415" s="684"/>
      <c r="D415" s="684"/>
      <c r="E415" s="684"/>
      <c r="F415" s="684"/>
      <c r="G415" s="684"/>
      <c r="H415" s="684" t="s">
        <v>91</v>
      </c>
      <c r="I415" s="684"/>
      <c r="J415" s="1032" t="s">
        <v>991</v>
      </c>
      <c r="K415" s="1033">
        <f>722000*10</f>
        <v>7220000</v>
      </c>
      <c r="L415" s="1034" t="s">
        <v>987</v>
      </c>
      <c r="M415" s="684"/>
      <c r="N415" s="684"/>
      <c r="O415" s="684"/>
      <c r="P415" s="684"/>
      <c r="Q415" s="684"/>
      <c r="R415" s="684" t="s">
        <v>988</v>
      </c>
      <c r="S415" s="684" t="s">
        <v>19</v>
      </c>
      <c r="T415" s="684"/>
      <c r="U415" s="684"/>
      <c r="V415" s="684"/>
      <c r="W415" s="684"/>
      <c r="X415" s="684">
        <v>1</v>
      </c>
    </row>
    <row r="416" spans="1:32" s="685" customFormat="1" ht="23.25" customHeight="1">
      <c r="A416" s="691"/>
      <c r="B416" s="1031"/>
      <c r="C416" s="684"/>
      <c r="D416" s="684"/>
      <c r="E416" s="684"/>
      <c r="F416" s="684"/>
      <c r="G416" s="684"/>
      <c r="H416" s="684" t="s">
        <v>91</v>
      </c>
      <c r="I416" s="684"/>
      <c r="J416" s="1032" t="s">
        <v>992</v>
      </c>
      <c r="K416" s="1033">
        <f>1500000*3</f>
        <v>4500000</v>
      </c>
      <c r="L416" s="1034" t="s">
        <v>987</v>
      </c>
      <c r="M416" s="684"/>
      <c r="N416" s="684"/>
      <c r="O416" s="684"/>
      <c r="P416" s="684"/>
      <c r="Q416" s="684"/>
      <c r="R416" s="684" t="s">
        <v>988</v>
      </c>
      <c r="S416" s="684" t="s">
        <v>19</v>
      </c>
      <c r="T416" s="684"/>
      <c r="U416" s="684"/>
      <c r="V416" s="684"/>
      <c r="W416" s="684"/>
      <c r="X416" s="684">
        <v>1</v>
      </c>
      <c r="AF416" s="1035"/>
    </row>
    <row r="417" spans="1:29" s="71" customFormat="1" ht="23.25" customHeight="1">
      <c r="A417" s="1036"/>
      <c r="B417" s="1037"/>
      <c r="C417" s="1038"/>
      <c r="D417" s="1038"/>
      <c r="E417" s="1038"/>
      <c r="F417" s="1038"/>
      <c r="G417" s="1038"/>
      <c r="H417" s="1038"/>
      <c r="I417" s="1038"/>
      <c r="J417" s="1039"/>
      <c r="K417" s="1040">
        <f>SUM(K301:K416)</f>
        <v>195544400</v>
      </c>
      <c r="L417" s="1038"/>
      <c r="M417" s="1038"/>
      <c r="N417" s="1038"/>
      <c r="O417" s="1038"/>
      <c r="P417" s="1038"/>
      <c r="Q417" s="1038"/>
      <c r="R417" s="1038"/>
      <c r="S417" s="1038" t="s">
        <v>19</v>
      </c>
      <c r="T417" s="1038"/>
      <c r="U417" s="1038"/>
      <c r="V417" s="1038"/>
      <c r="W417" s="1038"/>
      <c r="X417" s="1038"/>
    </row>
    <row r="418" spans="1:29" s="1237" customFormat="1" ht="24.95" customHeight="1">
      <c r="A418" s="1234">
        <v>1</v>
      </c>
      <c r="B418" s="1234"/>
      <c r="C418" s="221"/>
      <c r="D418" s="221" t="s">
        <v>52</v>
      </c>
      <c r="E418" s="221"/>
      <c r="F418" s="221"/>
      <c r="G418" s="221"/>
      <c r="H418" s="221"/>
      <c r="I418" s="221"/>
      <c r="J418" s="1235" t="s">
        <v>1112</v>
      </c>
      <c r="K418" s="1236">
        <v>2580000</v>
      </c>
      <c r="L418" s="221" t="s">
        <v>1113</v>
      </c>
      <c r="M418" s="221"/>
      <c r="N418" s="221"/>
      <c r="O418" s="221" t="s">
        <v>52</v>
      </c>
      <c r="P418" s="221"/>
      <c r="Q418" s="221"/>
      <c r="R418" s="221"/>
      <c r="S418" s="221" t="s">
        <v>1114</v>
      </c>
      <c r="T418" s="221" t="s">
        <v>52</v>
      </c>
      <c r="U418" s="221"/>
      <c r="V418" s="221"/>
      <c r="W418" s="221"/>
      <c r="X418" s="221"/>
      <c r="Y418" s="1236">
        <v>2580000</v>
      </c>
    </row>
    <row r="419" spans="1:29" s="1237" customFormat="1" ht="24.95" customHeight="1">
      <c r="A419" s="1234">
        <v>2</v>
      </c>
      <c r="B419" s="1234"/>
      <c r="C419" s="221" t="s">
        <v>52</v>
      </c>
      <c r="D419" s="221"/>
      <c r="E419" s="221"/>
      <c r="F419" s="221"/>
      <c r="G419" s="221"/>
      <c r="H419" s="221"/>
      <c r="I419" s="221"/>
      <c r="J419" s="1235" t="s">
        <v>1115</v>
      </c>
      <c r="K419" s="1236">
        <v>2480000</v>
      </c>
      <c r="L419" s="221" t="s">
        <v>1116</v>
      </c>
      <c r="M419" s="221" t="s">
        <v>52</v>
      </c>
      <c r="N419" s="221"/>
      <c r="O419" s="221"/>
      <c r="P419" s="221"/>
      <c r="Q419" s="221"/>
      <c r="R419" s="221"/>
      <c r="S419" s="221" t="s">
        <v>1114</v>
      </c>
      <c r="T419" s="221" t="s">
        <v>52</v>
      </c>
      <c r="U419" s="221"/>
      <c r="V419" s="221"/>
      <c r="W419" s="221"/>
      <c r="X419" s="221"/>
      <c r="Y419" s="1236">
        <v>2480000</v>
      </c>
    </row>
    <row r="420" spans="1:29" s="1237" customFormat="1" ht="24.95" customHeight="1">
      <c r="A420" s="1234">
        <v>3</v>
      </c>
      <c r="B420" s="1234"/>
      <c r="C420" s="221" t="s">
        <v>52</v>
      </c>
      <c r="D420" s="221"/>
      <c r="E420" s="221"/>
      <c r="F420" s="221"/>
      <c r="G420" s="221"/>
      <c r="H420" s="221"/>
      <c r="I420" s="221"/>
      <c r="J420" s="1235" t="s">
        <v>1117</v>
      </c>
      <c r="K420" s="1236">
        <v>550000</v>
      </c>
      <c r="L420" s="221" t="s">
        <v>1118</v>
      </c>
      <c r="M420" s="221"/>
      <c r="N420" s="221"/>
      <c r="O420" s="221"/>
      <c r="P420" s="221"/>
      <c r="Q420" s="221" t="s">
        <v>52</v>
      </c>
      <c r="R420" s="221"/>
      <c r="S420" s="221" t="s">
        <v>1114</v>
      </c>
      <c r="T420" s="221" t="s">
        <v>52</v>
      </c>
      <c r="U420" s="221"/>
      <c r="V420" s="221"/>
      <c r="W420" s="221"/>
      <c r="X420" s="221"/>
      <c r="Y420" s="1236">
        <v>550000</v>
      </c>
    </row>
    <row r="421" spans="1:29" s="1237" customFormat="1" ht="24.95" customHeight="1">
      <c r="A421" s="1234">
        <v>4</v>
      </c>
      <c r="B421" s="1234"/>
      <c r="C421" s="221"/>
      <c r="D421" s="221"/>
      <c r="E421" s="221"/>
      <c r="F421" s="221" t="s">
        <v>52</v>
      </c>
      <c r="G421" s="221"/>
      <c r="H421" s="221"/>
      <c r="I421" s="221"/>
      <c r="J421" s="1235" t="s">
        <v>1119</v>
      </c>
      <c r="K421" s="1236">
        <v>645000</v>
      </c>
      <c r="L421" s="221" t="s">
        <v>1118</v>
      </c>
      <c r="M421" s="221"/>
      <c r="N421" s="221"/>
      <c r="O421" s="221"/>
      <c r="P421" s="221"/>
      <c r="Q421" s="221" t="s">
        <v>52</v>
      </c>
      <c r="R421" s="221"/>
      <c r="S421" s="221" t="s">
        <v>1114</v>
      </c>
      <c r="T421" s="221" t="s">
        <v>52</v>
      </c>
      <c r="U421" s="221"/>
      <c r="V421" s="221"/>
      <c r="W421" s="221"/>
      <c r="X421" s="221"/>
      <c r="Y421" s="1236">
        <v>645000</v>
      </c>
    </row>
    <row r="422" spans="1:29" s="1237" customFormat="1" ht="24.95" customHeight="1">
      <c r="A422" s="1234">
        <v>5</v>
      </c>
      <c r="B422" s="1234"/>
      <c r="C422" s="221"/>
      <c r="D422" s="221"/>
      <c r="E422" s="221"/>
      <c r="F422" s="221" t="s">
        <v>52</v>
      </c>
      <c r="G422" s="221"/>
      <c r="H422" s="221"/>
      <c r="I422" s="221"/>
      <c r="J422" s="1235" t="s">
        <v>1120</v>
      </c>
      <c r="K422" s="1236">
        <v>1200000</v>
      </c>
      <c r="L422" s="221" t="s">
        <v>1121</v>
      </c>
      <c r="M422" s="221"/>
      <c r="N422" s="221"/>
      <c r="O422" s="221"/>
      <c r="P422" s="221"/>
      <c r="Q422" s="221" t="s">
        <v>52</v>
      </c>
      <c r="R422" s="221"/>
      <c r="S422" s="221" t="s">
        <v>1114</v>
      </c>
      <c r="T422" s="221" t="s">
        <v>52</v>
      </c>
      <c r="U422" s="221"/>
      <c r="V422" s="221"/>
      <c r="W422" s="221"/>
      <c r="X422" s="221"/>
      <c r="Y422" s="1236">
        <v>1200000</v>
      </c>
    </row>
    <row r="423" spans="1:29" s="1237" customFormat="1" ht="24.95" customHeight="1">
      <c r="A423" s="1234">
        <v>6</v>
      </c>
      <c r="B423" s="1234"/>
      <c r="C423" s="221"/>
      <c r="D423" s="221" t="s">
        <v>52</v>
      </c>
      <c r="E423" s="221"/>
      <c r="F423" s="221"/>
      <c r="G423" s="221"/>
      <c r="H423" s="221"/>
      <c r="I423" s="221"/>
      <c r="J423" s="1235" t="s">
        <v>1122</v>
      </c>
      <c r="K423" s="1236">
        <v>1650000</v>
      </c>
      <c r="L423" s="221" t="s">
        <v>1116</v>
      </c>
      <c r="M423" s="221" t="s">
        <v>52</v>
      </c>
      <c r="N423" s="221"/>
      <c r="O423" s="221"/>
      <c r="P423" s="221"/>
      <c r="Q423" s="221"/>
      <c r="R423" s="221"/>
      <c r="S423" s="221" t="s">
        <v>1114</v>
      </c>
      <c r="T423" s="221" t="s">
        <v>52</v>
      </c>
      <c r="U423" s="221"/>
      <c r="V423" s="221"/>
      <c r="W423" s="221"/>
      <c r="X423" s="221"/>
      <c r="Y423" s="1236">
        <v>1650000</v>
      </c>
    </row>
    <row r="424" spans="1:29" s="1237" customFormat="1" ht="24.95" customHeight="1">
      <c r="A424" s="1234">
        <v>7</v>
      </c>
      <c r="B424" s="221" t="s">
        <v>52</v>
      </c>
      <c r="C424" s="221"/>
      <c r="D424" s="221"/>
      <c r="E424" s="221"/>
      <c r="F424" s="221"/>
      <c r="G424" s="221"/>
      <c r="H424" s="221"/>
      <c r="I424" s="221"/>
      <c r="J424" s="1238" t="s">
        <v>363</v>
      </c>
      <c r="K424" s="1239">
        <v>480000</v>
      </c>
      <c r="L424" s="221" t="s">
        <v>1118</v>
      </c>
      <c r="M424" s="221"/>
      <c r="N424" s="221"/>
      <c r="O424" s="221"/>
      <c r="P424" s="221"/>
      <c r="Q424" s="221" t="s">
        <v>52</v>
      </c>
      <c r="R424" s="221"/>
      <c r="S424" s="221" t="s">
        <v>1114</v>
      </c>
      <c r="T424" s="221" t="s">
        <v>52</v>
      </c>
      <c r="U424" s="221"/>
      <c r="V424" s="221" t="s">
        <v>52</v>
      </c>
      <c r="W424" s="221"/>
      <c r="X424" s="221"/>
      <c r="Y424" s="1239">
        <v>480000</v>
      </c>
      <c r="AA424" s="1239">
        <v>480000</v>
      </c>
    </row>
    <row r="425" spans="1:29" s="1237" customFormat="1" ht="24.95" customHeight="1">
      <c r="A425" s="1234">
        <v>8</v>
      </c>
      <c r="B425" s="221" t="s">
        <v>52</v>
      </c>
      <c r="C425" s="221"/>
      <c r="D425" s="221"/>
      <c r="E425" s="221"/>
      <c r="F425" s="221"/>
      <c r="G425" s="221"/>
      <c r="H425" s="221"/>
      <c r="I425" s="221"/>
      <c r="J425" s="1235" t="s">
        <v>1119</v>
      </c>
      <c r="K425" s="1236">
        <v>645000</v>
      </c>
      <c r="L425" s="1240" t="s">
        <v>1123</v>
      </c>
      <c r="M425" s="221"/>
      <c r="N425" s="221"/>
      <c r="O425" s="221"/>
      <c r="P425" s="221"/>
      <c r="Q425" s="221"/>
      <c r="R425" s="221"/>
      <c r="S425" s="221"/>
      <c r="T425" s="221" t="s">
        <v>52</v>
      </c>
      <c r="U425" s="1241"/>
      <c r="V425" s="221"/>
      <c r="W425" s="221"/>
      <c r="X425" s="221"/>
      <c r="Y425" s="1236">
        <v>645000</v>
      </c>
    </row>
    <row r="426" spans="1:29" s="1237" customFormat="1" ht="24.95" customHeight="1">
      <c r="A426" s="1234">
        <v>9</v>
      </c>
      <c r="B426" s="221" t="s">
        <v>52</v>
      </c>
      <c r="C426" s="221"/>
      <c r="D426" s="221"/>
      <c r="E426" s="221"/>
      <c r="F426" s="221"/>
      <c r="G426" s="221"/>
      <c r="H426" s="221"/>
      <c r="I426" s="221"/>
      <c r="J426" s="1235" t="s">
        <v>1119</v>
      </c>
      <c r="K426" s="1236">
        <v>645000</v>
      </c>
      <c r="L426" s="221" t="s">
        <v>1124</v>
      </c>
      <c r="M426" s="221"/>
      <c r="N426" s="221"/>
      <c r="O426" s="221"/>
      <c r="P426" s="221"/>
      <c r="Q426" s="221"/>
      <c r="R426" s="221"/>
      <c r="S426" s="221"/>
      <c r="T426" s="221" t="s">
        <v>52</v>
      </c>
      <c r="U426" s="1241"/>
      <c r="V426" s="221"/>
      <c r="W426" s="221"/>
      <c r="X426" s="221"/>
      <c r="Y426" s="1236">
        <v>645000</v>
      </c>
    </row>
    <row r="427" spans="1:29" s="1237" customFormat="1" ht="24.95" customHeight="1">
      <c r="A427" s="1234">
        <v>10</v>
      </c>
      <c r="B427" s="1234"/>
      <c r="C427" s="221" t="s">
        <v>52</v>
      </c>
      <c r="D427" s="221"/>
      <c r="E427" s="221"/>
      <c r="F427" s="221"/>
      <c r="G427" s="221"/>
      <c r="H427" s="221"/>
      <c r="I427" s="221"/>
      <c r="J427" s="1235" t="s">
        <v>1115</v>
      </c>
      <c r="K427" s="1236">
        <v>2480000</v>
      </c>
      <c r="L427" s="221" t="s">
        <v>1113</v>
      </c>
      <c r="M427" s="221"/>
      <c r="N427" s="221"/>
      <c r="O427" s="221" t="s">
        <v>52</v>
      </c>
      <c r="P427" s="221"/>
      <c r="Q427" s="221"/>
      <c r="R427" s="221"/>
      <c r="S427" s="221" t="s">
        <v>1114</v>
      </c>
      <c r="T427" s="221"/>
      <c r="V427" s="221" t="s">
        <v>52</v>
      </c>
      <c r="W427" s="221"/>
      <c r="X427" s="221"/>
      <c r="Y427" s="1236">
        <v>2480000</v>
      </c>
    </row>
    <row r="428" spans="1:29" s="1237" customFormat="1" ht="24.95" customHeight="1">
      <c r="A428" s="1234">
        <v>11</v>
      </c>
      <c r="B428" s="1234"/>
      <c r="C428" s="221"/>
      <c r="D428" s="221" t="s">
        <v>52</v>
      </c>
      <c r="E428" s="221"/>
      <c r="F428" s="221"/>
      <c r="G428" s="221"/>
      <c r="H428" s="221"/>
      <c r="I428" s="221"/>
      <c r="J428" s="1235" t="s">
        <v>1125</v>
      </c>
      <c r="K428" s="1236">
        <v>1760000</v>
      </c>
      <c r="L428" s="221" t="s">
        <v>1116</v>
      </c>
      <c r="M428" s="221" t="s">
        <v>52</v>
      </c>
      <c r="N428" s="221"/>
      <c r="O428" s="221"/>
      <c r="P428" s="221"/>
      <c r="Q428" s="221"/>
      <c r="R428" s="221"/>
      <c r="S428" s="221" t="s">
        <v>1114</v>
      </c>
      <c r="T428" s="221" t="s">
        <v>52</v>
      </c>
      <c r="U428" s="221"/>
      <c r="V428" s="221" t="s">
        <v>52</v>
      </c>
      <c r="W428" s="221"/>
      <c r="X428" s="221" t="s">
        <v>52</v>
      </c>
      <c r="Y428" s="1236">
        <v>1760000</v>
      </c>
      <c r="AA428" s="1236">
        <v>1760000</v>
      </c>
      <c r="AC428" s="1236">
        <v>1760000</v>
      </c>
    </row>
    <row r="429" spans="1:29" s="1237" customFormat="1" ht="24.95" customHeight="1">
      <c r="A429" s="1234">
        <v>12</v>
      </c>
      <c r="B429" s="1234"/>
      <c r="C429" s="221"/>
      <c r="D429" s="221" t="s">
        <v>52</v>
      </c>
      <c r="E429" s="221"/>
      <c r="F429" s="221"/>
      <c r="G429" s="221"/>
      <c r="H429" s="221"/>
      <c r="I429" s="221"/>
      <c r="J429" s="1235" t="s">
        <v>1125</v>
      </c>
      <c r="K429" s="1236">
        <v>1760000</v>
      </c>
      <c r="L429" s="221" t="s">
        <v>1113</v>
      </c>
      <c r="M429" s="221"/>
      <c r="N429" s="221"/>
      <c r="O429" s="221" t="s">
        <v>52</v>
      </c>
      <c r="P429" s="221"/>
      <c r="Q429" s="221"/>
      <c r="R429" s="221"/>
      <c r="S429" s="221" t="s">
        <v>1114</v>
      </c>
      <c r="T429" s="221" t="s">
        <v>52</v>
      </c>
      <c r="U429" s="221"/>
      <c r="V429" s="221"/>
      <c r="W429" s="221" t="s">
        <v>52</v>
      </c>
      <c r="X429" s="221"/>
      <c r="Y429" s="1236">
        <v>1760000</v>
      </c>
      <c r="AB429" s="1236">
        <v>1760000</v>
      </c>
    </row>
    <row r="430" spans="1:29" s="1237" customFormat="1" ht="24.95" customHeight="1">
      <c r="A430" s="1234">
        <v>13</v>
      </c>
      <c r="B430" s="1234"/>
      <c r="C430" s="221"/>
      <c r="D430" s="221"/>
      <c r="E430" s="221"/>
      <c r="F430" s="221" t="s">
        <v>52</v>
      </c>
      <c r="G430" s="221"/>
      <c r="H430" s="221"/>
      <c r="I430" s="221"/>
      <c r="J430" s="1235" t="s">
        <v>1126</v>
      </c>
      <c r="K430" s="1236">
        <v>3200000</v>
      </c>
      <c r="L430" s="221" t="s">
        <v>1116</v>
      </c>
      <c r="M430" s="221" t="s">
        <v>52</v>
      </c>
      <c r="N430" s="221"/>
      <c r="O430" s="221"/>
      <c r="P430" s="221"/>
      <c r="Q430" s="221"/>
      <c r="R430" s="221"/>
      <c r="S430" s="221" t="s">
        <v>1114</v>
      </c>
      <c r="T430" s="221" t="s">
        <v>52</v>
      </c>
      <c r="U430" s="221"/>
      <c r="V430" s="221"/>
      <c r="W430" s="221"/>
      <c r="X430" s="221"/>
      <c r="Y430" s="1236">
        <v>3200000</v>
      </c>
    </row>
    <row r="431" spans="1:29" s="1237" customFormat="1" ht="24.95" customHeight="1">
      <c r="A431" s="1234">
        <v>14</v>
      </c>
      <c r="B431" s="1234"/>
      <c r="C431" s="221"/>
      <c r="D431" s="221" t="s">
        <v>52</v>
      </c>
      <c r="E431" s="221"/>
      <c r="F431" s="221"/>
      <c r="G431" s="221"/>
      <c r="H431" s="221"/>
      <c r="I431" s="221"/>
      <c r="J431" s="1235" t="s">
        <v>1127</v>
      </c>
      <c r="K431" s="1236">
        <v>1760000</v>
      </c>
      <c r="L431" s="221" t="s">
        <v>1113</v>
      </c>
      <c r="M431" s="221"/>
      <c r="N431" s="221"/>
      <c r="O431" s="221" t="s">
        <v>52</v>
      </c>
      <c r="P431" s="221"/>
      <c r="Q431" s="221"/>
      <c r="R431" s="221"/>
      <c r="S431" s="221" t="s">
        <v>1114</v>
      </c>
      <c r="T431" s="221" t="s">
        <v>52</v>
      </c>
      <c r="U431" s="221" t="s">
        <v>52</v>
      </c>
      <c r="V431" s="221"/>
      <c r="W431" s="221" t="s">
        <v>52</v>
      </c>
      <c r="X431" s="221"/>
      <c r="Y431" s="1236">
        <v>1760000</v>
      </c>
      <c r="Z431" s="1236">
        <v>1760000</v>
      </c>
      <c r="AB431" s="1236">
        <v>1760000</v>
      </c>
    </row>
    <row r="432" spans="1:29" s="1237" customFormat="1" ht="24.95" customHeight="1">
      <c r="A432" s="1234">
        <v>15</v>
      </c>
      <c r="B432" s="1234"/>
      <c r="C432" s="221"/>
      <c r="D432" s="221"/>
      <c r="E432" s="221"/>
      <c r="F432" s="221"/>
      <c r="G432" s="221"/>
      <c r="H432" s="221" t="s">
        <v>52</v>
      </c>
      <c r="I432" s="221"/>
      <c r="J432" s="1235" t="s">
        <v>1128</v>
      </c>
      <c r="K432" s="221">
        <v>787000</v>
      </c>
      <c r="L432" s="221" t="s">
        <v>1113</v>
      </c>
      <c r="M432" s="221"/>
      <c r="N432" s="221"/>
      <c r="O432" s="221" t="s">
        <v>52</v>
      </c>
      <c r="P432" s="221"/>
      <c r="Q432" s="221"/>
      <c r="R432" s="221"/>
      <c r="S432" s="221" t="s">
        <v>1114</v>
      </c>
      <c r="T432" s="221" t="s">
        <v>52</v>
      </c>
      <c r="U432" s="221"/>
      <c r="V432" s="221"/>
      <c r="W432" s="221"/>
      <c r="X432" s="221"/>
      <c r="Y432" s="221">
        <v>787000</v>
      </c>
    </row>
    <row r="433" spans="1:29" s="1237" customFormat="1" ht="24.95" customHeight="1">
      <c r="A433" s="1234">
        <v>16</v>
      </c>
      <c r="B433" s="1234"/>
      <c r="C433" s="221"/>
      <c r="D433" s="221"/>
      <c r="E433" s="221"/>
      <c r="F433" s="221" t="s">
        <v>52</v>
      </c>
      <c r="G433" s="221"/>
      <c r="H433" s="221"/>
      <c r="I433" s="221"/>
      <c r="J433" s="1235" t="s">
        <v>1120</v>
      </c>
      <c r="K433" s="1236">
        <v>1200000</v>
      </c>
      <c r="L433" s="221" t="s">
        <v>1124</v>
      </c>
      <c r="M433" s="221"/>
      <c r="N433" s="221"/>
      <c r="O433" s="221"/>
      <c r="P433" s="221"/>
      <c r="Q433" s="221" t="s">
        <v>52</v>
      </c>
      <c r="R433" s="221"/>
      <c r="S433" s="221" t="s">
        <v>1114</v>
      </c>
      <c r="T433" s="221"/>
      <c r="U433" s="221" t="s">
        <v>52</v>
      </c>
      <c r="V433" s="221"/>
      <c r="W433" s="221"/>
      <c r="X433" s="221"/>
      <c r="Z433" s="1236">
        <v>1200000</v>
      </c>
    </row>
    <row r="434" spans="1:29" s="1237" customFormat="1" ht="24.95" customHeight="1">
      <c r="A434" s="1234">
        <v>17</v>
      </c>
      <c r="B434" s="1234"/>
      <c r="C434" s="221"/>
      <c r="D434" s="221"/>
      <c r="E434" s="221"/>
      <c r="F434" s="221" t="s">
        <v>52</v>
      </c>
      <c r="G434" s="221"/>
      <c r="H434" s="221"/>
      <c r="I434" s="221"/>
      <c r="J434" s="1235" t="s">
        <v>234</v>
      </c>
      <c r="K434" s="1236">
        <v>4200000</v>
      </c>
      <c r="L434" s="221" t="s">
        <v>1113</v>
      </c>
      <c r="M434" s="221"/>
      <c r="N434" s="221"/>
      <c r="O434" s="221" t="s">
        <v>52</v>
      </c>
      <c r="P434" s="221"/>
      <c r="Q434" s="221"/>
      <c r="R434" s="221"/>
      <c r="S434" s="221" t="s">
        <v>1114</v>
      </c>
      <c r="T434" s="221"/>
      <c r="U434" s="221" t="s">
        <v>52</v>
      </c>
      <c r="V434" s="221"/>
      <c r="W434" s="221"/>
      <c r="X434" s="221"/>
      <c r="Z434" s="1236">
        <v>4200000</v>
      </c>
    </row>
    <row r="435" spans="1:29" s="1237" customFormat="1" ht="24.95" customHeight="1">
      <c r="A435" s="1234">
        <v>18</v>
      </c>
      <c r="B435" s="1234"/>
      <c r="C435" s="221"/>
      <c r="D435" s="221" t="s">
        <v>52</v>
      </c>
      <c r="E435" s="221"/>
      <c r="F435" s="221"/>
      <c r="G435" s="221"/>
      <c r="H435" s="221"/>
      <c r="I435" s="221"/>
      <c r="J435" s="1235" t="s">
        <v>1129</v>
      </c>
      <c r="K435" s="1236">
        <v>1030000</v>
      </c>
      <c r="L435" s="221" t="s">
        <v>1116</v>
      </c>
      <c r="M435" s="221"/>
      <c r="N435" s="221"/>
      <c r="O435" s="221"/>
      <c r="P435" s="221"/>
      <c r="Q435" s="221"/>
      <c r="R435" s="221"/>
      <c r="S435" s="221" t="s">
        <v>1114</v>
      </c>
      <c r="T435" s="221"/>
      <c r="U435" s="221" t="s">
        <v>52</v>
      </c>
      <c r="V435" s="221"/>
      <c r="W435" s="221"/>
      <c r="X435" s="221"/>
      <c r="Z435" s="1236">
        <v>1030000</v>
      </c>
    </row>
    <row r="436" spans="1:29" s="1237" customFormat="1" ht="24.95" customHeight="1">
      <c r="A436" s="1234">
        <v>19</v>
      </c>
      <c r="B436" s="1234"/>
      <c r="C436" s="221"/>
      <c r="D436" s="221" t="s">
        <v>52</v>
      </c>
      <c r="E436" s="221"/>
      <c r="F436" s="221"/>
      <c r="G436" s="221"/>
      <c r="H436" s="221"/>
      <c r="I436" s="221"/>
      <c r="J436" s="1235" t="s">
        <v>570</v>
      </c>
      <c r="K436" s="221">
        <v>1070000</v>
      </c>
      <c r="L436" s="221" t="s">
        <v>1113</v>
      </c>
      <c r="M436" s="221"/>
      <c r="N436" s="221"/>
      <c r="O436" s="221" t="s">
        <v>52</v>
      </c>
      <c r="P436" s="221"/>
      <c r="Q436" s="221"/>
      <c r="R436" s="221"/>
      <c r="S436" s="221" t="s">
        <v>1114</v>
      </c>
      <c r="T436" s="221"/>
      <c r="U436" s="221" t="s">
        <v>52</v>
      </c>
      <c r="V436" s="221" t="s">
        <v>52</v>
      </c>
      <c r="W436" s="221"/>
      <c r="X436" s="221" t="s">
        <v>52</v>
      </c>
      <c r="Z436" s="221">
        <v>1070000</v>
      </c>
      <c r="AA436" s="221">
        <v>1070000</v>
      </c>
      <c r="AB436" s="221">
        <v>1070000</v>
      </c>
    </row>
    <row r="437" spans="1:29" s="1237" customFormat="1" ht="24.95" customHeight="1">
      <c r="A437" s="1234">
        <v>20</v>
      </c>
      <c r="B437" s="1234"/>
      <c r="C437" s="221"/>
      <c r="D437" s="221" t="s">
        <v>52</v>
      </c>
      <c r="E437" s="221"/>
      <c r="F437" s="221"/>
      <c r="G437" s="221"/>
      <c r="H437" s="221"/>
      <c r="I437" s="221"/>
      <c r="J437" s="1235" t="s">
        <v>570</v>
      </c>
      <c r="K437" s="221">
        <v>1070000</v>
      </c>
      <c r="L437" s="221" t="s">
        <v>1116</v>
      </c>
      <c r="M437" s="221" t="s">
        <v>52</v>
      </c>
      <c r="N437" s="221"/>
      <c r="O437" s="221"/>
      <c r="P437" s="221"/>
      <c r="Q437" s="221"/>
      <c r="R437" s="221"/>
      <c r="S437" s="221" t="s">
        <v>1114</v>
      </c>
      <c r="T437" s="221"/>
      <c r="U437" s="221" t="s">
        <v>52</v>
      </c>
      <c r="V437" s="221" t="s">
        <v>52</v>
      </c>
      <c r="W437" s="221"/>
      <c r="X437" s="221" t="s">
        <v>52</v>
      </c>
      <c r="Z437" s="221">
        <v>1070000</v>
      </c>
      <c r="AA437" s="221">
        <v>1070000</v>
      </c>
      <c r="AC437" s="221">
        <v>1070000</v>
      </c>
    </row>
    <row r="438" spans="1:29" s="1237" customFormat="1" ht="24.95" customHeight="1">
      <c r="A438" s="1234">
        <v>21</v>
      </c>
      <c r="B438" s="1234"/>
      <c r="C438" s="221"/>
      <c r="D438" s="221" t="s">
        <v>52</v>
      </c>
      <c r="E438" s="221"/>
      <c r="F438" s="221"/>
      <c r="G438" s="221"/>
      <c r="H438" s="221"/>
      <c r="I438" s="221"/>
      <c r="J438" s="1235" t="s">
        <v>1117</v>
      </c>
      <c r="K438" s="1236">
        <v>550000</v>
      </c>
      <c r="L438" s="221" t="s">
        <v>1121</v>
      </c>
      <c r="M438" s="221"/>
      <c r="N438" s="221"/>
      <c r="O438" s="221"/>
      <c r="P438" s="221"/>
      <c r="Q438" s="221" t="s">
        <v>52</v>
      </c>
      <c r="R438" s="221"/>
      <c r="S438" s="221" t="s">
        <v>1114</v>
      </c>
      <c r="T438" s="221"/>
      <c r="U438" s="221" t="s">
        <v>52</v>
      </c>
      <c r="V438" s="221"/>
      <c r="W438" s="221"/>
      <c r="X438" s="221"/>
      <c r="Z438" s="1236">
        <v>550000</v>
      </c>
    </row>
    <row r="439" spans="1:29" s="1237" customFormat="1" ht="24.95" customHeight="1">
      <c r="A439" s="1234">
        <v>22</v>
      </c>
      <c r="B439" s="1234"/>
      <c r="C439" s="221"/>
      <c r="D439" s="221" t="s">
        <v>52</v>
      </c>
      <c r="E439" s="221"/>
      <c r="F439" s="221"/>
      <c r="G439" s="221"/>
      <c r="H439" s="221"/>
      <c r="I439" s="221"/>
      <c r="J439" s="1235" t="s">
        <v>1117</v>
      </c>
      <c r="K439" s="1236">
        <v>550000</v>
      </c>
      <c r="L439" s="221" t="s">
        <v>1130</v>
      </c>
      <c r="M439" s="221"/>
      <c r="N439" s="221"/>
      <c r="O439" s="221"/>
      <c r="P439" s="221"/>
      <c r="Q439" s="221" t="s">
        <v>52</v>
      </c>
      <c r="R439" s="221"/>
      <c r="S439" s="221" t="s">
        <v>1114</v>
      </c>
      <c r="T439" s="221"/>
      <c r="U439" s="221" t="s">
        <v>52</v>
      </c>
      <c r="V439" s="221"/>
      <c r="W439" s="221"/>
      <c r="X439" s="221"/>
      <c r="Z439" s="1236">
        <v>550000</v>
      </c>
    </row>
    <row r="440" spans="1:29" s="1237" customFormat="1" ht="24.95" customHeight="1">
      <c r="A440" s="1234">
        <v>23</v>
      </c>
      <c r="B440" s="1234"/>
      <c r="C440" s="221"/>
      <c r="D440" s="221"/>
      <c r="E440" s="221"/>
      <c r="F440" s="221" t="s">
        <v>52</v>
      </c>
      <c r="G440" s="221"/>
      <c r="H440" s="221"/>
      <c r="I440" s="221"/>
      <c r="J440" s="1235" t="s">
        <v>1131</v>
      </c>
      <c r="K440" s="1236">
        <v>650000</v>
      </c>
      <c r="L440" s="221" t="s">
        <v>1124</v>
      </c>
      <c r="M440" s="221"/>
      <c r="N440" s="221"/>
      <c r="O440" s="221"/>
      <c r="P440" s="221"/>
      <c r="Q440" s="221" t="s">
        <v>52</v>
      </c>
      <c r="R440" s="221"/>
      <c r="S440" s="221" t="s">
        <v>1114</v>
      </c>
      <c r="T440" s="221"/>
      <c r="U440" s="221" t="s">
        <v>52</v>
      </c>
      <c r="V440" s="221"/>
      <c r="W440" s="221"/>
      <c r="X440" s="221"/>
      <c r="Z440" s="1236">
        <v>650000</v>
      </c>
    </row>
    <row r="441" spans="1:29" s="1237" customFormat="1" ht="24.95" customHeight="1">
      <c r="A441" s="1234">
        <v>24</v>
      </c>
      <c r="B441" s="1234"/>
      <c r="C441" s="221"/>
      <c r="D441" s="221"/>
      <c r="E441" s="221"/>
      <c r="F441" s="221" t="s">
        <v>52</v>
      </c>
      <c r="G441" s="221"/>
      <c r="H441" s="221"/>
      <c r="I441" s="221"/>
      <c r="J441" s="1235" t="s">
        <v>218</v>
      </c>
      <c r="K441" s="1236">
        <v>2500000</v>
      </c>
      <c r="L441" s="221" t="s">
        <v>1116</v>
      </c>
      <c r="M441" s="221" t="s">
        <v>52</v>
      </c>
      <c r="N441" s="221"/>
      <c r="O441" s="221"/>
      <c r="P441" s="221"/>
      <c r="Q441" s="221"/>
      <c r="R441" s="221"/>
      <c r="S441" s="221" t="s">
        <v>1114</v>
      </c>
      <c r="T441" s="221"/>
      <c r="U441" s="221" t="s">
        <v>52</v>
      </c>
      <c r="V441" s="221" t="s">
        <v>52</v>
      </c>
      <c r="W441" s="221"/>
      <c r="X441" s="221" t="s">
        <v>52</v>
      </c>
      <c r="Z441" s="1236">
        <v>2500000</v>
      </c>
      <c r="AA441" s="1236">
        <v>2500000</v>
      </c>
      <c r="AC441" s="1236">
        <v>2500000</v>
      </c>
    </row>
    <row r="442" spans="1:29" s="1237" customFormat="1" ht="24.95" customHeight="1">
      <c r="A442" s="1234">
        <v>25</v>
      </c>
      <c r="B442" s="1234"/>
      <c r="C442" s="221"/>
      <c r="D442" s="221"/>
      <c r="E442" s="221"/>
      <c r="F442" s="221" t="s">
        <v>52</v>
      </c>
      <c r="G442" s="221"/>
      <c r="H442" s="221"/>
      <c r="I442" s="221"/>
      <c r="J442" s="1235" t="s">
        <v>1119</v>
      </c>
      <c r="K442" s="1236">
        <v>645000</v>
      </c>
      <c r="L442" s="221" t="s">
        <v>1130</v>
      </c>
      <c r="M442" s="221"/>
      <c r="N442" s="221"/>
      <c r="O442" s="221"/>
      <c r="P442" s="221"/>
      <c r="Q442" s="221" t="s">
        <v>52</v>
      </c>
      <c r="R442" s="221"/>
      <c r="S442" s="221" t="s">
        <v>1114</v>
      </c>
      <c r="T442" s="221"/>
      <c r="U442" s="221" t="s">
        <v>52</v>
      </c>
      <c r="V442" s="221"/>
      <c r="W442" s="221"/>
      <c r="X442" s="221"/>
      <c r="Z442" s="1236">
        <v>645000</v>
      </c>
    </row>
    <row r="443" spans="1:29" s="1237" customFormat="1" ht="24.95" customHeight="1">
      <c r="A443" s="1234">
        <v>26</v>
      </c>
      <c r="B443" s="1234"/>
      <c r="C443" s="221"/>
      <c r="D443" s="221"/>
      <c r="E443" s="221"/>
      <c r="F443" s="221" t="s">
        <v>52</v>
      </c>
      <c r="G443" s="221"/>
      <c r="H443" s="221"/>
      <c r="I443" s="221"/>
      <c r="J443" s="1235" t="s">
        <v>1119</v>
      </c>
      <c r="K443" s="1236">
        <v>645000</v>
      </c>
      <c r="L443" s="221" t="s">
        <v>1124</v>
      </c>
      <c r="M443" s="221"/>
      <c r="N443" s="221"/>
      <c r="O443" s="221"/>
      <c r="P443" s="221"/>
      <c r="Q443" s="221" t="s">
        <v>52</v>
      </c>
      <c r="R443" s="221"/>
      <c r="S443" s="221" t="s">
        <v>1114</v>
      </c>
      <c r="T443" s="221"/>
      <c r="U443" s="221" t="s">
        <v>52</v>
      </c>
      <c r="V443" s="221"/>
      <c r="W443" s="221"/>
      <c r="X443" s="221"/>
      <c r="Z443" s="1236">
        <v>645000</v>
      </c>
    </row>
    <row r="444" spans="1:29" s="1237" customFormat="1" ht="24.95" customHeight="1">
      <c r="A444" s="1234">
        <v>27</v>
      </c>
      <c r="B444" s="1234"/>
      <c r="C444" s="221"/>
      <c r="D444" s="221"/>
      <c r="E444" s="221"/>
      <c r="F444" s="221" t="s">
        <v>52</v>
      </c>
      <c r="G444" s="221"/>
      <c r="H444" s="221"/>
      <c r="I444" s="221"/>
      <c r="J444" s="1235" t="s">
        <v>1119</v>
      </c>
      <c r="K444" s="1236">
        <v>645000</v>
      </c>
      <c r="L444" s="221" t="s">
        <v>1121</v>
      </c>
      <c r="M444" s="221"/>
      <c r="N444" s="221"/>
      <c r="O444" s="221"/>
      <c r="P444" s="221"/>
      <c r="Q444" s="221" t="s">
        <v>52</v>
      </c>
      <c r="R444" s="221"/>
      <c r="S444" s="221" t="s">
        <v>1114</v>
      </c>
      <c r="T444" s="221"/>
      <c r="U444" s="221" t="s">
        <v>52</v>
      </c>
      <c r="V444" s="221"/>
      <c r="W444" s="221"/>
      <c r="X444" s="221"/>
      <c r="Z444" s="1236">
        <v>645000</v>
      </c>
    </row>
    <row r="445" spans="1:29" s="1237" customFormat="1" ht="24.95" customHeight="1" thickBot="1">
      <c r="A445" s="1234">
        <v>28</v>
      </c>
      <c r="B445" s="1234"/>
      <c r="C445" s="221"/>
      <c r="D445" s="221"/>
      <c r="E445" s="221"/>
      <c r="F445" s="221" t="s">
        <v>52</v>
      </c>
      <c r="G445" s="221"/>
      <c r="H445" s="221"/>
      <c r="I445" s="221"/>
      <c r="J445" s="1242" t="s">
        <v>1132</v>
      </c>
      <c r="K445" s="1243">
        <v>3200000</v>
      </c>
      <c r="L445" s="221" t="s">
        <v>1116</v>
      </c>
      <c r="M445" s="221"/>
      <c r="N445" s="221"/>
      <c r="O445" s="221"/>
      <c r="P445" s="221"/>
      <c r="Q445" s="221"/>
      <c r="R445" s="221"/>
      <c r="S445" s="221" t="s">
        <v>1114</v>
      </c>
      <c r="T445" s="221"/>
      <c r="U445" s="221" t="s">
        <v>52</v>
      </c>
      <c r="V445" s="221"/>
      <c r="W445" s="221"/>
      <c r="X445" s="221"/>
      <c r="Z445" s="1243">
        <v>3200000</v>
      </c>
    </row>
    <row r="446" spans="1:29" s="1237" customFormat="1" ht="24.95" customHeight="1">
      <c r="A446" s="1234">
        <v>29</v>
      </c>
      <c r="B446" s="1234"/>
      <c r="C446" s="221"/>
      <c r="D446" s="221"/>
      <c r="E446" s="221"/>
      <c r="F446" s="221" t="s">
        <v>52</v>
      </c>
      <c r="G446" s="221"/>
      <c r="H446" s="221"/>
      <c r="I446" s="221"/>
      <c r="J446" s="1244" t="s">
        <v>1133</v>
      </c>
      <c r="K446" s="1245">
        <v>3210000</v>
      </c>
      <c r="L446" s="221" t="s">
        <v>1116</v>
      </c>
      <c r="M446" s="221"/>
      <c r="N446" s="221"/>
      <c r="O446" s="221"/>
      <c r="P446" s="221"/>
      <c r="Q446" s="221"/>
      <c r="R446" s="221"/>
      <c r="S446" s="221" t="s">
        <v>1114</v>
      </c>
      <c r="T446" s="221"/>
      <c r="U446" s="221" t="s">
        <v>52</v>
      </c>
      <c r="V446" s="221"/>
      <c r="W446" s="221"/>
      <c r="X446" s="221"/>
      <c r="Z446" s="1245">
        <v>3210000</v>
      </c>
    </row>
    <row r="447" spans="1:29" s="1237" customFormat="1" ht="24.95" customHeight="1">
      <c r="A447" s="1234">
        <v>30</v>
      </c>
      <c r="B447" s="1234"/>
      <c r="C447" s="221"/>
      <c r="D447" s="221"/>
      <c r="E447" s="221"/>
      <c r="F447" s="221" t="s">
        <v>52</v>
      </c>
      <c r="G447" s="221"/>
      <c r="H447" s="221"/>
      <c r="I447" s="221"/>
      <c r="J447" s="1235" t="s">
        <v>1134</v>
      </c>
      <c r="K447" s="1236">
        <v>2060000</v>
      </c>
      <c r="L447" s="221" t="s">
        <v>1113</v>
      </c>
      <c r="M447" s="221"/>
      <c r="N447" s="221"/>
      <c r="O447" s="221"/>
      <c r="P447" s="221"/>
      <c r="Q447" s="221"/>
      <c r="R447" s="221"/>
      <c r="S447" s="221" t="s">
        <v>1114</v>
      </c>
      <c r="T447" s="221"/>
      <c r="U447" s="221"/>
      <c r="V447" s="221" t="s">
        <v>52</v>
      </c>
      <c r="W447" s="221"/>
      <c r="X447" s="221"/>
      <c r="AA447" s="1236">
        <v>2060000</v>
      </c>
    </row>
    <row r="448" spans="1:29" s="1237" customFormat="1" ht="24.95" customHeight="1">
      <c r="A448" s="1234">
        <v>31</v>
      </c>
      <c r="B448" s="1234"/>
      <c r="C448" s="221"/>
      <c r="D448" s="221"/>
      <c r="E448" s="221"/>
      <c r="F448" s="221"/>
      <c r="G448" s="221"/>
      <c r="H448" s="221" t="s">
        <v>52</v>
      </c>
      <c r="I448" s="221"/>
      <c r="J448" s="1235" t="s">
        <v>1135</v>
      </c>
      <c r="K448" s="1236">
        <v>784000</v>
      </c>
      <c r="L448" s="221" t="s">
        <v>1113</v>
      </c>
      <c r="M448" s="221"/>
      <c r="N448" s="221"/>
      <c r="O448" s="221"/>
      <c r="P448" s="221"/>
      <c r="Q448" s="221"/>
      <c r="R448" s="221"/>
      <c r="S448" s="221" t="s">
        <v>1114</v>
      </c>
      <c r="T448" s="221"/>
      <c r="U448" s="221" t="s">
        <v>52</v>
      </c>
      <c r="V448" s="221"/>
      <c r="W448" s="221"/>
      <c r="X448" s="221"/>
      <c r="Z448" s="1236">
        <v>784000</v>
      </c>
    </row>
    <row r="449" spans="1:30" s="1237" customFormat="1" ht="24.95" customHeight="1">
      <c r="A449" s="1234">
        <v>32</v>
      </c>
      <c r="B449" s="1234"/>
      <c r="C449" s="221"/>
      <c r="D449" s="221"/>
      <c r="E449" s="221"/>
      <c r="F449" s="221"/>
      <c r="G449" s="221"/>
      <c r="H449" s="221" t="s">
        <v>52</v>
      </c>
      <c r="I449" s="221"/>
      <c r="J449" s="1235" t="s">
        <v>1136</v>
      </c>
      <c r="K449" s="1236">
        <v>1294000</v>
      </c>
      <c r="L449" s="221" t="s">
        <v>1113</v>
      </c>
      <c r="M449" s="221"/>
      <c r="N449" s="221"/>
      <c r="O449" s="221"/>
      <c r="P449" s="221"/>
      <c r="Q449" s="221"/>
      <c r="R449" s="221"/>
      <c r="S449" s="221" t="s">
        <v>1114</v>
      </c>
      <c r="T449" s="221"/>
      <c r="U449" s="221"/>
      <c r="V449" s="221" t="s">
        <v>52</v>
      </c>
      <c r="W449" s="221" t="s">
        <v>52</v>
      </c>
      <c r="X449" s="221"/>
      <c r="AA449" s="1236">
        <v>1294000</v>
      </c>
      <c r="AB449" s="1236">
        <v>1294000</v>
      </c>
    </row>
    <row r="450" spans="1:30" s="1237" customFormat="1" ht="24.95" customHeight="1">
      <c r="A450" s="1234">
        <v>33</v>
      </c>
      <c r="B450" s="1234"/>
      <c r="C450" s="221"/>
      <c r="D450" s="221"/>
      <c r="E450" s="221"/>
      <c r="F450" s="221" t="s">
        <v>52</v>
      </c>
      <c r="G450" s="221"/>
      <c r="H450" s="221"/>
      <c r="I450" s="221"/>
      <c r="J450" s="1235" t="s">
        <v>1137</v>
      </c>
      <c r="K450" s="1236">
        <v>1000000</v>
      </c>
      <c r="L450" s="221" t="s">
        <v>1116</v>
      </c>
      <c r="M450" s="221" t="s">
        <v>52</v>
      </c>
      <c r="N450" s="221"/>
      <c r="O450" s="221"/>
      <c r="P450" s="221"/>
      <c r="Q450" s="221"/>
      <c r="R450" s="221"/>
      <c r="S450" s="221" t="s">
        <v>1114</v>
      </c>
      <c r="T450" s="221"/>
      <c r="U450" s="221"/>
      <c r="V450" s="221" t="s">
        <v>52</v>
      </c>
      <c r="W450" s="221"/>
      <c r="X450" s="221"/>
      <c r="AA450" s="1236">
        <v>1000000</v>
      </c>
    </row>
    <row r="451" spans="1:30" s="1237" customFormat="1" ht="24.95" customHeight="1">
      <c r="A451" s="1234">
        <v>34</v>
      </c>
      <c r="B451" s="1234"/>
      <c r="C451" s="221"/>
      <c r="D451" s="221"/>
      <c r="E451" s="221"/>
      <c r="F451" s="221"/>
      <c r="G451" s="221"/>
      <c r="H451" s="221"/>
      <c r="I451" s="221"/>
      <c r="J451" s="1235" t="s">
        <v>1138</v>
      </c>
      <c r="K451" s="1236">
        <v>2000000</v>
      </c>
      <c r="L451" s="221" t="s">
        <v>1118</v>
      </c>
      <c r="M451" s="221"/>
      <c r="N451" s="221"/>
      <c r="O451" s="221"/>
      <c r="P451" s="221"/>
      <c r="Q451" s="221" t="s">
        <v>52</v>
      </c>
      <c r="R451" s="221"/>
      <c r="S451" s="221" t="s">
        <v>1114</v>
      </c>
      <c r="T451" s="221"/>
      <c r="U451" s="221"/>
      <c r="V451" s="221" t="s">
        <v>52</v>
      </c>
      <c r="W451" s="221"/>
      <c r="X451" s="221"/>
      <c r="AA451" s="1236">
        <v>2000000</v>
      </c>
    </row>
    <row r="452" spans="1:30" s="1237" customFormat="1" ht="24.95" customHeight="1">
      <c r="A452" s="1234">
        <v>35</v>
      </c>
      <c r="B452" s="1234"/>
      <c r="C452" s="221"/>
      <c r="D452" s="221"/>
      <c r="E452" s="221"/>
      <c r="F452" s="221"/>
      <c r="G452" s="221"/>
      <c r="H452" s="221" t="s">
        <v>52</v>
      </c>
      <c r="I452" s="221"/>
      <c r="J452" s="1235" t="s">
        <v>1139</v>
      </c>
      <c r="K452" s="1236">
        <v>1930000</v>
      </c>
      <c r="L452" s="221" t="s">
        <v>1116</v>
      </c>
      <c r="M452" s="221" t="s">
        <v>52</v>
      </c>
      <c r="N452" s="221"/>
      <c r="O452" s="221"/>
      <c r="P452" s="221"/>
      <c r="Q452" s="221"/>
      <c r="R452" s="221"/>
      <c r="S452" s="221" t="s">
        <v>1114</v>
      </c>
      <c r="T452" s="221"/>
      <c r="U452" s="221"/>
      <c r="V452" s="221" t="s">
        <v>52</v>
      </c>
      <c r="W452" s="221"/>
      <c r="X452" s="221"/>
      <c r="AA452" s="1236">
        <v>1930000</v>
      </c>
    </row>
    <row r="453" spans="1:30" s="1237" customFormat="1" ht="24.95" customHeight="1">
      <c r="A453" s="1234">
        <v>36</v>
      </c>
      <c r="B453" s="1234"/>
      <c r="C453" s="221"/>
      <c r="D453" s="221"/>
      <c r="E453" s="221"/>
      <c r="F453" s="221"/>
      <c r="G453" s="221"/>
      <c r="H453" s="221"/>
      <c r="I453" s="221"/>
      <c r="J453" s="1235" t="s">
        <v>1140</v>
      </c>
      <c r="K453" s="1236">
        <v>380000</v>
      </c>
      <c r="L453" s="221" t="s">
        <v>1118</v>
      </c>
      <c r="M453" s="221"/>
      <c r="N453" s="221"/>
      <c r="O453" s="221"/>
      <c r="P453" s="221"/>
      <c r="Q453" s="221" t="s">
        <v>52</v>
      </c>
      <c r="R453" s="221"/>
      <c r="S453" s="221" t="s">
        <v>1114</v>
      </c>
      <c r="T453" s="221"/>
      <c r="U453" s="221"/>
      <c r="V453" s="221" t="s">
        <v>52</v>
      </c>
      <c r="W453" s="221"/>
      <c r="X453" s="221"/>
      <c r="AA453" s="1236">
        <v>380000</v>
      </c>
    </row>
    <row r="454" spans="1:30" s="1237" customFormat="1" ht="24.95" customHeight="1">
      <c r="A454" s="1234">
        <v>37</v>
      </c>
      <c r="B454" s="1234"/>
      <c r="C454" s="221"/>
      <c r="D454" s="221"/>
      <c r="E454" s="221"/>
      <c r="F454" s="221" t="s">
        <v>52</v>
      </c>
      <c r="G454" s="221"/>
      <c r="H454" s="221"/>
      <c r="I454" s="221"/>
      <c r="J454" s="1235" t="s">
        <v>1141</v>
      </c>
      <c r="K454" s="1236">
        <v>9630000</v>
      </c>
      <c r="L454" s="221" t="s">
        <v>1116</v>
      </c>
      <c r="M454" s="221" t="s">
        <v>52</v>
      </c>
      <c r="N454" s="221"/>
      <c r="O454" s="221"/>
      <c r="P454" s="221"/>
      <c r="Q454" s="221"/>
      <c r="R454" s="221"/>
      <c r="S454" s="221" t="s">
        <v>1114</v>
      </c>
      <c r="T454" s="221"/>
      <c r="U454" s="221"/>
      <c r="V454" s="221"/>
      <c r="W454" s="221" t="s">
        <v>52</v>
      </c>
      <c r="X454" s="221"/>
      <c r="AB454" s="1236">
        <v>9630000</v>
      </c>
    </row>
    <row r="455" spans="1:30" s="1237" customFormat="1" ht="24.95" customHeight="1">
      <c r="A455" s="1234">
        <v>38</v>
      </c>
      <c r="B455" s="1234"/>
      <c r="C455" s="221"/>
      <c r="D455" s="221"/>
      <c r="E455" s="221"/>
      <c r="F455" s="221" t="s">
        <v>52</v>
      </c>
      <c r="G455" s="221"/>
      <c r="H455" s="221"/>
      <c r="I455" s="221"/>
      <c r="J455" s="1235" t="s">
        <v>234</v>
      </c>
      <c r="K455" s="1236">
        <v>4200000</v>
      </c>
      <c r="L455" s="221" t="s">
        <v>1116</v>
      </c>
      <c r="M455" s="221" t="s">
        <v>52</v>
      </c>
      <c r="N455" s="221"/>
      <c r="O455" s="221"/>
      <c r="P455" s="221"/>
      <c r="Q455" s="221"/>
      <c r="R455" s="221"/>
      <c r="S455" s="221" t="s">
        <v>1114</v>
      </c>
      <c r="T455" s="221"/>
      <c r="U455" s="221"/>
      <c r="V455" s="221"/>
      <c r="W455" s="221" t="s">
        <v>52</v>
      </c>
      <c r="X455" s="221" t="s">
        <v>52</v>
      </c>
      <c r="AB455" s="1236">
        <v>4200000</v>
      </c>
      <c r="AC455" s="1236">
        <v>4200000</v>
      </c>
    </row>
    <row r="456" spans="1:30" s="1237" customFormat="1" ht="24.95" customHeight="1">
      <c r="A456" s="1234">
        <v>39</v>
      </c>
      <c r="B456" s="1234"/>
      <c r="C456" s="221"/>
      <c r="D456" s="221"/>
      <c r="E456" s="221"/>
      <c r="F456" s="221" t="s">
        <v>52</v>
      </c>
      <c r="G456" s="221"/>
      <c r="H456" s="221"/>
      <c r="I456" s="221"/>
      <c r="J456" s="1235" t="s">
        <v>1142</v>
      </c>
      <c r="K456" s="1236">
        <v>5150000</v>
      </c>
      <c r="L456" s="221" t="s">
        <v>1116</v>
      </c>
      <c r="M456" s="221" t="s">
        <v>52</v>
      </c>
      <c r="N456" s="221"/>
      <c r="O456" s="221"/>
      <c r="P456" s="221"/>
      <c r="Q456" s="221"/>
      <c r="R456" s="221"/>
      <c r="S456" s="221" t="s">
        <v>1114</v>
      </c>
      <c r="T456" s="221"/>
      <c r="U456" s="221"/>
      <c r="V456" s="221"/>
      <c r="W456" s="221"/>
      <c r="X456" s="221" t="s">
        <v>52</v>
      </c>
      <c r="AC456" s="1236">
        <v>4200000</v>
      </c>
    </row>
    <row r="457" spans="1:30" s="1237" customFormat="1" ht="24.95" customHeight="1">
      <c r="A457" s="1246">
        <v>40</v>
      </c>
      <c r="B457" s="1246"/>
      <c r="C457" s="1247"/>
      <c r="D457" s="1247"/>
      <c r="E457" s="1247" t="s">
        <v>52</v>
      </c>
      <c r="F457" s="1247"/>
      <c r="G457" s="1247"/>
      <c r="H457" s="1247"/>
      <c r="I457" s="1247"/>
      <c r="J457" s="1248" t="s">
        <v>1143</v>
      </c>
      <c r="K457" s="1249">
        <v>2350000</v>
      </c>
      <c r="L457" s="1247" t="s">
        <v>1113</v>
      </c>
      <c r="M457" s="1247"/>
      <c r="N457" s="1247"/>
      <c r="O457" s="1247"/>
      <c r="P457" s="1247"/>
      <c r="Q457" s="1247"/>
      <c r="R457" s="1247"/>
      <c r="S457" s="1247" t="s">
        <v>1114</v>
      </c>
      <c r="T457" s="1249"/>
      <c r="U457" s="1249"/>
      <c r="V457" s="1247"/>
      <c r="W457" s="1247" t="s">
        <v>52</v>
      </c>
      <c r="X457" s="1247"/>
      <c r="AB457" s="1249">
        <v>2350000</v>
      </c>
    </row>
    <row r="458" spans="1:30" s="1237" customFormat="1" ht="24.95" customHeight="1">
      <c r="A458" s="1246">
        <v>41</v>
      </c>
      <c r="B458" s="1246"/>
      <c r="C458" s="1247"/>
      <c r="D458" s="1247"/>
      <c r="E458" s="1247"/>
      <c r="F458" s="1247"/>
      <c r="G458" s="1247"/>
      <c r="H458" s="1247"/>
      <c r="I458" s="1247"/>
      <c r="J458" s="1250" t="s">
        <v>1144</v>
      </c>
      <c r="K458" s="1251">
        <v>1000000</v>
      </c>
      <c r="L458" s="221" t="s">
        <v>1145</v>
      </c>
      <c r="M458" s="1252"/>
      <c r="N458" s="221"/>
      <c r="O458" s="221"/>
      <c r="P458" s="221" t="s">
        <v>52</v>
      </c>
      <c r="Q458" s="221"/>
      <c r="R458" s="1253"/>
      <c r="S458" s="221" t="s">
        <v>1114</v>
      </c>
      <c r="T458" s="221" t="s">
        <v>52</v>
      </c>
      <c r="U458" s="1236"/>
      <c r="V458" s="221"/>
      <c r="W458" s="221"/>
      <c r="X458" s="221"/>
      <c r="Y458" s="1251">
        <v>1000000</v>
      </c>
    </row>
    <row r="459" spans="1:30" s="1237" customFormat="1" ht="24.95" customHeight="1">
      <c r="A459" s="1234">
        <v>42</v>
      </c>
      <c r="B459" s="1234"/>
      <c r="C459" s="1247" t="s">
        <v>52</v>
      </c>
      <c r="D459" s="221"/>
      <c r="E459" s="221"/>
      <c r="F459" s="221"/>
      <c r="G459" s="221"/>
      <c r="H459" s="221"/>
      <c r="I459" s="221"/>
      <c r="J459" s="1250" t="s">
        <v>1144</v>
      </c>
      <c r="K459" s="1251">
        <v>1000000</v>
      </c>
      <c r="L459" s="221" t="s">
        <v>1146</v>
      </c>
      <c r="M459" s="1252"/>
      <c r="N459" s="221"/>
      <c r="O459" s="221"/>
      <c r="P459" s="221" t="s">
        <v>52</v>
      </c>
      <c r="Q459" s="221"/>
      <c r="R459" s="1253"/>
      <c r="S459" s="221" t="s">
        <v>1114</v>
      </c>
      <c r="T459" s="221" t="s">
        <v>52</v>
      </c>
      <c r="U459" s="1236"/>
      <c r="V459" s="221"/>
      <c r="W459" s="221"/>
      <c r="X459" s="221"/>
      <c r="Y459" s="1251">
        <v>1000000</v>
      </c>
    </row>
    <row r="460" spans="1:30" s="1237" customFormat="1" ht="24.95" customHeight="1">
      <c r="A460" s="1234">
        <v>43</v>
      </c>
      <c r="B460" s="1254"/>
      <c r="C460" s="1247" t="s">
        <v>52</v>
      </c>
      <c r="D460" s="1255"/>
      <c r="E460" s="1255"/>
      <c r="F460" s="1255"/>
      <c r="G460" s="1255"/>
      <c r="H460" s="1255"/>
      <c r="I460" s="1255"/>
      <c r="J460" s="1256" t="s">
        <v>1147</v>
      </c>
      <c r="K460" s="1257">
        <v>1000000</v>
      </c>
      <c r="L460" s="221" t="s">
        <v>1148</v>
      </c>
      <c r="M460" s="1255"/>
      <c r="N460" s="1255"/>
      <c r="O460" s="1255"/>
      <c r="P460" s="1255" t="s">
        <v>52</v>
      </c>
      <c r="Q460" s="1255"/>
      <c r="R460" s="1258"/>
      <c r="S460" s="221" t="s">
        <v>1114</v>
      </c>
      <c r="T460" s="221"/>
      <c r="U460" s="1236" t="s">
        <v>52</v>
      </c>
      <c r="V460" s="221"/>
      <c r="W460" s="221"/>
      <c r="X460" s="221"/>
      <c r="Z460" s="1257">
        <v>1000000</v>
      </c>
    </row>
    <row r="461" spans="1:30" s="1237" customFormat="1" ht="24.95" customHeight="1">
      <c r="A461" s="1234">
        <v>44</v>
      </c>
      <c r="B461" s="1234"/>
      <c r="C461" s="1247" t="s">
        <v>52</v>
      </c>
      <c r="D461" s="221"/>
      <c r="E461" s="221"/>
      <c r="F461" s="221"/>
      <c r="G461" s="221"/>
      <c r="H461" s="221"/>
      <c r="I461" s="221"/>
      <c r="J461" s="1235" t="s">
        <v>1147</v>
      </c>
      <c r="K461" s="1251">
        <v>1000000</v>
      </c>
      <c r="L461" s="221" t="s">
        <v>1149</v>
      </c>
      <c r="M461" s="221"/>
      <c r="N461" s="221"/>
      <c r="O461" s="221"/>
      <c r="P461" s="221" t="s">
        <v>52</v>
      </c>
      <c r="Q461" s="221"/>
      <c r="R461" s="1253"/>
      <c r="S461" s="221" t="s">
        <v>1114</v>
      </c>
      <c r="T461" s="221"/>
      <c r="U461" s="1236"/>
      <c r="V461" s="221" t="s">
        <v>52</v>
      </c>
      <c r="W461" s="221"/>
      <c r="X461" s="221"/>
      <c r="AA461" s="1257">
        <v>1000000</v>
      </c>
    </row>
    <row r="462" spans="1:30" s="1237" customFormat="1" ht="24.95" customHeight="1">
      <c r="A462" s="1234">
        <v>45</v>
      </c>
      <c r="B462" s="1234"/>
      <c r="C462" s="1247" t="s">
        <v>52</v>
      </c>
      <c r="D462" s="221"/>
      <c r="E462" s="221"/>
      <c r="F462" s="221"/>
      <c r="G462" s="221"/>
      <c r="H462" s="221"/>
      <c r="I462" s="221"/>
      <c r="J462" s="1235" t="s">
        <v>1147</v>
      </c>
      <c r="K462" s="1251">
        <v>1000000</v>
      </c>
      <c r="L462" s="221" t="s">
        <v>1150</v>
      </c>
      <c r="M462" s="221"/>
      <c r="N462" s="221"/>
      <c r="O462" s="221"/>
      <c r="P462" s="221" t="s">
        <v>52</v>
      </c>
      <c r="Q462" s="221"/>
      <c r="R462" s="1253"/>
      <c r="S462" s="221" t="s">
        <v>1114</v>
      </c>
      <c r="T462" s="1236"/>
      <c r="U462" s="1236"/>
      <c r="V462" s="221"/>
      <c r="W462" s="221" t="s">
        <v>52</v>
      </c>
      <c r="X462" s="221"/>
      <c r="AB462" s="1257">
        <v>1000000</v>
      </c>
    </row>
    <row r="463" spans="1:30" s="1237" customFormat="1" ht="24.95" customHeight="1">
      <c r="A463" s="1234">
        <v>46</v>
      </c>
      <c r="B463" s="1259"/>
      <c r="C463" s="221" t="s">
        <v>52</v>
      </c>
      <c r="D463" s="1252"/>
      <c r="E463" s="221"/>
      <c r="F463" s="221"/>
      <c r="G463" s="221"/>
      <c r="H463" s="221"/>
      <c r="I463" s="221"/>
      <c r="J463" s="1235" t="s">
        <v>1147</v>
      </c>
      <c r="K463" s="1251">
        <v>1000000</v>
      </c>
      <c r="L463" s="221" t="s">
        <v>1151</v>
      </c>
      <c r="M463" s="221"/>
      <c r="N463" s="221"/>
      <c r="O463" s="221"/>
      <c r="P463" s="221" t="s">
        <v>52</v>
      </c>
      <c r="Q463" s="221"/>
      <c r="R463" s="1253"/>
      <c r="S463" s="221" t="s">
        <v>1114</v>
      </c>
      <c r="T463" s="1236"/>
      <c r="U463" s="1236"/>
      <c r="V463" s="221"/>
      <c r="W463" s="221"/>
      <c r="X463" s="221" t="s">
        <v>52</v>
      </c>
      <c r="AC463" s="1257">
        <v>1000000</v>
      </c>
    </row>
    <row r="464" spans="1:30" s="1237" customFormat="1" ht="24.95" customHeight="1">
      <c r="A464" s="1246"/>
      <c r="B464" s="1260"/>
      <c r="C464" s="1247"/>
      <c r="D464" s="1261"/>
      <c r="E464" s="1247"/>
      <c r="F464" s="1247"/>
      <c r="G464" s="1247"/>
      <c r="H464" s="1247"/>
      <c r="I464" s="1247"/>
      <c r="J464" s="1248"/>
      <c r="K464" s="1264">
        <v>103669000</v>
      </c>
      <c r="L464" s="1247"/>
      <c r="M464" s="1247"/>
      <c r="N464" s="1247"/>
      <c r="O464" s="1247"/>
      <c r="P464" s="1247"/>
      <c r="Q464" s="1247"/>
      <c r="R464" s="1262"/>
      <c r="S464" s="1247"/>
      <c r="T464" s="1249"/>
      <c r="U464" s="1249"/>
      <c r="V464" s="1247"/>
      <c r="W464" s="1247"/>
      <c r="X464" s="1247"/>
      <c r="Y464" s="1245">
        <f>SUM(Y418:Y463)</f>
        <v>24622000</v>
      </c>
      <c r="Z464" s="1237">
        <f>SUM(Z418:Z463)</f>
        <v>24709000</v>
      </c>
      <c r="AA464" s="1237">
        <f>SUM(AA418:AA463)</f>
        <v>16544000</v>
      </c>
      <c r="AB464" s="1237">
        <f>SUM(AB418:AB463)</f>
        <v>23064000</v>
      </c>
      <c r="AC464" s="1263">
        <f>SUM(AC418:AC463)</f>
        <v>14730000</v>
      </c>
      <c r="AD464" s="1245">
        <f>SUM(Y464:AC464)</f>
        <v>103669000</v>
      </c>
    </row>
    <row r="465" spans="1:25" s="71" customFormat="1" ht="23.25" customHeight="1">
      <c r="A465" s="67">
        <v>1</v>
      </c>
      <c r="B465" s="68"/>
      <c r="C465" s="54"/>
      <c r="D465" s="54"/>
      <c r="E465" s="54"/>
      <c r="F465" s="54"/>
      <c r="G465" s="54" t="s">
        <v>52</v>
      </c>
      <c r="H465" s="54"/>
      <c r="I465" s="54"/>
      <c r="J465" s="69" t="s">
        <v>53</v>
      </c>
      <c r="K465" s="70">
        <v>2000000</v>
      </c>
      <c r="L465" s="54" t="s">
        <v>54</v>
      </c>
      <c r="M465" s="54"/>
      <c r="N465" s="54"/>
      <c r="O465" s="54" t="s">
        <v>52</v>
      </c>
      <c r="P465" s="54"/>
      <c r="Q465" s="54"/>
      <c r="R465" s="54"/>
      <c r="S465" s="54" t="s">
        <v>21</v>
      </c>
      <c r="T465" s="54" t="s">
        <v>52</v>
      </c>
      <c r="U465" s="54"/>
      <c r="V465" s="54"/>
      <c r="W465" s="54"/>
      <c r="X465" s="54"/>
    </row>
    <row r="466" spans="1:25" s="71" customFormat="1" ht="23.25" customHeight="1">
      <c r="A466" s="72">
        <v>2</v>
      </c>
      <c r="B466" s="73"/>
      <c r="C466" s="55"/>
      <c r="D466" s="55"/>
      <c r="E466" s="55"/>
      <c r="F466" s="55"/>
      <c r="G466" s="55" t="s">
        <v>52</v>
      </c>
      <c r="H466" s="55"/>
      <c r="I466" s="55"/>
      <c r="J466" s="74" t="s">
        <v>55</v>
      </c>
      <c r="K466" s="75">
        <v>1400000</v>
      </c>
      <c r="L466" s="55" t="s">
        <v>54</v>
      </c>
      <c r="M466" s="55"/>
      <c r="N466" s="55"/>
      <c r="O466" s="55" t="s">
        <v>52</v>
      </c>
      <c r="P466" s="55"/>
      <c r="Q466" s="55"/>
      <c r="R466" s="55"/>
      <c r="S466" s="55" t="s">
        <v>21</v>
      </c>
      <c r="T466" s="55" t="s">
        <v>52</v>
      </c>
      <c r="U466" s="55"/>
      <c r="V466" s="55"/>
      <c r="W466" s="55"/>
      <c r="X466" s="55"/>
    </row>
    <row r="467" spans="1:25" s="71" customFormat="1" ht="23.25" customHeight="1">
      <c r="A467" s="67">
        <v>3</v>
      </c>
      <c r="B467" s="73"/>
      <c r="C467" s="55"/>
      <c r="D467" s="55"/>
      <c r="E467" s="55"/>
      <c r="F467" s="55"/>
      <c r="G467" s="55"/>
      <c r="H467" s="55"/>
      <c r="I467" s="55"/>
      <c r="J467" s="76" t="s">
        <v>56</v>
      </c>
      <c r="K467" s="77">
        <v>1294000</v>
      </c>
      <c r="L467" s="55" t="s">
        <v>57</v>
      </c>
      <c r="M467" s="55"/>
      <c r="N467" s="55"/>
      <c r="O467" s="55"/>
      <c r="P467" s="55"/>
      <c r="Q467" s="55" t="s">
        <v>52</v>
      </c>
      <c r="R467" s="55"/>
      <c r="S467" s="55" t="s">
        <v>21</v>
      </c>
      <c r="T467" s="55" t="s">
        <v>52</v>
      </c>
      <c r="U467" s="55"/>
      <c r="V467" s="55"/>
      <c r="W467" s="55"/>
      <c r="X467" s="55"/>
    </row>
    <row r="468" spans="1:25" s="71" customFormat="1" ht="23.25" customHeight="1">
      <c r="A468" s="67">
        <v>4</v>
      </c>
      <c r="B468" s="73"/>
      <c r="C468" s="55"/>
      <c r="D468" s="55"/>
      <c r="E468" s="55"/>
      <c r="F468" s="55"/>
      <c r="G468" s="55"/>
      <c r="H468" s="55"/>
      <c r="I468" s="55"/>
      <c r="J468" s="76" t="s">
        <v>58</v>
      </c>
      <c r="K468" s="77">
        <v>787000</v>
      </c>
      <c r="L468" s="78" t="s">
        <v>59</v>
      </c>
      <c r="M468" s="55"/>
      <c r="N468" s="55"/>
      <c r="O468" s="55"/>
      <c r="P468" s="55"/>
      <c r="Q468" s="55"/>
      <c r="R468" s="55" t="s">
        <v>52</v>
      </c>
      <c r="S468" s="55" t="s">
        <v>21</v>
      </c>
      <c r="T468" s="55" t="s">
        <v>52</v>
      </c>
      <c r="U468" s="55"/>
      <c r="V468" s="55"/>
      <c r="W468" s="55"/>
      <c r="X468" s="55"/>
    </row>
    <row r="469" spans="1:25" s="71" customFormat="1" ht="56.25">
      <c r="A469" s="72">
        <v>5</v>
      </c>
      <c r="B469" s="79"/>
      <c r="C469" s="80"/>
      <c r="D469" s="80"/>
      <c r="E469" s="80"/>
      <c r="F469" s="80"/>
      <c r="G469" s="80"/>
      <c r="H469" s="80" t="s">
        <v>52</v>
      </c>
      <c r="I469" s="80"/>
      <c r="J469" s="76" t="s">
        <v>60</v>
      </c>
      <c r="K469" s="81">
        <v>1574000</v>
      </c>
      <c r="L469" s="80" t="s">
        <v>61</v>
      </c>
      <c r="M469" s="80"/>
      <c r="N469" s="80"/>
      <c r="O469" s="80"/>
      <c r="P469" s="80"/>
      <c r="Q469" s="80" t="s">
        <v>52</v>
      </c>
      <c r="R469" s="80"/>
      <c r="S469" s="80"/>
      <c r="T469" s="82" t="s">
        <v>52</v>
      </c>
      <c r="U469" s="80"/>
      <c r="V469" s="82" t="s">
        <v>52</v>
      </c>
      <c r="W469" s="80"/>
      <c r="X469" s="80"/>
      <c r="Y469" s="71">
        <v>1</v>
      </c>
    </row>
    <row r="470" spans="1:25" s="71" customFormat="1" ht="27" customHeight="1">
      <c r="A470" s="67">
        <v>6</v>
      </c>
      <c r="B470" s="83"/>
      <c r="C470" s="84"/>
      <c r="D470" s="80"/>
      <c r="E470" s="80"/>
      <c r="F470" s="80" t="s">
        <v>52</v>
      </c>
      <c r="G470" s="80"/>
      <c r="H470" s="80"/>
      <c r="I470" s="80"/>
      <c r="J470" s="85" t="s">
        <v>62</v>
      </c>
      <c r="K470" s="86">
        <v>1200000</v>
      </c>
      <c r="L470" s="82" t="s">
        <v>61</v>
      </c>
      <c r="M470" s="87"/>
      <c r="N470" s="87"/>
      <c r="O470" s="87"/>
      <c r="P470" s="87"/>
      <c r="Q470" s="82" t="s">
        <v>52</v>
      </c>
      <c r="R470" s="87"/>
      <c r="S470" s="87"/>
      <c r="T470" s="82" t="s">
        <v>52</v>
      </c>
      <c r="U470" s="87"/>
      <c r="V470" s="87"/>
      <c r="W470" s="82" t="s">
        <v>52</v>
      </c>
      <c r="X470" s="87"/>
      <c r="Y470" s="71">
        <v>2</v>
      </c>
    </row>
    <row r="471" spans="1:25" s="71" customFormat="1" ht="30" customHeight="1">
      <c r="A471" s="67">
        <v>7</v>
      </c>
      <c r="B471" s="83"/>
      <c r="C471" s="84"/>
      <c r="D471" s="80"/>
      <c r="E471" s="80"/>
      <c r="F471" s="80" t="s">
        <v>52</v>
      </c>
      <c r="G471" s="80"/>
      <c r="H471" s="80"/>
      <c r="I471" s="80"/>
      <c r="J471" s="84" t="s">
        <v>63</v>
      </c>
      <c r="K471" s="86">
        <v>260000</v>
      </c>
      <c r="L471" s="80" t="s">
        <v>61</v>
      </c>
      <c r="M471" s="84"/>
      <c r="N471" s="84"/>
      <c r="O471" s="84"/>
      <c r="P471" s="84"/>
      <c r="Q471" s="80" t="s">
        <v>52</v>
      </c>
      <c r="R471" s="84"/>
      <c r="S471" s="84"/>
      <c r="T471" s="84"/>
      <c r="U471" s="80" t="s">
        <v>52</v>
      </c>
      <c r="V471" s="80" t="s">
        <v>52</v>
      </c>
      <c r="W471" s="84"/>
      <c r="X471" s="84"/>
      <c r="Y471" s="71">
        <v>3</v>
      </c>
    </row>
    <row r="472" spans="1:25" s="71" customFormat="1" ht="66.75" customHeight="1">
      <c r="A472" s="72">
        <v>8</v>
      </c>
      <c r="B472" s="83"/>
      <c r="C472" s="84"/>
      <c r="D472" s="80"/>
      <c r="E472" s="80"/>
      <c r="F472" s="80" t="s">
        <v>52</v>
      </c>
      <c r="G472" s="80"/>
      <c r="H472" s="80"/>
      <c r="I472" s="80"/>
      <c r="J472" s="88" t="s">
        <v>64</v>
      </c>
      <c r="K472" s="86">
        <v>1300000</v>
      </c>
      <c r="L472" s="80" t="s">
        <v>61</v>
      </c>
      <c r="M472" s="84"/>
      <c r="N472" s="84"/>
      <c r="O472" s="84"/>
      <c r="P472" s="84"/>
      <c r="Q472" s="80" t="s">
        <v>52</v>
      </c>
      <c r="R472" s="84"/>
      <c r="S472" s="84"/>
      <c r="T472" s="84"/>
      <c r="U472" s="84"/>
      <c r="V472" s="84"/>
      <c r="W472" s="84"/>
      <c r="X472" s="80" t="s">
        <v>52</v>
      </c>
      <c r="Y472" s="71">
        <v>4</v>
      </c>
    </row>
    <row r="473" spans="1:25" s="71" customFormat="1" ht="46.5" customHeight="1">
      <c r="A473" s="67">
        <v>9</v>
      </c>
      <c r="B473" s="83"/>
      <c r="C473" s="84"/>
      <c r="D473" s="80"/>
      <c r="E473" s="80"/>
      <c r="F473" s="80" t="s">
        <v>52</v>
      </c>
      <c r="G473" s="80"/>
      <c r="H473" s="80"/>
      <c r="I473" s="80"/>
      <c r="J473" s="88" t="s">
        <v>65</v>
      </c>
      <c r="K473" s="86">
        <v>1750000</v>
      </c>
      <c r="L473" s="80" t="s">
        <v>61</v>
      </c>
      <c r="M473" s="84"/>
      <c r="N473" s="84"/>
      <c r="O473" s="84"/>
      <c r="P473" s="84"/>
      <c r="Q473" s="80" t="s">
        <v>52</v>
      </c>
      <c r="R473" s="84"/>
      <c r="S473" s="84"/>
      <c r="T473" s="84"/>
      <c r="U473" s="80" t="s">
        <v>52</v>
      </c>
      <c r="V473" s="84"/>
      <c r="W473" s="84"/>
      <c r="X473" s="84"/>
      <c r="Y473" s="71">
        <v>5</v>
      </c>
    </row>
    <row r="474" spans="1:25" s="71" customFormat="1" ht="77.25" customHeight="1">
      <c r="A474" s="67">
        <v>10</v>
      </c>
      <c r="B474" s="89" t="s">
        <v>52</v>
      </c>
      <c r="C474" s="84"/>
      <c r="D474" s="80"/>
      <c r="E474" s="80"/>
      <c r="F474" s="80"/>
      <c r="G474" s="80"/>
      <c r="H474" s="80"/>
      <c r="I474" s="80"/>
      <c r="J474" s="88" t="s">
        <v>66</v>
      </c>
      <c r="K474" s="86">
        <v>480000</v>
      </c>
      <c r="L474" s="80" t="s">
        <v>61</v>
      </c>
      <c r="M474" s="84"/>
      <c r="N474" s="84"/>
      <c r="O474" s="84"/>
      <c r="P474" s="84"/>
      <c r="Q474" s="80" t="s">
        <v>52</v>
      </c>
      <c r="R474" s="84"/>
      <c r="S474" s="84"/>
      <c r="T474" s="84"/>
      <c r="U474" s="84"/>
      <c r="V474" s="84"/>
      <c r="W474" s="80" t="s">
        <v>52</v>
      </c>
      <c r="X474" s="80" t="s">
        <v>52</v>
      </c>
      <c r="Y474" s="71">
        <v>6</v>
      </c>
    </row>
    <row r="475" spans="1:25" s="71" customFormat="1" ht="49.5" customHeight="1">
      <c r="A475" s="72">
        <v>11</v>
      </c>
      <c r="B475" s="83"/>
      <c r="C475" s="84"/>
      <c r="D475" s="80" t="s">
        <v>52</v>
      </c>
      <c r="E475" s="80"/>
      <c r="F475" s="80"/>
      <c r="G475" s="80"/>
      <c r="H475" s="80"/>
      <c r="I475" s="80"/>
      <c r="J475" s="88" t="s">
        <v>67</v>
      </c>
      <c r="K475" s="86">
        <v>2000000</v>
      </c>
      <c r="L475" s="80" t="s">
        <v>61</v>
      </c>
      <c r="M475" s="84"/>
      <c r="N475" s="84"/>
      <c r="O475" s="84"/>
      <c r="P475" s="84"/>
      <c r="Q475" s="80" t="s">
        <v>52</v>
      </c>
      <c r="R475" s="84"/>
      <c r="S475" s="84"/>
      <c r="T475" s="84"/>
      <c r="U475" s="84"/>
      <c r="V475" s="84" t="s">
        <v>52</v>
      </c>
      <c r="W475" s="84" t="s">
        <v>52</v>
      </c>
      <c r="X475" s="84" t="s">
        <v>52</v>
      </c>
      <c r="Y475" s="71">
        <v>7</v>
      </c>
    </row>
    <row r="476" spans="1:25" s="71" customFormat="1" ht="26.25" customHeight="1">
      <c r="A476" s="67">
        <v>12</v>
      </c>
      <c r="B476" s="90"/>
      <c r="C476" s="80"/>
      <c r="D476" s="80"/>
      <c r="E476" s="80"/>
      <c r="F476" s="80"/>
      <c r="G476" s="80"/>
      <c r="H476" s="80"/>
      <c r="I476" s="80"/>
      <c r="J476" s="76" t="s">
        <v>62</v>
      </c>
      <c r="K476" s="91">
        <v>1200000</v>
      </c>
      <c r="L476" s="80" t="s">
        <v>68</v>
      </c>
      <c r="M476" s="80"/>
      <c r="N476" s="80"/>
      <c r="O476" s="80"/>
      <c r="P476" s="80"/>
      <c r="Q476" s="80" t="s">
        <v>52</v>
      </c>
      <c r="R476" s="80"/>
      <c r="S476" s="80"/>
      <c r="T476" s="80" t="s">
        <v>52</v>
      </c>
      <c r="U476" s="80"/>
      <c r="V476" s="80"/>
      <c r="W476" s="80"/>
      <c r="X476" s="80"/>
    </row>
    <row r="477" spans="1:25" s="71" customFormat="1" ht="56.25">
      <c r="A477" s="67">
        <v>13</v>
      </c>
      <c r="B477" s="90"/>
      <c r="C477" s="80"/>
      <c r="D477" s="80"/>
      <c r="E477" s="80"/>
      <c r="F477" s="80"/>
      <c r="G477" s="80"/>
      <c r="H477" s="80" t="s">
        <v>52</v>
      </c>
      <c r="I477" s="80"/>
      <c r="J477" s="76" t="s">
        <v>60</v>
      </c>
      <c r="K477" s="92">
        <v>787000</v>
      </c>
      <c r="L477" s="80" t="s">
        <v>68</v>
      </c>
      <c r="M477" s="80"/>
      <c r="N477" s="80"/>
      <c r="O477" s="80"/>
      <c r="P477" s="80"/>
      <c r="Q477" s="80" t="s">
        <v>52</v>
      </c>
      <c r="R477" s="80"/>
      <c r="S477" s="80"/>
      <c r="T477" s="80" t="s">
        <v>52</v>
      </c>
      <c r="U477" s="80"/>
      <c r="V477" s="80"/>
      <c r="W477" s="80"/>
      <c r="X477" s="80"/>
    </row>
    <row r="478" spans="1:25" s="71" customFormat="1" ht="37.5">
      <c r="A478" s="72">
        <v>14</v>
      </c>
      <c r="B478" s="93"/>
      <c r="C478" s="61"/>
      <c r="D478" s="61"/>
      <c r="E478" s="61"/>
      <c r="F478" s="80" t="s">
        <v>52</v>
      </c>
      <c r="G478" s="61"/>
      <c r="H478" s="61"/>
      <c r="I478" s="61"/>
      <c r="J478" s="88" t="s">
        <v>69</v>
      </c>
      <c r="K478" s="94">
        <v>1750000</v>
      </c>
      <c r="L478" s="61" t="s">
        <v>70</v>
      </c>
      <c r="M478" s="61"/>
      <c r="N478" s="61"/>
      <c r="O478" s="61"/>
      <c r="P478" s="61"/>
      <c r="Q478" s="95" t="s">
        <v>52</v>
      </c>
      <c r="R478" s="61"/>
      <c r="S478" s="61" t="s">
        <v>21</v>
      </c>
      <c r="T478" s="96"/>
      <c r="U478" s="80" t="s">
        <v>52</v>
      </c>
      <c r="V478" s="96"/>
      <c r="W478" s="96"/>
      <c r="X478" s="96"/>
    </row>
    <row r="479" spans="1:25" s="71" customFormat="1" ht="37.5">
      <c r="A479" s="67">
        <v>15</v>
      </c>
      <c r="B479" s="93"/>
      <c r="C479" s="61"/>
      <c r="D479" s="80" t="s">
        <v>52</v>
      </c>
      <c r="E479" s="61"/>
      <c r="F479" s="97"/>
      <c r="G479" s="61"/>
      <c r="H479" s="61"/>
      <c r="I479" s="98"/>
      <c r="J479" s="88" t="s">
        <v>71</v>
      </c>
      <c r="K479" s="86">
        <v>500000</v>
      </c>
      <c r="L479" s="95" t="s">
        <v>70</v>
      </c>
      <c r="M479" s="95"/>
      <c r="N479" s="95"/>
      <c r="O479" s="95"/>
      <c r="P479" s="95"/>
      <c r="Q479" s="95" t="s">
        <v>52</v>
      </c>
      <c r="R479" s="95"/>
      <c r="S479" s="95" t="s">
        <v>21</v>
      </c>
      <c r="T479" s="99"/>
      <c r="U479" s="80" t="s">
        <v>52</v>
      </c>
      <c r="V479" s="100"/>
      <c r="W479" s="100"/>
      <c r="X479" s="100"/>
    </row>
    <row r="480" spans="1:25" s="71" customFormat="1" ht="75">
      <c r="A480" s="67">
        <v>16</v>
      </c>
      <c r="B480" s="101"/>
      <c r="C480" s="102"/>
      <c r="D480" s="102"/>
      <c r="E480" s="102"/>
      <c r="F480" s="102"/>
      <c r="G480" s="102"/>
      <c r="H480" s="102"/>
      <c r="I480" s="103" t="s">
        <v>52</v>
      </c>
      <c r="J480" s="104" t="s">
        <v>72</v>
      </c>
      <c r="K480" s="105">
        <v>102000</v>
      </c>
      <c r="L480" s="106" t="s">
        <v>70</v>
      </c>
      <c r="M480" s="106"/>
      <c r="N480" s="106"/>
      <c r="O480" s="106"/>
      <c r="P480" s="106"/>
      <c r="Q480" s="106" t="s">
        <v>52</v>
      </c>
      <c r="R480" s="106"/>
      <c r="S480" s="106" t="s">
        <v>21</v>
      </c>
      <c r="T480" s="103" t="s">
        <v>52</v>
      </c>
      <c r="U480" s="107"/>
      <c r="V480" s="107"/>
      <c r="W480" s="107"/>
      <c r="X480" s="107"/>
    </row>
    <row r="481" spans="1:25" s="71" customFormat="1">
      <c r="A481" s="72">
        <v>17</v>
      </c>
      <c r="B481" s="73"/>
      <c r="C481" s="55"/>
      <c r="D481" s="55"/>
      <c r="E481" s="55"/>
      <c r="F481" s="55"/>
      <c r="G481" s="55"/>
      <c r="H481" s="55" t="s">
        <v>52</v>
      </c>
      <c r="I481" s="55"/>
      <c r="J481" s="88" t="s">
        <v>73</v>
      </c>
      <c r="K481" s="94">
        <v>787000</v>
      </c>
      <c r="L481" s="55" t="s">
        <v>74</v>
      </c>
      <c r="M481" s="55"/>
      <c r="N481" s="55"/>
      <c r="O481" s="55"/>
      <c r="P481" s="55"/>
      <c r="Q481" s="55" t="s">
        <v>52</v>
      </c>
      <c r="R481" s="55"/>
      <c r="S481" s="55" t="s">
        <v>21</v>
      </c>
      <c r="T481" s="55" t="s">
        <v>52</v>
      </c>
      <c r="U481" s="55"/>
      <c r="V481" s="55"/>
      <c r="W481" s="55"/>
      <c r="X481" s="55"/>
      <c r="Y481" s="71">
        <v>1</v>
      </c>
    </row>
    <row r="482" spans="1:25" s="71" customFormat="1" ht="37.5">
      <c r="A482" s="67">
        <v>18</v>
      </c>
      <c r="B482" s="73"/>
      <c r="C482" s="55"/>
      <c r="D482" s="55" t="s">
        <v>52</v>
      </c>
      <c r="E482" s="55"/>
      <c r="F482" s="55"/>
      <c r="G482" s="55"/>
      <c r="H482" s="55"/>
      <c r="I482" s="55"/>
      <c r="J482" s="88" t="s">
        <v>75</v>
      </c>
      <c r="K482" s="94">
        <v>260000</v>
      </c>
      <c r="L482" s="55" t="s">
        <v>74</v>
      </c>
      <c r="M482" s="55"/>
      <c r="N482" s="55"/>
      <c r="O482" s="55"/>
      <c r="P482" s="55"/>
      <c r="Q482" s="55" t="s">
        <v>52</v>
      </c>
      <c r="R482" s="55"/>
      <c r="S482" s="55" t="s">
        <v>21</v>
      </c>
      <c r="T482" s="55" t="s">
        <v>52</v>
      </c>
      <c r="U482" s="55"/>
      <c r="V482" s="55"/>
      <c r="W482" s="55"/>
      <c r="X482" s="55"/>
      <c r="Y482" s="71">
        <v>2</v>
      </c>
    </row>
    <row r="483" spans="1:25" s="71" customFormat="1">
      <c r="A483" s="67">
        <v>19</v>
      </c>
      <c r="B483" s="73"/>
      <c r="C483" s="55"/>
      <c r="D483" s="55" t="s">
        <v>52</v>
      </c>
      <c r="E483" s="55"/>
      <c r="F483" s="55"/>
      <c r="G483" s="55"/>
      <c r="H483" s="55"/>
      <c r="I483" s="55"/>
      <c r="J483" s="88" t="s">
        <v>76</v>
      </c>
      <c r="K483" s="108">
        <v>310000</v>
      </c>
      <c r="L483" s="55" t="s">
        <v>74</v>
      </c>
      <c r="M483" s="55"/>
      <c r="N483" s="55"/>
      <c r="O483" s="55"/>
      <c r="P483" s="55"/>
      <c r="Q483" s="55" t="s">
        <v>52</v>
      </c>
      <c r="R483" s="55"/>
      <c r="S483" s="55" t="s">
        <v>21</v>
      </c>
      <c r="T483" s="55" t="s">
        <v>52</v>
      </c>
      <c r="U483" s="55"/>
      <c r="V483" s="55"/>
      <c r="W483" s="55"/>
      <c r="X483" s="55"/>
      <c r="Y483" s="71">
        <v>3</v>
      </c>
    </row>
    <row r="484" spans="1:25" s="71" customFormat="1">
      <c r="A484" s="72">
        <v>20</v>
      </c>
      <c r="B484" s="55" t="s">
        <v>52</v>
      </c>
      <c r="C484" s="55"/>
      <c r="D484" s="55"/>
      <c r="E484" s="55"/>
      <c r="F484" s="55"/>
      <c r="G484" s="55"/>
      <c r="H484" s="55"/>
      <c r="I484" s="55"/>
      <c r="J484" s="88" t="s">
        <v>77</v>
      </c>
      <c r="K484" s="108">
        <v>81000</v>
      </c>
      <c r="L484" s="55" t="s">
        <v>74</v>
      </c>
      <c r="M484" s="55"/>
      <c r="N484" s="55"/>
      <c r="O484" s="55"/>
      <c r="P484" s="55"/>
      <c r="Q484" s="55" t="s">
        <v>52</v>
      </c>
      <c r="R484" s="55"/>
      <c r="S484" s="55" t="s">
        <v>21</v>
      </c>
      <c r="T484" s="55" t="s">
        <v>52</v>
      </c>
      <c r="U484" s="55"/>
      <c r="V484" s="55"/>
      <c r="W484" s="55"/>
      <c r="X484" s="55"/>
      <c r="Y484" s="71">
        <v>4</v>
      </c>
    </row>
    <row r="485" spans="1:25" s="71" customFormat="1">
      <c r="A485" s="67">
        <v>21</v>
      </c>
      <c r="B485" s="73"/>
      <c r="C485" s="55"/>
      <c r="D485" s="55" t="s">
        <v>52</v>
      </c>
      <c r="E485" s="55"/>
      <c r="F485" s="55"/>
      <c r="G485" s="55"/>
      <c r="H485" s="55"/>
      <c r="I485" s="55"/>
      <c r="J485" s="88" t="s">
        <v>78</v>
      </c>
      <c r="K485" s="108">
        <v>550000</v>
      </c>
      <c r="L485" s="55" t="s">
        <v>74</v>
      </c>
      <c r="M485" s="55"/>
      <c r="N485" s="55"/>
      <c r="O485" s="55"/>
      <c r="P485" s="55"/>
      <c r="Q485" s="55" t="s">
        <v>52</v>
      </c>
      <c r="R485" s="55"/>
      <c r="S485" s="55" t="s">
        <v>21</v>
      </c>
      <c r="T485" s="55" t="s">
        <v>52</v>
      </c>
      <c r="U485" s="55"/>
      <c r="V485" s="55"/>
      <c r="W485" s="55"/>
      <c r="X485" s="55"/>
      <c r="Y485" s="71">
        <v>5</v>
      </c>
    </row>
    <row r="486" spans="1:25" s="71" customFormat="1" ht="37.5">
      <c r="A486" s="67">
        <v>22</v>
      </c>
      <c r="B486" s="73"/>
      <c r="C486" s="55"/>
      <c r="D486" s="55"/>
      <c r="E486" s="55"/>
      <c r="F486" s="55"/>
      <c r="G486" s="55" t="s">
        <v>52</v>
      </c>
      <c r="H486" s="55"/>
      <c r="I486" s="55"/>
      <c r="J486" s="88" t="s">
        <v>79</v>
      </c>
      <c r="K486" s="108">
        <v>1350000</v>
      </c>
      <c r="L486" s="55" t="s">
        <v>74</v>
      </c>
      <c r="M486" s="55"/>
      <c r="N486" s="55"/>
      <c r="O486" s="55"/>
      <c r="P486" s="55"/>
      <c r="Q486" s="55" t="s">
        <v>52</v>
      </c>
      <c r="R486" s="55"/>
      <c r="S486" s="55" t="s">
        <v>21</v>
      </c>
      <c r="T486" s="55"/>
      <c r="U486" s="55" t="s">
        <v>52</v>
      </c>
      <c r="V486" s="55"/>
      <c r="W486" s="55"/>
      <c r="X486" s="55"/>
      <c r="Y486" s="71">
        <v>6</v>
      </c>
    </row>
    <row r="487" spans="1:25" s="71" customFormat="1">
      <c r="A487" s="72">
        <v>23</v>
      </c>
      <c r="B487" s="73"/>
      <c r="C487" s="55"/>
      <c r="D487" s="55"/>
      <c r="E487" s="55"/>
      <c r="F487" s="55"/>
      <c r="G487" s="55"/>
      <c r="H487" s="55"/>
      <c r="I487" s="55" t="s">
        <v>52</v>
      </c>
      <c r="J487" s="88" t="s">
        <v>80</v>
      </c>
      <c r="K487" s="108">
        <v>59000</v>
      </c>
      <c r="L487" s="55" t="s">
        <v>74</v>
      </c>
      <c r="M487" s="55"/>
      <c r="N487" s="55"/>
      <c r="O487" s="55"/>
      <c r="P487" s="55"/>
      <c r="Q487" s="55" t="s">
        <v>52</v>
      </c>
      <c r="R487" s="55"/>
      <c r="S487" s="55" t="s">
        <v>21</v>
      </c>
      <c r="T487" s="55"/>
      <c r="U487" s="55" t="s">
        <v>52</v>
      </c>
      <c r="V487" s="55"/>
      <c r="W487" s="55"/>
      <c r="X487" s="55"/>
      <c r="Y487" s="71">
        <v>7</v>
      </c>
    </row>
    <row r="488" spans="1:25" s="71" customFormat="1">
      <c r="A488" s="67">
        <v>24</v>
      </c>
      <c r="B488" s="73"/>
      <c r="C488" s="55"/>
      <c r="D488" s="55" t="s">
        <v>52</v>
      </c>
      <c r="E488" s="55"/>
      <c r="F488" s="55"/>
      <c r="G488" s="55"/>
      <c r="H488" s="55"/>
      <c r="I488" s="55"/>
      <c r="J488" s="88" t="s">
        <v>81</v>
      </c>
      <c r="K488" s="108">
        <v>520000</v>
      </c>
      <c r="L488" s="55" t="s">
        <v>74</v>
      </c>
      <c r="M488" s="55"/>
      <c r="N488" s="55"/>
      <c r="O488" s="55"/>
      <c r="P488" s="55"/>
      <c r="Q488" s="55" t="s">
        <v>52</v>
      </c>
      <c r="R488" s="55"/>
      <c r="S488" s="55" t="s">
        <v>21</v>
      </c>
      <c r="T488" s="55"/>
      <c r="U488" s="55" t="s">
        <v>52</v>
      </c>
      <c r="V488" s="55"/>
      <c r="W488" s="55"/>
      <c r="X488" s="55"/>
      <c r="Y488" s="71">
        <v>8</v>
      </c>
    </row>
    <row r="489" spans="1:25" s="71" customFormat="1">
      <c r="A489" s="67">
        <v>25</v>
      </c>
      <c r="B489" s="55" t="s">
        <v>52</v>
      </c>
      <c r="C489" s="55"/>
      <c r="D489" s="55"/>
      <c r="E489" s="55"/>
      <c r="F489" s="55"/>
      <c r="G489" s="55"/>
      <c r="H489" s="55"/>
      <c r="I489" s="55"/>
      <c r="J489" s="88" t="s">
        <v>77</v>
      </c>
      <c r="K489" s="108">
        <v>81000</v>
      </c>
      <c r="L489" s="55" t="s">
        <v>74</v>
      </c>
      <c r="M489" s="55"/>
      <c r="N489" s="55"/>
      <c r="O489" s="55"/>
      <c r="P489" s="55"/>
      <c r="Q489" s="55" t="s">
        <v>52</v>
      </c>
      <c r="R489" s="55"/>
      <c r="S489" s="55" t="s">
        <v>21</v>
      </c>
      <c r="T489" s="55"/>
      <c r="U489" s="55" t="s">
        <v>52</v>
      </c>
      <c r="V489" s="55"/>
      <c r="W489" s="55"/>
      <c r="X489" s="55"/>
      <c r="Y489" s="71">
        <v>9</v>
      </c>
    </row>
    <row r="490" spans="1:25" s="71" customFormat="1" ht="37.5">
      <c r="A490" s="72">
        <v>26</v>
      </c>
      <c r="B490" s="73"/>
      <c r="C490" s="55"/>
      <c r="D490" s="55"/>
      <c r="E490" s="55"/>
      <c r="F490" s="55"/>
      <c r="G490" s="55"/>
      <c r="H490" s="55" t="s">
        <v>52</v>
      </c>
      <c r="I490" s="55"/>
      <c r="J490" s="88" t="s">
        <v>82</v>
      </c>
      <c r="K490" s="108">
        <v>1198000</v>
      </c>
      <c r="L490" s="55" t="s">
        <v>74</v>
      </c>
      <c r="M490" s="55"/>
      <c r="N490" s="55"/>
      <c r="O490" s="55"/>
      <c r="P490" s="55"/>
      <c r="Q490" s="55" t="s">
        <v>52</v>
      </c>
      <c r="R490" s="55"/>
      <c r="S490" s="55" t="s">
        <v>21</v>
      </c>
      <c r="T490" s="55"/>
      <c r="U490" s="55"/>
      <c r="V490" s="55" t="s">
        <v>52</v>
      </c>
      <c r="W490" s="55"/>
      <c r="X490" s="55"/>
      <c r="Y490" s="71">
        <v>10</v>
      </c>
    </row>
    <row r="491" spans="1:25" s="71" customFormat="1" ht="37.5">
      <c r="A491" s="67">
        <v>27</v>
      </c>
      <c r="B491" s="73"/>
      <c r="C491" s="55"/>
      <c r="D491" s="55" t="s">
        <v>52</v>
      </c>
      <c r="E491" s="55"/>
      <c r="F491" s="55"/>
      <c r="G491" s="55"/>
      <c r="H491" s="55"/>
      <c r="I491" s="55"/>
      <c r="J491" s="88" t="s">
        <v>83</v>
      </c>
      <c r="K491" s="108">
        <v>850000</v>
      </c>
      <c r="L491" s="55" t="s">
        <v>74</v>
      </c>
      <c r="M491" s="55"/>
      <c r="N491" s="55"/>
      <c r="O491" s="55"/>
      <c r="P491" s="55"/>
      <c r="Q491" s="55" t="s">
        <v>52</v>
      </c>
      <c r="R491" s="55"/>
      <c r="S491" s="55" t="s">
        <v>21</v>
      </c>
      <c r="T491" s="55"/>
      <c r="U491" s="55"/>
      <c r="V491" s="55" t="s">
        <v>52</v>
      </c>
      <c r="W491" s="55"/>
      <c r="X491" s="55"/>
      <c r="Y491" s="71">
        <v>11</v>
      </c>
    </row>
    <row r="492" spans="1:25" s="71" customFormat="1" ht="75">
      <c r="A492" s="67">
        <v>28</v>
      </c>
      <c r="B492" s="73"/>
      <c r="C492" s="55"/>
      <c r="D492" s="55"/>
      <c r="E492" s="55"/>
      <c r="F492" s="55"/>
      <c r="G492" s="55" t="s">
        <v>52</v>
      </c>
      <c r="H492" s="55"/>
      <c r="I492" s="55"/>
      <c r="J492" s="88" t="s">
        <v>84</v>
      </c>
      <c r="K492" s="108">
        <v>790000</v>
      </c>
      <c r="L492" s="55" t="s">
        <v>74</v>
      </c>
      <c r="M492" s="55"/>
      <c r="N492" s="55"/>
      <c r="O492" s="55"/>
      <c r="P492" s="55"/>
      <c r="Q492" s="55" t="s">
        <v>52</v>
      </c>
      <c r="R492" s="55"/>
      <c r="S492" s="55" t="s">
        <v>21</v>
      </c>
      <c r="T492" s="55"/>
      <c r="U492" s="55"/>
      <c r="V492" s="55"/>
      <c r="W492" s="55" t="s">
        <v>52</v>
      </c>
      <c r="X492" s="55"/>
      <c r="Y492" s="71">
        <v>12</v>
      </c>
    </row>
    <row r="493" spans="1:25" s="71" customFormat="1" ht="56.25">
      <c r="A493" s="72">
        <v>29</v>
      </c>
      <c r="B493" s="55" t="s">
        <v>52</v>
      </c>
      <c r="C493" s="55"/>
      <c r="D493" s="55"/>
      <c r="E493" s="55"/>
      <c r="F493" s="55"/>
      <c r="G493" s="55"/>
      <c r="H493" s="55"/>
      <c r="I493" s="55"/>
      <c r="J493" s="88" t="s">
        <v>85</v>
      </c>
      <c r="K493" s="108">
        <v>1340000</v>
      </c>
      <c r="L493" s="55" t="s">
        <v>74</v>
      </c>
      <c r="M493" s="55"/>
      <c r="N493" s="55"/>
      <c r="O493" s="55"/>
      <c r="P493" s="55"/>
      <c r="Q493" s="55" t="s">
        <v>52</v>
      </c>
      <c r="R493" s="55"/>
      <c r="S493" s="55" t="s">
        <v>21</v>
      </c>
      <c r="T493" s="55"/>
      <c r="U493" s="55"/>
      <c r="V493" s="55"/>
      <c r="W493" s="55" t="s">
        <v>52</v>
      </c>
      <c r="X493" s="55"/>
      <c r="Y493" s="71">
        <v>13</v>
      </c>
    </row>
    <row r="494" spans="1:25" s="71" customFormat="1" ht="37.5">
      <c r="A494" s="67">
        <v>30</v>
      </c>
      <c r="B494" s="73"/>
      <c r="C494" s="55"/>
      <c r="D494" s="55" t="s">
        <v>52</v>
      </c>
      <c r="E494" s="55"/>
      <c r="F494" s="55"/>
      <c r="G494" s="55"/>
      <c r="H494" s="55"/>
      <c r="I494" s="55"/>
      <c r="J494" s="88" t="s">
        <v>86</v>
      </c>
      <c r="K494" s="108">
        <v>140000</v>
      </c>
      <c r="L494" s="55" t="s">
        <v>74</v>
      </c>
      <c r="M494" s="55"/>
      <c r="N494" s="55"/>
      <c r="O494" s="55"/>
      <c r="P494" s="55"/>
      <c r="Q494" s="55" t="s">
        <v>52</v>
      </c>
      <c r="R494" s="55"/>
      <c r="S494" s="55" t="s">
        <v>21</v>
      </c>
      <c r="T494" s="55"/>
      <c r="U494" s="55"/>
      <c r="V494" s="55"/>
      <c r="W494" s="55"/>
      <c r="X494" s="55" t="s">
        <v>52</v>
      </c>
      <c r="Y494" s="71">
        <v>14</v>
      </c>
    </row>
    <row r="495" spans="1:25" s="71" customFormat="1" ht="37.5">
      <c r="A495" s="67">
        <v>31</v>
      </c>
      <c r="B495" s="73"/>
      <c r="C495" s="55"/>
      <c r="D495" s="55" t="s">
        <v>52</v>
      </c>
      <c r="E495" s="55"/>
      <c r="F495" s="55"/>
      <c r="G495" s="55"/>
      <c r="H495" s="55"/>
      <c r="I495" s="55"/>
      <c r="J495" s="88" t="s">
        <v>87</v>
      </c>
      <c r="K495" s="108">
        <v>310000</v>
      </c>
      <c r="L495" s="55" t="s">
        <v>74</v>
      </c>
      <c r="M495" s="55"/>
      <c r="N495" s="55"/>
      <c r="O495" s="55"/>
      <c r="P495" s="55"/>
      <c r="Q495" s="55" t="s">
        <v>52</v>
      </c>
      <c r="R495" s="55"/>
      <c r="S495" s="55" t="s">
        <v>21</v>
      </c>
      <c r="T495" s="55"/>
      <c r="U495" s="55"/>
      <c r="V495" s="55"/>
      <c r="W495" s="55"/>
      <c r="X495" s="55" t="s">
        <v>52</v>
      </c>
      <c r="Y495" s="71">
        <v>15</v>
      </c>
    </row>
    <row r="496" spans="1:25" s="71" customFormat="1" ht="37.5">
      <c r="A496" s="72">
        <v>32</v>
      </c>
      <c r="B496" s="73"/>
      <c r="C496" s="55"/>
      <c r="D496" s="55"/>
      <c r="E496" s="55"/>
      <c r="F496" s="55" t="s">
        <v>52</v>
      </c>
      <c r="G496" s="55"/>
      <c r="H496" s="55"/>
      <c r="I496" s="55"/>
      <c r="J496" s="88" t="s">
        <v>88</v>
      </c>
      <c r="K496" s="108">
        <v>930000</v>
      </c>
      <c r="L496" s="55" t="s">
        <v>74</v>
      </c>
      <c r="M496" s="55"/>
      <c r="N496" s="55"/>
      <c r="O496" s="55"/>
      <c r="P496" s="55"/>
      <c r="Q496" s="55" t="s">
        <v>52</v>
      </c>
      <c r="R496" s="55"/>
      <c r="S496" s="55" t="s">
        <v>21</v>
      </c>
      <c r="T496" s="55"/>
      <c r="U496" s="55"/>
      <c r="V496" s="55"/>
      <c r="W496" s="55"/>
      <c r="X496" s="55" t="s">
        <v>52</v>
      </c>
      <c r="Y496" s="71">
        <v>16</v>
      </c>
    </row>
    <row r="497" spans="1:25" s="71" customFormat="1" ht="37.5">
      <c r="A497" s="67">
        <v>33</v>
      </c>
      <c r="B497" s="73"/>
      <c r="C497" s="55"/>
      <c r="D497" s="55" t="s">
        <v>52</v>
      </c>
      <c r="E497" s="55"/>
      <c r="F497" s="55"/>
      <c r="G497" s="55"/>
      <c r="H497" s="55"/>
      <c r="I497" s="55"/>
      <c r="J497" s="88" t="s">
        <v>89</v>
      </c>
      <c r="K497" s="108">
        <f>55000*2</f>
        <v>110000</v>
      </c>
      <c r="L497" s="55" t="s">
        <v>74</v>
      </c>
      <c r="M497" s="55"/>
      <c r="N497" s="55"/>
      <c r="O497" s="55"/>
      <c r="P497" s="55"/>
      <c r="Q497" s="55" t="s">
        <v>52</v>
      </c>
      <c r="R497" s="55"/>
      <c r="S497" s="55" t="s">
        <v>21</v>
      </c>
      <c r="T497" s="55"/>
      <c r="U497" s="55"/>
      <c r="V497" s="55"/>
      <c r="W497" s="55"/>
      <c r="X497" s="55" t="s">
        <v>52</v>
      </c>
      <c r="Y497" s="71">
        <v>17</v>
      </c>
    </row>
    <row r="498" spans="1:25" s="71" customFormat="1">
      <c r="A498" s="67">
        <v>34</v>
      </c>
      <c r="B498" s="73"/>
      <c r="C498" s="55"/>
      <c r="D498" s="55"/>
      <c r="E498" s="55"/>
      <c r="F498" s="55" t="s">
        <v>52</v>
      </c>
      <c r="G498" s="55"/>
      <c r="H498" s="55"/>
      <c r="I498" s="55"/>
      <c r="J498" s="88" t="s">
        <v>63</v>
      </c>
      <c r="K498" s="108">
        <v>260000</v>
      </c>
      <c r="L498" s="55" t="s">
        <v>74</v>
      </c>
      <c r="M498" s="55"/>
      <c r="N498" s="55"/>
      <c r="O498" s="55"/>
      <c r="P498" s="55"/>
      <c r="Q498" s="55" t="s">
        <v>52</v>
      </c>
      <c r="R498" s="55"/>
      <c r="S498" s="55" t="s">
        <v>21</v>
      </c>
      <c r="T498" s="55"/>
      <c r="U498" s="55"/>
      <c r="V498" s="55"/>
      <c r="W498" s="55"/>
      <c r="X498" s="55" t="s">
        <v>52</v>
      </c>
      <c r="Y498" s="71">
        <v>18</v>
      </c>
    </row>
    <row r="499" spans="1:25" s="71" customFormat="1" ht="37.5">
      <c r="A499" s="72">
        <v>35</v>
      </c>
      <c r="B499" s="73"/>
      <c r="C499" s="55"/>
      <c r="D499" s="55" t="s">
        <v>52</v>
      </c>
      <c r="E499" s="55"/>
      <c r="F499" s="55"/>
      <c r="G499" s="55"/>
      <c r="H499" s="55"/>
      <c r="I499" s="55"/>
      <c r="J499" s="88" t="s">
        <v>90</v>
      </c>
      <c r="K499" s="108">
        <f>55000*4</f>
        <v>220000</v>
      </c>
      <c r="L499" s="55" t="s">
        <v>74</v>
      </c>
      <c r="M499" s="55"/>
      <c r="N499" s="55"/>
      <c r="O499" s="55"/>
      <c r="P499" s="55"/>
      <c r="Q499" s="55" t="s">
        <v>52</v>
      </c>
      <c r="R499" s="55"/>
      <c r="S499" s="55" t="s">
        <v>21</v>
      </c>
      <c r="T499" s="55"/>
      <c r="U499" s="55"/>
      <c r="V499" s="55"/>
      <c r="W499" s="55"/>
      <c r="X499" s="55" t="s">
        <v>52</v>
      </c>
      <c r="Y499" s="71">
        <v>19</v>
      </c>
    </row>
    <row r="500" spans="1:25" s="71" customFormat="1" ht="56.25">
      <c r="A500" s="67">
        <v>36</v>
      </c>
      <c r="B500" s="109" t="s">
        <v>91</v>
      </c>
      <c r="C500" s="55"/>
      <c r="D500" s="55"/>
      <c r="E500" s="55"/>
      <c r="F500" s="55"/>
      <c r="G500" s="55"/>
      <c r="H500" s="55"/>
      <c r="I500" s="55"/>
      <c r="J500" s="76" t="s">
        <v>92</v>
      </c>
      <c r="K500" s="77">
        <v>480000</v>
      </c>
      <c r="L500" s="55" t="s">
        <v>93</v>
      </c>
      <c r="M500" s="55"/>
      <c r="N500" s="55"/>
      <c r="O500" s="55"/>
      <c r="P500" s="55"/>
      <c r="Q500" s="55" t="s">
        <v>91</v>
      </c>
      <c r="R500" s="55"/>
      <c r="S500" s="55" t="s">
        <v>21</v>
      </c>
      <c r="T500" s="55" t="s">
        <v>91</v>
      </c>
      <c r="U500" s="55"/>
      <c r="V500" s="55"/>
      <c r="W500" s="55"/>
      <c r="X500" s="55"/>
      <c r="Y500" s="71">
        <v>1</v>
      </c>
    </row>
    <row r="501" spans="1:25" s="71" customFormat="1" ht="62.25">
      <c r="A501" s="67">
        <v>37</v>
      </c>
      <c r="B501" s="109"/>
      <c r="C501" s="55"/>
      <c r="D501" s="55"/>
      <c r="E501" s="55"/>
      <c r="F501" s="55" t="s">
        <v>91</v>
      </c>
      <c r="G501" s="55"/>
      <c r="H501" s="55"/>
      <c r="I501" s="55"/>
      <c r="J501" s="76" t="s">
        <v>94</v>
      </c>
      <c r="K501" s="77">
        <v>450000</v>
      </c>
      <c r="L501" s="55" t="s">
        <v>93</v>
      </c>
      <c r="M501" s="55"/>
      <c r="N501" s="55"/>
      <c r="O501" s="55"/>
      <c r="P501" s="55"/>
      <c r="Q501" s="55" t="s">
        <v>91</v>
      </c>
      <c r="R501" s="55"/>
      <c r="S501" s="55" t="s">
        <v>21</v>
      </c>
      <c r="T501" s="55" t="s">
        <v>91</v>
      </c>
      <c r="U501" s="55"/>
      <c r="V501" s="55"/>
      <c r="W501" s="55"/>
      <c r="X501" s="55"/>
      <c r="Y501" s="71">
        <v>2</v>
      </c>
    </row>
    <row r="502" spans="1:25" s="71" customFormat="1" ht="37.5">
      <c r="A502" s="72">
        <v>38</v>
      </c>
      <c r="B502" s="109"/>
      <c r="C502" s="55"/>
      <c r="D502" s="55" t="s">
        <v>91</v>
      </c>
      <c r="E502" s="55"/>
      <c r="F502" s="55"/>
      <c r="G502" s="55"/>
      <c r="H502" s="55"/>
      <c r="I502" s="55"/>
      <c r="J502" s="76" t="s">
        <v>95</v>
      </c>
      <c r="K502" s="77">
        <v>260000</v>
      </c>
      <c r="L502" s="55" t="s">
        <v>93</v>
      </c>
      <c r="M502" s="55"/>
      <c r="N502" s="55"/>
      <c r="O502" s="55"/>
      <c r="P502" s="55"/>
      <c r="Q502" s="55" t="s">
        <v>91</v>
      </c>
      <c r="R502" s="55"/>
      <c r="S502" s="55" t="s">
        <v>21</v>
      </c>
      <c r="T502" s="55" t="s">
        <v>91</v>
      </c>
      <c r="U502" s="55"/>
      <c r="V502" s="55"/>
      <c r="W502" s="55"/>
      <c r="X502" s="55"/>
      <c r="Y502" s="71">
        <v>3</v>
      </c>
    </row>
    <row r="503" spans="1:25" s="71" customFormat="1" ht="37.5">
      <c r="A503" s="67">
        <v>39</v>
      </c>
      <c r="B503" s="109"/>
      <c r="C503" s="55"/>
      <c r="D503" s="55"/>
      <c r="E503" s="55"/>
      <c r="F503" s="55" t="s">
        <v>91</v>
      </c>
      <c r="G503" s="55"/>
      <c r="H503" s="55"/>
      <c r="I503" s="55"/>
      <c r="J503" s="76" t="s">
        <v>96</v>
      </c>
      <c r="K503" s="77">
        <v>300000</v>
      </c>
      <c r="L503" s="55" t="s">
        <v>93</v>
      </c>
      <c r="M503" s="55"/>
      <c r="N503" s="55"/>
      <c r="O503" s="55"/>
      <c r="P503" s="55"/>
      <c r="Q503" s="55" t="s">
        <v>91</v>
      </c>
      <c r="R503" s="55"/>
      <c r="S503" s="55" t="s">
        <v>21</v>
      </c>
      <c r="T503" s="55" t="s">
        <v>91</v>
      </c>
      <c r="U503" s="55"/>
      <c r="V503" s="55"/>
      <c r="W503" s="55"/>
      <c r="X503" s="55"/>
      <c r="Y503" s="71">
        <v>4</v>
      </c>
    </row>
    <row r="504" spans="1:25" s="71" customFormat="1" ht="56.25">
      <c r="A504" s="67">
        <v>40</v>
      </c>
      <c r="B504" s="109"/>
      <c r="C504" s="55"/>
      <c r="D504" s="55"/>
      <c r="E504" s="55"/>
      <c r="F504" s="55"/>
      <c r="G504" s="55"/>
      <c r="H504" s="55" t="s">
        <v>91</v>
      </c>
      <c r="I504" s="55"/>
      <c r="J504" s="76" t="s">
        <v>97</v>
      </c>
      <c r="K504" s="77">
        <v>523000</v>
      </c>
      <c r="L504" s="55" t="s">
        <v>98</v>
      </c>
      <c r="M504" s="55"/>
      <c r="N504" s="55"/>
      <c r="O504" s="55"/>
      <c r="P504" s="55"/>
      <c r="Q504" s="55"/>
      <c r="R504" s="55" t="s">
        <v>91</v>
      </c>
      <c r="S504" s="55" t="s">
        <v>21</v>
      </c>
      <c r="T504" s="55" t="s">
        <v>91</v>
      </c>
      <c r="U504" s="55"/>
      <c r="V504" s="55"/>
      <c r="W504" s="55"/>
      <c r="X504" s="55"/>
      <c r="Y504" s="71">
        <v>5</v>
      </c>
    </row>
    <row r="505" spans="1:25" s="71" customFormat="1" ht="37.5">
      <c r="A505" s="72">
        <v>41</v>
      </c>
      <c r="B505" s="73"/>
      <c r="C505" s="55"/>
      <c r="D505" s="55"/>
      <c r="E505" s="55"/>
      <c r="F505" s="55" t="s">
        <v>52</v>
      </c>
      <c r="G505" s="55"/>
      <c r="H505" s="55"/>
      <c r="I505" s="55"/>
      <c r="J505" s="88" t="s">
        <v>99</v>
      </c>
      <c r="K505" s="110">
        <v>1800000</v>
      </c>
      <c r="L505" s="111" t="s">
        <v>100</v>
      </c>
      <c r="M505" s="111"/>
      <c r="N505" s="55"/>
      <c r="O505" s="55" t="s">
        <v>52</v>
      </c>
      <c r="P505" s="55"/>
      <c r="Q505" s="55"/>
      <c r="R505" s="55"/>
      <c r="S505" s="55" t="s">
        <v>21</v>
      </c>
      <c r="T505" s="55"/>
      <c r="U505" s="55">
        <v>2</v>
      </c>
      <c r="V505" s="55"/>
      <c r="W505" s="55"/>
      <c r="X505" s="55">
        <v>2</v>
      </c>
      <c r="Y505" s="71">
        <v>1</v>
      </c>
    </row>
    <row r="506" spans="1:25" s="71" customFormat="1" ht="37.5">
      <c r="A506" s="67">
        <v>42</v>
      </c>
      <c r="B506" s="73"/>
      <c r="C506" s="55"/>
      <c r="D506" s="55"/>
      <c r="E506" s="55"/>
      <c r="F506" s="55" t="s">
        <v>52</v>
      </c>
      <c r="G506" s="55"/>
      <c r="H506" s="55"/>
      <c r="I506" s="55"/>
      <c r="J506" s="88" t="s">
        <v>101</v>
      </c>
      <c r="K506" s="110">
        <v>100000</v>
      </c>
      <c r="L506" s="111" t="s">
        <v>100</v>
      </c>
      <c r="M506" s="111"/>
      <c r="N506" s="55"/>
      <c r="O506" s="55" t="s">
        <v>52</v>
      </c>
      <c r="P506" s="55"/>
      <c r="Q506" s="55"/>
      <c r="R506" s="55"/>
      <c r="S506" s="55" t="s">
        <v>21</v>
      </c>
      <c r="T506" s="55"/>
      <c r="U506" s="55">
        <v>1</v>
      </c>
      <c r="V506" s="55"/>
      <c r="W506" s="55"/>
      <c r="X506" s="55"/>
      <c r="Y506" s="71">
        <v>2</v>
      </c>
    </row>
    <row r="507" spans="1:25" s="71" customFormat="1" ht="37.5">
      <c r="A507" s="67">
        <v>43</v>
      </c>
      <c r="B507" s="73"/>
      <c r="C507" s="55"/>
      <c r="D507" s="55"/>
      <c r="E507" s="55"/>
      <c r="F507" s="55" t="s">
        <v>52</v>
      </c>
      <c r="G507" s="55"/>
      <c r="H507" s="55"/>
      <c r="I507" s="55"/>
      <c r="J507" s="88" t="s">
        <v>102</v>
      </c>
      <c r="K507" s="110">
        <v>520000</v>
      </c>
      <c r="L507" s="111" t="s">
        <v>100</v>
      </c>
      <c r="M507" s="111"/>
      <c r="N507" s="55"/>
      <c r="O507" s="55" t="s">
        <v>52</v>
      </c>
      <c r="P507" s="55"/>
      <c r="Q507" s="55"/>
      <c r="R507" s="55"/>
      <c r="S507" s="55" t="s">
        <v>21</v>
      </c>
      <c r="T507" s="55">
        <v>1</v>
      </c>
      <c r="U507" s="55"/>
      <c r="V507" s="55"/>
      <c r="W507" s="55"/>
      <c r="X507" s="55"/>
      <c r="Y507" s="71">
        <v>3</v>
      </c>
    </row>
    <row r="508" spans="1:25" s="71" customFormat="1" ht="37.5">
      <c r="A508" s="72">
        <v>44</v>
      </c>
      <c r="B508" s="73"/>
      <c r="C508" s="55"/>
      <c r="D508" s="55"/>
      <c r="E508" s="55"/>
      <c r="F508" s="55" t="s">
        <v>52</v>
      </c>
      <c r="G508" s="55"/>
      <c r="H508" s="55"/>
      <c r="I508" s="55"/>
      <c r="J508" s="88" t="s">
        <v>103</v>
      </c>
      <c r="K508" s="110">
        <v>910000</v>
      </c>
      <c r="L508" s="111" t="s">
        <v>100</v>
      </c>
      <c r="M508" s="111"/>
      <c r="N508" s="55"/>
      <c r="O508" s="55" t="s">
        <v>52</v>
      </c>
      <c r="P508" s="55"/>
      <c r="Q508" s="55"/>
      <c r="R508" s="55"/>
      <c r="S508" s="55" t="s">
        <v>21</v>
      </c>
      <c r="T508" s="55">
        <v>1</v>
      </c>
      <c r="U508" s="55"/>
      <c r="V508" s="55"/>
      <c r="W508" s="55"/>
      <c r="X508" s="55"/>
      <c r="Y508" s="71">
        <v>4</v>
      </c>
    </row>
    <row r="509" spans="1:25" s="71" customFormat="1" ht="37.5">
      <c r="A509" s="67">
        <v>45</v>
      </c>
      <c r="B509" s="73"/>
      <c r="C509" s="55"/>
      <c r="D509" s="55"/>
      <c r="E509" s="55"/>
      <c r="F509" s="55" t="s">
        <v>52</v>
      </c>
      <c r="G509" s="55"/>
      <c r="H509" s="55"/>
      <c r="I509" s="55"/>
      <c r="J509" s="88" t="s">
        <v>104</v>
      </c>
      <c r="K509" s="110">
        <v>520000</v>
      </c>
      <c r="L509" s="111" t="s">
        <v>100</v>
      </c>
      <c r="M509" s="111"/>
      <c r="N509" s="55"/>
      <c r="O509" s="55" t="s">
        <v>52</v>
      </c>
      <c r="P509" s="55"/>
      <c r="Q509" s="55"/>
      <c r="R509" s="55"/>
      <c r="S509" s="55" t="s">
        <v>21</v>
      </c>
      <c r="T509" s="55">
        <v>1</v>
      </c>
      <c r="U509" s="55"/>
      <c r="V509" s="55"/>
      <c r="W509" s="55"/>
      <c r="X509" s="55"/>
      <c r="Y509" s="71">
        <v>5</v>
      </c>
    </row>
    <row r="510" spans="1:25" s="71" customFormat="1" ht="37.5">
      <c r="A510" s="67">
        <v>46</v>
      </c>
      <c r="B510" s="73"/>
      <c r="C510" s="55"/>
      <c r="D510" s="55"/>
      <c r="E510" s="55"/>
      <c r="F510" s="55" t="s">
        <v>52</v>
      </c>
      <c r="G510" s="55"/>
      <c r="H510" s="55"/>
      <c r="I510" s="55"/>
      <c r="J510" s="88" t="s">
        <v>105</v>
      </c>
      <c r="K510" s="110">
        <v>1200000</v>
      </c>
      <c r="L510" s="111" t="s">
        <v>100</v>
      </c>
      <c r="M510" s="111"/>
      <c r="N510" s="55"/>
      <c r="O510" s="55" t="s">
        <v>52</v>
      </c>
      <c r="P510" s="55"/>
      <c r="Q510" s="55"/>
      <c r="R510" s="55"/>
      <c r="S510" s="55" t="s">
        <v>21</v>
      </c>
      <c r="T510" s="55">
        <v>1</v>
      </c>
      <c r="U510" s="55"/>
      <c r="V510" s="55"/>
      <c r="W510" s="55"/>
      <c r="X510" s="55"/>
      <c r="Y510" s="71">
        <v>6</v>
      </c>
    </row>
    <row r="511" spans="1:25" s="71" customFormat="1" ht="37.5">
      <c r="A511" s="72">
        <v>47</v>
      </c>
      <c r="B511" s="73"/>
      <c r="C511" s="55"/>
      <c r="D511" s="55"/>
      <c r="E511" s="55"/>
      <c r="F511" s="55" t="s">
        <v>52</v>
      </c>
      <c r="G511" s="55"/>
      <c r="H511" s="55"/>
      <c r="I511" s="55"/>
      <c r="J511" s="88" t="s">
        <v>106</v>
      </c>
      <c r="K511" s="110">
        <v>321000</v>
      </c>
      <c r="L511" s="111" t="s">
        <v>100</v>
      </c>
      <c r="M511" s="111"/>
      <c r="N511" s="55"/>
      <c r="O511" s="55" t="s">
        <v>52</v>
      </c>
      <c r="P511" s="55"/>
      <c r="Q511" s="55"/>
      <c r="R511" s="55"/>
      <c r="S511" s="55" t="s">
        <v>21</v>
      </c>
      <c r="T511" s="55">
        <v>1</v>
      </c>
      <c r="U511" s="55"/>
      <c r="V511" s="55"/>
      <c r="W511" s="55"/>
      <c r="X511" s="55"/>
      <c r="Y511" s="71">
        <v>7</v>
      </c>
    </row>
    <row r="512" spans="1:25" s="71" customFormat="1" ht="37.5">
      <c r="A512" s="67">
        <v>48</v>
      </c>
      <c r="B512" s="73"/>
      <c r="C512" s="55"/>
      <c r="D512" s="55"/>
      <c r="E512" s="55"/>
      <c r="F512" s="55" t="s">
        <v>52</v>
      </c>
      <c r="G512" s="55"/>
      <c r="H512" s="55"/>
      <c r="I512" s="55"/>
      <c r="J512" s="88" t="s">
        <v>107</v>
      </c>
      <c r="K512" s="110">
        <v>535000</v>
      </c>
      <c r="L512" s="111" t="s">
        <v>100</v>
      </c>
      <c r="M512" s="111"/>
      <c r="N512" s="55"/>
      <c r="O512" s="55" t="s">
        <v>52</v>
      </c>
      <c r="P512" s="55"/>
      <c r="Q512" s="55"/>
      <c r="R512" s="55"/>
      <c r="S512" s="55" t="s">
        <v>21</v>
      </c>
      <c r="T512" s="55">
        <v>1</v>
      </c>
      <c r="U512" s="55"/>
      <c r="V512" s="55"/>
      <c r="W512" s="55"/>
      <c r="X512" s="55"/>
      <c r="Y512" s="71">
        <v>8</v>
      </c>
    </row>
    <row r="513" spans="1:25" s="71" customFormat="1" ht="37.5">
      <c r="A513" s="67">
        <v>49</v>
      </c>
      <c r="B513" s="73"/>
      <c r="C513" s="55"/>
      <c r="D513" s="55"/>
      <c r="E513" s="55"/>
      <c r="F513" s="55" t="s">
        <v>52</v>
      </c>
      <c r="G513" s="55"/>
      <c r="H513" s="55"/>
      <c r="I513" s="55"/>
      <c r="J513" s="88" t="s">
        <v>108</v>
      </c>
      <c r="K513" s="110">
        <v>70000</v>
      </c>
      <c r="L513" s="111" t="s">
        <v>100</v>
      </c>
      <c r="M513" s="111"/>
      <c r="N513" s="55"/>
      <c r="O513" s="55" t="s">
        <v>52</v>
      </c>
      <c r="P513" s="55"/>
      <c r="Q513" s="55"/>
      <c r="R513" s="55"/>
      <c r="S513" s="55" t="s">
        <v>21</v>
      </c>
      <c r="T513" s="55"/>
      <c r="U513" s="55"/>
      <c r="V513" s="55"/>
      <c r="W513" s="55"/>
      <c r="X513" s="55"/>
      <c r="Y513" s="71">
        <v>9</v>
      </c>
    </row>
    <row r="514" spans="1:25" s="71" customFormat="1" ht="37.5">
      <c r="A514" s="72">
        <v>50</v>
      </c>
      <c r="B514" s="73"/>
      <c r="C514" s="55"/>
      <c r="D514" s="55"/>
      <c r="E514" s="55"/>
      <c r="F514" s="55" t="s">
        <v>52</v>
      </c>
      <c r="G514" s="55"/>
      <c r="H514" s="55"/>
      <c r="I514" s="55"/>
      <c r="J514" s="88" t="s">
        <v>109</v>
      </c>
      <c r="K514" s="110">
        <v>125000</v>
      </c>
      <c r="L514" s="111" t="s">
        <v>100</v>
      </c>
      <c r="M514" s="111"/>
      <c r="N514" s="55"/>
      <c r="O514" s="55" t="s">
        <v>52</v>
      </c>
      <c r="P514" s="55"/>
      <c r="Q514" s="55"/>
      <c r="R514" s="55"/>
      <c r="S514" s="55" t="s">
        <v>21</v>
      </c>
      <c r="T514" s="55"/>
      <c r="U514" s="55"/>
      <c r="V514" s="55"/>
      <c r="W514" s="55"/>
      <c r="X514" s="55">
        <v>5</v>
      </c>
      <c r="Y514" s="71">
        <v>10</v>
      </c>
    </row>
    <row r="515" spans="1:25" s="71" customFormat="1" ht="27" customHeight="1">
      <c r="A515" s="67">
        <v>51</v>
      </c>
      <c r="B515" s="73"/>
      <c r="C515" s="55"/>
      <c r="D515" s="55"/>
      <c r="E515" s="55"/>
      <c r="F515" s="55" t="s">
        <v>52</v>
      </c>
      <c r="G515" s="55"/>
      <c r="H515" s="55"/>
      <c r="I515" s="55"/>
      <c r="J515" s="88" t="s">
        <v>110</v>
      </c>
      <c r="K515" s="110">
        <v>250000</v>
      </c>
      <c r="L515" s="111" t="s">
        <v>100</v>
      </c>
      <c r="M515" s="111"/>
      <c r="N515" s="55"/>
      <c r="O515" s="55" t="s">
        <v>52</v>
      </c>
      <c r="P515" s="55"/>
      <c r="Q515" s="55"/>
      <c r="R515" s="55"/>
      <c r="S515" s="55" t="s">
        <v>21</v>
      </c>
      <c r="T515" s="55"/>
      <c r="U515" s="55"/>
      <c r="V515" s="55"/>
      <c r="W515" s="55"/>
      <c r="X515" s="55">
        <v>5</v>
      </c>
      <c r="Y515" s="71">
        <v>11</v>
      </c>
    </row>
    <row r="516" spans="1:25" s="71" customFormat="1" ht="37.5">
      <c r="A516" s="67">
        <v>52</v>
      </c>
      <c r="B516" s="73"/>
      <c r="C516" s="55"/>
      <c r="D516" s="55"/>
      <c r="E516" s="55"/>
      <c r="F516" s="55" t="s">
        <v>52</v>
      </c>
      <c r="G516" s="55"/>
      <c r="H516" s="55"/>
      <c r="I516" s="55"/>
      <c r="J516" s="88" t="s">
        <v>87</v>
      </c>
      <c r="K516" s="110">
        <v>310000</v>
      </c>
      <c r="L516" s="111" t="s">
        <v>100</v>
      </c>
      <c r="M516" s="111"/>
      <c r="N516" s="55"/>
      <c r="O516" s="55" t="s">
        <v>52</v>
      </c>
      <c r="P516" s="55"/>
      <c r="Q516" s="55"/>
      <c r="R516" s="55"/>
      <c r="S516" s="55" t="s">
        <v>21</v>
      </c>
      <c r="T516" s="55"/>
      <c r="U516" s="55">
        <v>1</v>
      </c>
      <c r="V516" s="55"/>
      <c r="W516" s="55"/>
      <c r="X516" s="55"/>
      <c r="Y516" s="71">
        <v>12</v>
      </c>
    </row>
    <row r="517" spans="1:25" s="71" customFormat="1" ht="37.5">
      <c r="A517" s="72">
        <v>53</v>
      </c>
      <c r="B517" s="73"/>
      <c r="C517" s="55"/>
      <c r="D517" s="55"/>
      <c r="E517" s="55" t="s">
        <v>52</v>
      </c>
      <c r="F517" s="55"/>
      <c r="G517" s="55"/>
      <c r="H517" s="55"/>
      <c r="I517" s="55"/>
      <c r="J517" s="88" t="s">
        <v>111</v>
      </c>
      <c r="K517" s="110">
        <v>4120000</v>
      </c>
      <c r="L517" s="111" t="s">
        <v>100</v>
      </c>
      <c r="M517" s="111"/>
      <c r="N517" s="55"/>
      <c r="O517" s="55" t="s">
        <v>52</v>
      </c>
      <c r="P517" s="55"/>
      <c r="Q517" s="55"/>
      <c r="R517" s="55"/>
      <c r="S517" s="55" t="s">
        <v>21</v>
      </c>
      <c r="T517" s="55"/>
      <c r="U517" s="55"/>
      <c r="V517" s="55"/>
      <c r="W517" s="55">
        <v>1</v>
      </c>
      <c r="X517" s="55"/>
      <c r="Y517" s="71">
        <v>13</v>
      </c>
    </row>
    <row r="518" spans="1:25" s="71" customFormat="1" ht="37.5">
      <c r="A518" s="67">
        <v>54</v>
      </c>
      <c r="B518" s="73"/>
      <c r="C518" s="55"/>
      <c r="D518" s="55" t="s">
        <v>52</v>
      </c>
      <c r="E518" s="55"/>
      <c r="F518" s="55"/>
      <c r="G518" s="55"/>
      <c r="H518" s="55"/>
      <c r="I518" s="55"/>
      <c r="J518" s="88" t="s">
        <v>112</v>
      </c>
      <c r="K518" s="110">
        <v>220000</v>
      </c>
      <c r="L518" s="111" t="s">
        <v>100</v>
      </c>
      <c r="M518" s="111"/>
      <c r="N518" s="55"/>
      <c r="O518" s="55" t="s">
        <v>52</v>
      </c>
      <c r="P518" s="55"/>
      <c r="Q518" s="55"/>
      <c r="R518" s="55"/>
      <c r="S518" s="55" t="s">
        <v>21</v>
      </c>
      <c r="T518" s="55"/>
      <c r="U518" s="55"/>
      <c r="V518" s="55"/>
      <c r="W518" s="55"/>
      <c r="X518" s="55">
        <v>2</v>
      </c>
      <c r="Y518" s="71">
        <v>14</v>
      </c>
    </row>
    <row r="519" spans="1:25" s="71" customFormat="1" ht="37.5">
      <c r="A519" s="67">
        <v>55</v>
      </c>
      <c r="B519" s="73"/>
      <c r="C519" s="55"/>
      <c r="D519" s="55" t="s">
        <v>52</v>
      </c>
      <c r="E519" s="55"/>
      <c r="F519" s="55"/>
      <c r="G519" s="55"/>
      <c r="H519" s="55"/>
      <c r="I519" s="55"/>
      <c r="J519" s="88" t="s">
        <v>113</v>
      </c>
      <c r="K519" s="110">
        <v>830000</v>
      </c>
      <c r="L519" s="111" t="s">
        <v>100</v>
      </c>
      <c r="M519" s="111"/>
      <c r="N519" s="55"/>
      <c r="O519" s="55" t="s">
        <v>52</v>
      </c>
      <c r="P519" s="55"/>
      <c r="Q519" s="55"/>
      <c r="R519" s="55"/>
      <c r="S519" s="55" t="s">
        <v>21</v>
      </c>
      <c r="T519" s="55"/>
      <c r="U519" s="55">
        <v>1</v>
      </c>
      <c r="V519" s="55"/>
      <c r="W519" s="55"/>
      <c r="X519" s="55"/>
      <c r="Y519" s="71">
        <v>15</v>
      </c>
    </row>
    <row r="520" spans="1:25" s="71" customFormat="1" ht="37.5">
      <c r="A520" s="72">
        <v>56</v>
      </c>
      <c r="B520" s="73"/>
      <c r="C520" s="55"/>
      <c r="D520" s="55" t="s">
        <v>52</v>
      </c>
      <c r="E520" s="55"/>
      <c r="F520" s="55"/>
      <c r="G520" s="55"/>
      <c r="H520" s="55"/>
      <c r="I520" s="55"/>
      <c r="J520" s="88" t="s">
        <v>114</v>
      </c>
      <c r="K520" s="110">
        <v>3090000</v>
      </c>
      <c r="L520" s="111" t="s">
        <v>100</v>
      </c>
      <c r="M520" s="111"/>
      <c r="N520" s="55"/>
      <c r="O520" s="55" t="s">
        <v>52</v>
      </c>
      <c r="P520" s="55"/>
      <c r="Q520" s="55"/>
      <c r="R520" s="55"/>
      <c r="S520" s="55" t="s">
        <v>21</v>
      </c>
      <c r="T520" s="55"/>
      <c r="U520" s="55"/>
      <c r="V520" s="55">
        <v>1</v>
      </c>
      <c r="W520" s="55"/>
      <c r="X520" s="55"/>
      <c r="Y520" s="71">
        <v>16</v>
      </c>
    </row>
    <row r="521" spans="1:25" s="71" customFormat="1" ht="37.5">
      <c r="A521" s="67">
        <v>57</v>
      </c>
      <c r="B521" s="73"/>
      <c r="C521" s="55"/>
      <c r="D521" s="55" t="s">
        <v>52</v>
      </c>
      <c r="E521" s="55"/>
      <c r="F521" s="55"/>
      <c r="G521" s="55"/>
      <c r="H521" s="55"/>
      <c r="I521" s="55"/>
      <c r="J521" s="88" t="s">
        <v>115</v>
      </c>
      <c r="K521" s="110">
        <v>2580000</v>
      </c>
      <c r="L521" s="111" t="s">
        <v>100</v>
      </c>
      <c r="M521" s="111"/>
      <c r="N521" s="55"/>
      <c r="O521" s="55" t="s">
        <v>52</v>
      </c>
      <c r="P521" s="55"/>
      <c r="Q521" s="55"/>
      <c r="R521" s="55"/>
      <c r="S521" s="55" t="s">
        <v>21</v>
      </c>
      <c r="T521" s="55"/>
      <c r="U521" s="55">
        <v>1</v>
      </c>
      <c r="V521" s="55"/>
      <c r="W521" s="55"/>
      <c r="X521" s="55"/>
      <c r="Y521" s="71">
        <v>17</v>
      </c>
    </row>
    <row r="522" spans="1:25" s="71" customFormat="1" ht="37.5">
      <c r="A522" s="67">
        <v>58</v>
      </c>
      <c r="B522" s="73"/>
      <c r="C522" s="55"/>
      <c r="D522" s="55" t="s">
        <v>52</v>
      </c>
      <c r="E522" s="55"/>
      <c r="F522" s="55"/>
      <c r="G522" s="55"/>
      <c r="H522" s="55"/>
      <c r="I522" s="55"/>
      <c r="J522" s="88" t="s">
        <v>116</v>
      </c>
      <c r="K522" s="110">
        <v>215000</v>
      </c>
      <c r="L522" s="111" t="s">
        <v>100</v>
      </c>
      <c r="M522" s="111"/>
      <c r="N522" s="55"/>
      <c r="O522" s="55" t="s">
        <v>52</v>
      </c>
      <c r="P522" s="55"/>
      <c r="Q522" s="55"/>
      <c r="R522" s="55"/>
      <c r="S522" s="55" t="s">
        <v>21</v>
      </c>
      <c r="T522" s="55">
        <v>1</v>
      </c>
      <c r="U522" s="55"/>
      <c r="V522" s="55"/>
      <c r="W522" s="55"/>
      <c r="X522" s="55"/>
      <c r="Y522" s="71">
        <v>18</v>
      </c>
    </row>
    <row r="523" spans="1:25" s="71" customFormat="1" ht="56.25">
      <c r="A523" s="72">
        <v>59</v>
      </c>
      <c r="B523" s="112" t="s">
        <v>52</v>
      </c>
      <c r="C523" s="55"/>
      <c r="D523" s="55"/>
      <c r="E523" s="55"/>
      <c r="F523" s="55"/>
      <c r="G523" s="55"/>
      <c r="H523" s="55"/>
      <c r="I523" s="55"/>
      <c r="J523" s="88" t="s">
        <v>92</v>
      </c>
      <c r="K523" s="110">
        <v>960000</v>
      </c>
      <c r="L523" s="111" t="s">
        <v>100</v>
      </c>
      <c r="M523" s="111"/>
      <c r="N523" s="55"/>
      <c r="O523" s="55" t="s">
        <v>52</v>
      </c>
      <c r="P523" s="55"/>
      <c r="Q523" s="55"/>
      <c r="R523" s="55"/>
      <c r="S523" s="55" t="s">
        <v>21</v>
      </c>
      <c r="T523" s="55"/>
      <c r="U523" s="55"/>
      <c r="V523" s="55"/>
      <c r="W523" s="55"/>
      <c r="X523" s="55">
        <v>2</v>
      </c>
      <c r="Y523" s="71">
        <v>19</v>
      </c>
    </row>
    <row r="524" spans="1:25" s="71" customFormat="1">
      <c r="A524" s="67">
        <v>60</v>
      </c>
      <c r="B524" s="73"/>
      <c r="C524" s="55"/>
      <c r="D524" s="55" t="s">
        <v>91</v>
      </c>
      <c r="E524" s="55"/>
      <c r="F524" s="55"/>
      <c r="G524" s="55"/>
      <c r="H524" s="55"/>
      <c r="I524" s="55"/>
      <c r="J524" s="74" t="s">
        <v>117</v>
      </c>
      <c r="K524" s="113">
        <v>3000000</v>
      </c>
      <c r="L524" s="55" t="s">
        <v>21</v>
      </c>
      <c r="M524" s="55" t="s">
        <v>91</v>
      </c>
      <c r="N524" s="55"/>
      <c r="O524" s="55"/>
      <c r="P524" s="55"/>
      <c r="Q524" s="55"/>
      <c r="R524" s="55"/>
      <c r="S524" s="55" t="s">
        <v>21</v>
      </c>
      <c r="T524" s="55" t="s">
        <v>91</v>
      </c>
      <c r="U524" s="55"/>
      <c r="V524" s="55"/>
      <c r="W524" s="55"/>
      <c r="X524" s="55"/>
      <c r="Y524" s="71">
        <v>1</v>
      </c>
    </row>
    <row r="525" spans="1:25" s="71" customFormat="1" ht="37.5">
      <c r="A525" s="67">
        <v>61</v>
      </c>
      <c r="B525" s="73"/>
      <c r="C525" s="55"/>
      <c r="D525" s="55" t="s">
        <v>91</v>
      </c>
      <c r="E525" s="55"/>
      <c r="F525" s="55"/>
      <c r="G525" s="55"/>
      <c r="H525" s="55"/>
      <c r="I525" s="55"/>
      <c r="J525" s="114" t="s">
        <v>118</v>
      </c>
      <c r="K525" s="113">
        <f>5*850000</f>
        <v>4250000</v>
      </c>
      <c r="L525" s="55" t="s">
        <v>21</v>
      </c>
      <c r="M525" s="55" t="s">
        <v>91</v>
      </c>
      <c r="N525" s="55"/>
      <c r="O525" s="55"/>
      <c r="P525" s="55"/>
      <c r="Q525" s="55"/>
      <c r="R525" s="55"/>
      <c r="S525" s="55" t="s">
        <v>21</v>
      </c>
      <c r="T525" s="55" t="s">
        <v>91</v>
      </c>
      <c r="U525" s="55"/>
      <c r="V525" s="55"/>
      <c r="W525" s="55"/>
      <c r="X525" s="55"/>
      <c r="Y525" s="71">
        <v>2</v>
      </c>
    </row>
    <row r="526" spans="1:25" s="71" customFormat="1" ht="56.25">
      <c r="A526" s="72">
        <v>62</v>
      </c>
      <c r="B526" s="73"/>
      <c r="C526" s="55"/>
      <c r="D526" s="55" t="s">
        <v>91</v>
      </c>
      <c r="E526" s="55"/>
      <c r="F526" s="55"/>
      <c r="G526" s="55"/>
      <c r="H526" s="55"/>
      <c r="I526" s="55"/>
      <c r="J526" s="114" t="s">
        <v>119</v>
      </c>
      <c r="K526" s="113">
        <f>2*1000000</f>
        <v>2000000</v>
      </c>
      <c r="L526" s="55" t="s">
        <v>21</v>
      </c>
      <c r="M526" s="55" t="s">
        <v>91</v>
      </c>
      <c r="N526" s="55"/>
      <c r="O526" s="55"/>
      <c r="P526" s="55"/>
      <c r="Q526" s="55"/>
      <c r="R526" s="55"/>
      <c r="S526" s="55" t="s">
        <v>21</v>
      </c>
      <c r="T526" s="55"/>
      <c r="U526" s="55" t="s">
        <v>91</v>
      </c>
      <c r="V526" s="55"/>
      <c r="W526" s="55"/>
      <c r="X526" s="55"/>
      <c r="Y526" s="71">
        <v>3</v>
      </c>
    </row>
    <row r="527" spans="1:25" s="71" customFormat="1" ht="37.5">
      <c r="A527" s="67">
        <v>63</v>
      </c>
      <c r="B527" s="73"/>
      <c r="C527" s="55"/>
      <c r="D527" s="55" t="s">
        <v>91</v>
      </c>
      <c r="E527" s="55"/>
      <c r="F527" s="55"/>
      <c r="G527" s="55"/>
      <c r="H527" s="55"/>
      <c r="I527" s="55"/>
      <c r="J527" s="114" t="s">
        <v>120</v>
      </c>
      <c r="K527" s="113">
        <v>8000000</v>
      </c>
      <c r="L527" s="55" t="s">
        <v>21</v>
      </c>
      <c r="M527" s="55" t="s">
        <v>91</v>
      </c>
      <c r="N527" s="55"/>
      <c r="O527" s="55"/>
      <c r="P527" s="55"/>
      <c r="Q527" s="55"/>
      <c r="R527" s="55"/>
      <c r="S527" s="55" t="s">
        <v>21</v>
      </c>
      <c r="T527" s="55"/>
      <c r="U527" s="55"/>
      <c r="V527" s="55" t="s">
        <v>91</v>
      </c>
      <c r="W527" s="55"/>
      <c r="X527" s="55"/>
      <c r="Y527" s="71">
        <v>4</v>
      </c>
    </row>
    <row r="528" spans="1:25" s="71" customFormat="1" ht="37.5">
      <c r="A528" s="67">
        <v>64</v>
      </c>
      <c r="B528" s="73"/>
      <c r="C528" s="55"/>
      <c r="D528" s="55" t="s">
        <v>91</v>
      </c>
      <c r="E528" s="55"/>
      <c r="F528" s="55"/>
      <c r="G528" s="55"/>
      <c r="H528" s="55"/>
      <c r="I528" s="55"/>
      <c r="J528" s="114" t="s">
        <v>121</v>
      </c>
      <c r="K528" s="113">
        <f>2*8000000</f>
        <v>16000000</v>
      </c>
      <c r="L528" s="55" t="s">
        <v>21</v>
      </c>
      <c r="M528" s="55" t="s">
        <v>91</v>
      </c>
      <c r="N528" s="55"/>
      <c r="O528" s="55"/>
      <c r="P528" s="55"/>
      <c r="Q528" s="55"/>
      <c r="R528" s="55"/>
      <c r="S528" s="55" t="s">
        <v>21</v>
      </c>
      <c r="T528" s="55"/>
      <c r="U528" s="55"/>
      <c r="V528" s="55"/>
      <c r="W528" s="55" t="s">
        <v>91</v>
      </c>
      <c r="X528" s="55"/>
      <c r="Y528" s="71">
        <v>5</v>
      </c>
    </row>
    <row r="529" spans="1:30" s="71" customFormat="1" ht="56.25">
      <c r="A529" s="72">
        <v>65</v>
      </c>
      <c r="B529" s="73"/>
      <c r="C529" s="55"/>
      <c r="D529" s="55" t="s">
        <v>91</v>
      </c>
      <c r="E529" s="55"/>
      <c r="F529" s="55"/>
      <c r="G529" s="55"/>
      <c r="H529" s="55"/>
      <c r="I529" s="55"/>
      <c r="J529" s="114" t="s">
        <v>122</v>
      </c>
      <c r="K529" s="113">
        <v>20000000</v>
      </c>
      <c r="L529" s="55" t="s">
        <v>21</v>
      </c>
      <c r="M529" s="55" t="s">
        <v>91</v>
      </c>
      <c r="N529" s="55"/>
      <c r="O529" s="55"/>
      <c r="P529" s="55"/>
      <c r="Q529" s="55"/>
      <c r="R529" s="55"/>
      <c r="S529" s="55" t="s">
        <v>21</v>
      </c>
      <c r="T529" s="55"/>
      <c r="U529" s="55"/>
      <c r="V529" s="55"/>
      <c r="W529" s="55"/>
      <c r="X529" s="55" t="s">
        <v>91</v>
      </c>
      <c r="Y529" s="71">
        <v>6</v>
      </c>
    </row>
    <row r="530" spans="1:30" s="71" customFormat="1" ht="56.25">
      <c r="A530" s="67">
        <v>66</v>
      </c>
      <c r="B530" s="73"/>
      <c r="C530" s="55"/>
      <c r="D530" s="55"/>
      <c r="E530" s="55"/>
      <c r="F530" s="55"/>
      <c r="G530" s="55"/>
      <c r="H530" s="55" t="s">
        <v>91</v>
      </c>
      <c r="I530" s="55"/>
      <c r="J530" s="88" t="s">
        <v>123</v>
      </c>
      <c r="K530" s="113">
        <v>896000</v>
      </c>
      <c r="L530" s="55" t="s">
        <v>124</v>
      </c>
      <c r="M530" s="55"/>
      <c r="N530" s="55"/>
      <c r="O530" s="55"/>
      <c r="P530" s="55"/>
      <c r="Q530" s="55"/>
      <c r="R530" s="55" t="s">
        <v>91</v>
      </c>
      <c r="S530" s="55"/>
      <c r="T530" s="55" t="s">
        <v>91</v>
      </c>
      <c r="U530" s="55"/>
      <c r="V530" s="55"/>
      <c r="W530" s="55"/>
      <c r="X530" s="55"/>
      <c r="Y530" s="71">
        <v>1</v>
      </c>
    </row>
    <row r="531" spans="1:30" s="71" customFormat="1" ht="56.25">
      <c r="A531" s="67">
        <v>67</v>
      </c>
      <c r="B531" s="73"/>
      <c r="C531" s="55"/>
      <c r="D531" s="55"/>
      <c r="E531" s="55"/>
      <c r="F531" s="55"/>
      <c r="G531" s="55"/>
      <c r="H531" s="55" t="s">
        <v>91</v>
      </c>
      <c r="I531" s="55"/>
      <c r="J531" s="88" t="s">
        <v>125</v>
      </c>
      <c r="K531" s="113">
        <v>722000</v>
      </c>
      <c r="L531" s="55" t="s">
        <v>126</v>
      </c>
      <c r="M531" s="55"/>
      <c r="N531" s="55"/>
      <c r="O531" s="55"/>
      <c r="P531" s="55"/>
      <c r="Q531" s="55"/>
      <c r="R531" s="55" t="s">
        <v>91</v>
      </c>
      <c r="S531" s="55"/>
      <c r="T531" s="55"/>
      <c r="U531" s="55" t="s">
        <v>91</v>
      </c>
      <c r="V531" s="55"/>
      <c r="W531" s="55"/>
      <c r="X531" s="55"/>
      <c r="Y531" s="71">
        <v>2</v>
      </c>
    </row>
    <row r="532" spans="1:30" s="71" customFormat="1" ht="56.25">
      <c r="A532" s="72">
        <v>68</v>
      </c>
      <c r="B532" s="73"/>
      <c r="C532" s="55"/>
      <c r="D532" s="55"/>
      <c r="E532" s="55"/>
      <c r="F532" s="55"/>
      <c r="G532" s="55"/>
      <c r="H532" s="55" t="s">
        <v>91</v>
      </c>
      <c r="I532" s="55"/>
      <c r="J532" s="88" t="s">
        <v>125</v>
      </c>
      <c r="K532" s="113">
        <v>722000</v>
      </c>
      <c r="L532" s="55" t="s">
        <v>127</v>
      </c>
      <c r="M532" s="55"/>
      <c r="N532" s="55"/>
      <c r="O532" s="55"/>
      <c r="P532" s="55"/>
      <c r="Q532" s="55"/>
      <c r="R532" s="55" t="s">
        <v>91</v>
      </c>
      <c r="S532" s="55"/>
      <c r="T532" s="55"/>
      <c r="U532" s="55"/>
      <c r="V532" s="55" t="s">
        <v>91</v>
      </c>
      <c r="W532" s="55"/>
      <c r="X532" s="55"/>
      <c r="Y532" s="71">
        <v>3</v>
      </c>
    </row>
    <row r="533" spans="1:30" s="71" customFormat="1" ht="56.25">
      <c r="A533" s="67">
        <v>69</v>
      </c>
      <c r="B533" s="73"/>
      <c r="C533" s="55"/>
      <c r="D533" s="55"/>
      <c r="E533" s="55"/>
      <c r="F533" s="55"/>
      <c r="G533" s="55"/>
      <c r="H533" s="55" t="s">
        <v>91</v>
      </c>
      <c r="I533" s="55"/>
      <c r="J533" s="88" t="s">
        <v>125</v>
      </c>
      <c r="K533" s="113">
        <v>722000</v>
      </c>
      <c r="L533" s="55" t="s">
        <v>128</v>
      </c>
      <c r="M533" s="55"/>
      <c r="N533" s="55"/>
      <c r="O533" s="55"/>
      <c r="P533" s="55"/>
      <c r="Q533" s="55"/>
      <c r="R533" s="55" t="s">
        <v>91</v>
      </c>
      <c r="S533" s="55"/>
      <c r="T533" s="55"/>
      <c r="U533" s="55"/>
      <c r="V533" s="55"/>
      <c r="W533" s="55" t="s">
        <v>91</v>
      </c>
      <c r="X533" s="55"/>
      <c r="Y533" s="71">
        <v>4</v>
      </c>
    </row>
    <row r="534" spans="1:30" s="71" customFormat="1" ht="56.25">
      <c r="A534" s="67">
        <v>70</v>
      </c>
      <c r="B534" s="73"/>
      <c r="C534" s="55"/>
      <c r="D534" s="55"/>
      <c r="E534" s="55"/>
      <c r="F534" s="55"/>
      <c r="G534" s="55"/>
      <c r="H534" s="55" t="s">
        <v>91</v>
      </c>
      <c r="I534" s="55"/>
      <c r="J534" s="88" t="s">
        <v>125</v>
      </c>
      <c r="K534" s="113">
        <v>722000</v>
      </c>
      <c r="L534" s="55" t="s">
        <v>129</v>
      </c>
      <c r="M534" s="55"/>
      <c r="N534" s="55"/>
      <c r="O534" s="55"/>
      <c r="P534" s="55"/>
      <c r="Q534" s="55"/>
      <c r="R534" s="55" t="s">
        <v>91</v>
      </c>
      <c r="S534" s="55"/>
      <c r="T534" s="55"/>
      <c r="U534" s="55"/>
      <c r="V534" s="55"/>
      <c r="W534" s="55" t="s">
        <v>91</v>
      </c>
      <c r="X534" s="55"/>
      <c r="Y534" s="71">
        <v>5</v>
      </c>
    </row>
    <row r="535" spans="1:30" s="71" customFormat="1" ht="56.25">
      <c r="A535" s="72">
        <v>71</v>
      </c>
      <c r="B535" s="73"/>
      <c r="C535" s="55"/>
      <c r="D535" s="55"/>
      <c r="E535" s="55"/>
      <c r="F535" s="55"/>
      <c r="G535" s="55"/>
      <c r="H535" s="55" t="s">
        <v>91</v>
      </c>
      <c r="I535" s="55"/>
      <c r="J535" s="88" t="s">
        <v>125</v>
      </c>
      <c r="K535" s="113">
        <v>722000</v>
      </c>
      <c r="L535" s="55" t="s">
        <v>130</v>
      </c>
      <c r="M535" s="55"/>
      <c r="N535" s="55"/>
      <c r="O535" s="55"/>
      <c r="P535" s="55"/>
      <c r="Q535" s="55"/>
      <c r="R535" s="55" t="s">
        <v>91</v>
      </c>
      <c r="S535" s="55"/>
      <c r="T535" s="55"/>
      <c r="U535" s="55"/>
      <c r="V535" s="55"/>
      <c r="W535" s="55"/>
      <c r="X535" s="55" t="s">
        <v>91</v>
      </c>
      <c r="Y535" s="71">
        <v>6</v>
      </c>
    </row>
    <row r="536" spans="1:30" s="657" customFormat="1" ht="56.25">
      <c r="A536" s="650">
        <v>1</v>
      </c>
      <c r="B536" s="651"/>
      <c r="C536" s="651"/>
      <c r="D536" s="651" t="s">
        <v>91</v>
      </c>
      <c r="E536" s="651"/>
      <c r="F536" s="651"/>
      <c r="G536" s="651"/>
      <c r="H536" s="651"/>
      <c r="I536" s="651"/>
      <c r="J536" s="652" t="s">
        <v>570</v>
      </c>
      <c r="K536" s="653">
        <v>1</v>
      </c>
      <c r="L536" s="654" t="s">
        <v>571</v>
      </c>
      <c r="M536" s="655"/>
      <c r="N536" s="655" t="s">
        <v>91</v>
      </c>
      <c r="O536" s="655"/>
      <c r="P536" s="655"/>
      <c r="Q536" s="655"/>
      <c r="R536" s="655"/>
      <c r="S536" s="656" t="s">
        <v>24</v>
      </c>
      <c r="T536" s="654">
        <v>8</v>
      </c>
      <c r="U536" s="655"/>
      <c r="V536" s="655">
        <v>8</v>
      </c>
      <c r="W536" s="655"/>
      <c r="X536" s="655"/>
      <c r="Z536" s="658">
        <f>T536*$K536</f>
        <v>8</v>
      </c>
      <c r="AA536" s="658">
        <f t="shared" ref="AA536:AD551" si="0">U536*$K536</f>
        <v>0</v>
      </c>
      <c r="AB536" s="658">
        <f t="shared" si="0"/>
        <v>8</v>
      </c>
      <c r="AC536" s="658">
        <f t="shared" si="0"/>
        <v>0</v>
      </c>
      <c r="AD536" s="658">
        <f t="shared" si="0"/>
        <v>0</v>
      </c>
    </row>
    <row r="537" spans="1:30" s="657" customFormat="1" ht="37.5">
      <c r="A537" s="650">
        <v>2</v>
      </c>
      <c r="B537" s="651"/>
      <c r="C537" s="651"/>
      <c r="D537" s="651"/>
      <c r="E537" s="651"/>
      <c r="F537" s="651" t="s">
        <v>91</v>
      </c>
      <c r="G537" s="651"/>
      <c r="H537" s="651"/>
      <c r="I537" s="651"/>
      <c r="J537" s="652" t="s">
        <v>572</v>
      </c>
      <c r="K537" s="653">
        <v>6.5</v>
      </c>
      <c r="L537" s="654" t="s">
        <v>571</v>
      </c>
      <c r="M537" s="655"/>
      <c r="N537" s="655" t="s">
        <v>91</v>
      </c>
      <c r="O537" s="655"/>
      <c r="P537" s="655"/>
      <c r="Q537" s="655"/>
      <c r="R537" s="655"/>
      <c r="S537" s="656" t="s">
        <v>24</v>
      </c>
      <c r="T537" s="654">
        <v>1</v>
      </c>
      <c r="U537" s="655"/>
      <c r="V537" s="655">
        <v>1</v>
      </c>
      <c r="W537" s="655"/>
      <c r="X537" s="655"/>
      <c r="Z537" s="658">
        <f>T537*$K537</f>
        <v>6.5</v>
      </c>
      <c r="AA537" s="658">
        <f t="shared" si="0"/>
        <v>0</v>
      </c>
      <c r="AB537" s="658">
        <f t="shared" si="0"/>
        <v>6.5</v>
      </c>
      <c r="AC537" s="658">
        <f t="shared" si="0"/>
        <v>0</v>
      </c>
      <c r="AD537" s="658">
        <f t="shared" si="0"/>
        <v>0</v>
      </c>
    </row>
    <row r="538" spans="1:30" s="657" customFormat="1" ht="69.75" customHeight="1">
      <c r="A538" s="650">
        <v>3</v>
      </c>
      <c r="B538" s="651"/>
      <c r="C538" s="651"/>
      <c r="D538" s="651"/>
      <c r="E538" s="651"/>
      <c r="F538" s="651" t="s">
        <v>91</v>
      </c>
      <c r="G538" s="651"/>
      <c r="H538" s="651"/>
      <c r="I538" s="651"/>
      <c r="J538" s="652" t="s">
        <v>573</v>
      </c>
      <c r="K538" s="659">
        <v>1.9</v>
      </c>
      <c r="L538" s="654" t="s">
        <v>571</v>
      </c>
      <c r="M538" s="655"/>
      <c r="N538" s="655" t="s">
        <v>91</v>
      </c>
      <c r="O538" s="655"/>
      <c r="P538" s="655"/>
      <c r="Q538" s="655"/>
      <c r="R538" s="655"/>
      <c r="S538" s="656" t="s">
        <v>24</v>
      </c>
      <c r="T538" s="654">
        <v>1</v>
      </c>
      <c r="U538" s="655"/>
      <c r="V538" s="655"/>
      <c r="W538" s="655"/>
      <c r="X538" s="655"/>
      <c r="Z538" s="658">
        <f t="shared" ref="Z538:AD600" si="1">T538*$K538</f>
        <v>1.9</v>
      </c>
      <c r="AA538" s="658">
        <f t="shared" si="0"/>
        <v>0</v>
      </c>
      <c r="AB538" s="658">
        <f t="shared" si="0"/>
        <v>0</v>
      </c>
      <c r="AC538" s="658">
        <f t="shared" si="0"/>
        <v>0</v>
      </c>
      <c r="AD538" s="658">
        <f t="shared" si="0"/>
        <v>0</v>
      </c>
    </row>
    <row r="539" spans="1:30" s="657" customFormat="1">
      <c r="A539" s="650">
        <v>4</v>
      </c>
      <c r="B539" s="651"/>
      <c r="C539" s="651"/>
      <c r="D539" s="651" t="s">
        <v>91</v>
      </c>
      <c r="E539" s="651"/>
      <c r="F539" s="651"/>
      <c r="G539" s="651"/>
      <c r="H539" s="651"/>
      <c r="I539" s="651"/>
      <c r="J539" s="652" t="s">
        <v>574</v>
      </c>
      <c r="K539" s="659">
        <v>1</v>
      </c>
      <c r="L539" s="654" t="s">
        <v>571</v>
      </c>
      <c r="M539" s="655"/>
      <c r="N539" s="655" t="s">
        <v>91</v>
      </c>
      <c r="O539" s="655"/>
      <c r="P539" s="655"/>
      <c r="Q539" s="655"/>
      <c r="R539" s="655"/>
      <c r="S539" s="656" t="s">
        <v>24</v>
      </c>
      <c r="T539" s="654">
        <v>1</v>
      </c>
      <c r="U539" s="655"/>
      <c r="V539" s="655"/>
      <c r="W539" s="655"/>
      <c r="X539" s="655"/>
      <c r="Z539" s="658">
        <f t="shared" si="1"/>
        <v>1</v>
      </c>
      <c r="AA539" s="658">
        <f t="shared" si="0"/>
        <v>0</v>
      </c>
      <c r="AB539" s="658">
        <f t="shared" si="0"/>
        <v>0</v>
      </c>
      <c r="AC539" s="658">
        <f t="shared" si="0"/>
        <v>0</v>
      </c>
      <c r="AD539" s="658">
        <f t="shared" si="0"/>
        <v>0</v>
      </c>
    </row>
    <row r="540" spans="1:30" s="657" customFormat="1" ht="37.5">
      <c r="A540" s="650">
        <v>5</v>
      </c>
      <c r="B540" s="651"/>
      <c r="C540" s="651"/>
      <c r="D540" s="651" t="s">
        <v>91</v>
      </c>
      <c r="E540" s="651"/>
      <c r="F540" s="651"/>
      <c r="G540" s="651"/>
      <c r="H540" s="651"/>
      <c r="I540" s="651"/>
      <c r="J540" s="660" t="s">
        <v>575</v>
      </c>
      <c r="K540" s="653">
        <v>1</v>
      </c>
      <c r="L540" s="654" t="s">
        <v>571</v>
      </c>
      <c r="M540" s="655"/>
      <c r="N540" s="655" t="s">
        <v>91</v>
      </c>
      <c r="O540" s="655"/>
      <c r="P540" s="655"/>
      <c r="Q540" s="655"/>
      <c r="R540" s="655"/>
      <c r="S540" s="656" t="s">
        <v>24</v>
      </c>
      <c r="T540" s="654">
        <v>1</v>
      </c>
      <c r="U540" s="655"/>
      <c r="V540" s="655">
        <v>8</v>
      </c>
      <c r="W540" s="655"/>
      <c r="X540" s="655"/>
      <c r="Z540" s="658">
        <f t="shared" si="1"/>
        <v>1</v>
      </c>
      <c r="AA540" s="658">
        <f t="shared" si="0"/>
        <v>0</v>
      </c>
      <c r="AB540" s="658">
        <f t="shared" si="0"/>
        <v>8</v>
      </c>
      <c r="AC540" s="658">
        <f t="shared" si="0"/>
        <v>0</v>
      </c>
      <c r="AD540" s="658">
        <f t="shared" si="0"/>
        <v>0</v>
      </c>
    </row>
    <row r="541" spans="1:30" s="657" customFormat="1">
      <c r="A541" s="650">
        <v>6</v>
      </c>
      <c r="B541" s="651"/>
      <c r="C541" s="651"/>
      <c r="D541" s="651" t="s">
        <v>91</v>
      </c>
      <c r="E541" s="651"/>
      <c r="F541" s="651"/>
      <c r="G541" s="651"/>
      <c r="H541" s="651"/>
      <c r="I541" s="651"/>
      <c r="J541" s="660" t="s">
        <v>576</v>
      </c>
      <c r="K541" s="659">
        <v>1.84</v>
      </c>
      <c r="L541" s="654" t="s">
        <v>571</v>
      </c>
      <c r="M541" s="655"/>
      <c r="N541" s="655" t="s">
        <v>91</v>
      </c>
      <c r="O541" s="655"/>
      <c r="P541" s="655"/>
      <c r="Q541" s="655"/>
      <c r="R541" s="655"/>
      <c r="S541" s="656" t="s">
        <v>24</v>
      </c>
      <c r="T541" s="661">
        <v>1</v>
      </c>
      <c r="U541" s="655">
        <v>1</v>
      </c>
      <c r="V541" s="655"/>
      <c r="W541" s="655">
        <v>1</v>
      </c>
      <c r="X541" s="655"/>
      <c r="Z541" s="658">
        <f t="shared" si="1"/>
        <v>1.84</v>
      </c>
      <c r="AA541" s="658">
        <f t="shared" si="0"/>
        <v>1.84</v>
      </c>
      <c r="AB541" s="658">
        <f t="shared" si="0"/>
        <v>0</v>
      </c>
      <c r="AC541" s="658">
        <f t="shared" si="0"/>
        <v>1.84</v>
      </c>
      <c r="AD541" s="658">
        <f t="shared" si="0"/>
        <v>0</v>
      </c>
    </row>
    <row r="542" spans="1:30" s="657" customFormat="1" ht="37.5">
      <c r="A542" s="650">
        <v>7</v>
      </c>
      <c r="B542" s="651"/>
      <c r="C542" s="651"/>
      <c r="D542" s="651" t="s">
        <v>91</v>
      </c>
      <c r="E542" s="651"/>
      <c r="F542" s="651"/>
      <c r="G542" s="651"/>
      <c r="H542" s="651"/>
      <c r="I542" s="651"/>
      <c r="J542" s="652" t="s">
        <v>577</v>
      </c>
      <c r="K542" s="659">
        <v>1.7</v>
      </c>
      <c r="L542" s="654" t="s">
        <v>571</v>
      </c>
      <c r="M542" s="655"/>
      <c r="N542" s="655" t="s">
        <v>91</v>
      </c>
      <c r="O542" s="655"/>
      <c r="P542" s="655"/>
      <c r="Q542" s="655"/>
      <c r="R542" s="655"/>
      <c r="S542" s="656" t="s">
        <v>24</v>
      </c>
      <c r="T542" s="661">
        <v>2</v>
      </c>
      <c r="U542" s="655"/>
      <c r="V542" s="655"/>
      <c r="W542" s="655"/>
      <c r="X542" s="655"/>
      <c r="Z542" s="658">
        <f t="shared" si="1"/>
        <v>3.4</v>
      </c>
      <c r="AA542" s="658">
        <f t="shared" si="0"/>
        <v>0</v>
      </c>
      <c r="AB542" s="658">
        <f t="shared" si="0"/>
        <v>0</v>
      </c>
      <c r="AC542" s="658">
        <f t="shared" si="0"/>
        <v>0</v>
      </c>
      <c r="AD542" s="658">
        <f t="shared" si="0"/>
        <v>0</v>
      </c>
    </row>
    <row r="543" spans="1:30" s="657" customFormat="1" ht="37.5">
      <c r="A543" s="650">
        <v>8</v>
      </c>
      <c r="B543" s="651"/>
      <c r="C543" s="651"/>
      <c r="D543" s="651"/>
      <c r="E543" s="651"/>
      <c r="F543" s="651" t="s">
        <v>91</v>
      </c>
      <c r="G543" s="651"/>
      <c r="H543" s="651"/>
      <c r="I543" s="651"/>
      <c r="J543" s="660" t="s">
        <v>578</v>
      </c>
      <c r="K543" s="653">
        <v>1.3</v>
      </c>
      <c r="L543" s="654" t="s">
        <v>571</v>
      </c>
      <c r="M543" s="655"/>
      <c r="N543" s="655" t="s">
        <v>91</v>
      </c>
      <c r="O543" s="655"/>
      <c r="P543" s="655"/>
      <c r="Q543" s="655"/>
      <c r="R543" s="655"/>
      <c r="S543" s="656" t="s">
        <v>24</v>
      </c>
      <c r="T543" s="654">
        <v>1</v>
      </c>
      <c r="U543" s="655"/>
      <c r="V543" s="655"/>
      <c r="W543" s="655"/>
      <c r="X543" s="655"/>
      <c r="Z543" s="658">
        <f t="shared" si="1"/>
        <v>1.3</v>
      </c>
      <c r="AA543" s="658">
        <f t="shared" si="0"/>
        <v>0</v>
      </c>
      <c r="AB543" s="658">
        <f t="shared" si="0"/>
        <v>0</v>
      </c>
      <c r="AC543" s="658">
        <f t="shared" si="0"/>
        <v>0</v>
      </c>
      <c r="AD543" s="658">
        <f t="shared" si="0"/>
        <v>0</v>
      </c>
    </row>
    <row r="544" spans="1:30" s="657" customFormat="1">
      <c r="A544" s="650">
        <v>9</v>
      </c>
      <c r="B544" s="651"/>
      <c r="C544" s="651"/>
      <c r="D544" s="651" t="s">
        <v>91</v>
      </c>
      <c r="E544" s="651"/>
      <c r="F544" s="651"/>
      <c r="G544" s="651"/>
      <c r="H544" s="651"/>
      <c r="I544" s="651"/>
      <c r="J544" s="660" t="s">
        <v>579</v>
      </c>
      <c r="K544" s="653">
        <v>4</v>
      </c>
      <c r="L544" s="654" t="s">
        <v>571</v>
      </c>
      <c r="M544" s="655"/>
      <c r="N544" s="655" t="s">
        <v>91</v>
      </c>
      <c r="O544" s="655"/>
      <c r="P544" s="655"/>
      <c r="Q544" s="655"/>
      <c r="R544" s="655"/>
      <c r="S544" s="656" t="s">
        <v>24</v>
      </c>
      <c r="T544" s="654">
        <v>1</v>
      </c>
      <c r="U544" s="655"/>
      <c r="V544" s="655"/>
      <c r="W544" s="655"/>
      <c r="X544" s="655"/>
      <c r="Z544" s="658">
        <f t="shared" si="1"/>
        <v>4</v>
      </c>
      <c r="AA544" s="658">
        <f t="shared" si="0"/>
        <v>0</v>
      </c>
      <c r="AB544" s="658">
        <f t="shared" si="0"/>
        <v>0</v>
      </c>
      <c r="AC544" s="658">
        <f t="shared" si="0"/>
        <v>0</v>
      </c>
      <c r="AD544" s="658">
        <f t="shared" si="0"/>
        <v>0</v>
      </c>
    </row>
    <row r="545" spans="1:30" s="657" customFormat="1" ht="37.5">
      <c r="A545" s="650">
        <v>10</v>
      </c>
      <c r="B545" s="651"/>
      <c r="C545" s="651"/>
      <c r="D545" s="651"/>
      <c r="E545" s="651"/>
      <c r="F545" s="651" t="s">
        <v>91</v>
      </c>
      <c r="G545" s="651"/>
      <c r="H545" s="651"/>
      <c r="I545" s="651"/>
      <c r="J545" s="660" t="s">
        <v>580</v>
      </c>
      <c r="K545" s="653">
        <v>2</v>
      </c>
      <c r="L545" s="654" t="s">
        <v>571</v>
      </c>
      <c r="M545" s="655"/>
      <c r="N545" s="655" t="s">
        <v>91</v>
      </c>
      <c r="O545" s="655"/>
      <c r="P545" s="655"/>
      <c r="Q545" s="655"/>
      <c r="R545" s="655"/>
      <c r="S545" s="656" t="s">
        <v>24</v>
      </c>
      <c r="T545" s="654">
        <v>1</v>
      </c>
      <c r="U545" s="655"/>
      <c r="V545" s="655"/>
      <c r="W545" s="655"/>
      <c r="X545" s="655"/>
      <c r="Z545" s="658">
        <f t="shared" si="1"/>
        <v>2</v>
      </c>
      <c r="AA545" s="658">
        <f t="shared" si="0"/>
        <v>0</v>
      </c>
      <c r="AB545" s="658">
        <f t="shared" si="0"/>
        <v>0</v>
      </c>
      <c r="AC545" s="658">
        <f t="shared" si="0"/>
        <v>0</v>
      </c>
      <c r="AD545" s="658">
        <f t="shared" si="0"/>
        <v>0</v>
      </c>
    </row>
    <row r="546" spans="1:30" s="657" customFormat="1" ht="56.25">
      <c r="A546" s="650">
        <v>11</v>
      </c>
      <c r="B546" s="651"/>
      <c r="C546" s="651"/>
      <c r="D546" s="651"/>
      <c r="E546" s="651"/>
      <c r="F546" s="651" t="s">
        <v>91</v>
      </c>
      <c r="G546" s="651"/>
      <c r="H546" s="651"/>
      <c r="I546" s="651"/>
      <c r="J546" s="660" t="s">
        <v>581</v>
      </c>
      <c r="K546" s="659">
        <v>2</v>
      </c>
      <c r="L546" s="654" t="s">
        <v>571</v>
      </c>
      <c r="M546" s="655"/>
      <c r="N546" s="655" t="s">
        <v>91</v>
      </c>
      <c r="O546" s="655"/>
      <c r="P546" s="655"/>
      <c r="Q546" s="655"/>
      <c r="R546" s="655"/>
      <c r="S546" s="656" t="s">
        <v>24</v>
      </c>
      <c r="T546" s="654">
        <v>1</v>
      </c>
      <c r="U546" s="655"/>
      <c r="V546" s="655"/>
      <c r="W546" s="655"/>
      <c r="X546" s="655"/>
      <c r="Z546" s="658">
        <f t="shared" si="1"/>
        <v>2</v>
      </c>
      <c r="AA546" s="658">
        <f t="shared" si="0"/>
        <v>0</v>
      </c>
      <c r="AB546" s="658">
        <f t="shared" si="0"/>
        <v>0</v>
      </c>
      <c r="AC546" s="658">
        <f t="shared" si="0"/>
        <v>0</v>
      </c>
      <c r="AD546" s="658">
        <f t="shared" si="0"/>
        <v>0</v>
      </c>
    </row>
    <row r="547" spans="1:30" s="657" customFormat="1">
      <c r="A547" s="650">
        <v>12</v>
      </c>
      <c r="B547" s="651"/>
      <c r="C547" s="651"/>
      <c r="D547" s="651"/>
      <c r="E547" s="651"/>
      <c r="F547" s="651"/>
      <c r="G547" s="651"/>
      <c r="H547" s="651"/>
      <c r="I547" s="651"/>
      <c r="J547" s="660" t="s">
        <v>582</v>
      </c>
      <c r="K547" s="653">
        <v>1</v>
      </c>
      <c r="L547" s="654" t="s">
        <v>571</v>
      </c>
      <c r="M547" s="655"/>
      <c r="N547" s="655" t="s">
        <v>91</v>
      </c>
      <c r="O547" s="655"/>
      <c r="P547" s="655"/>
      <c r="Q547" s="655"/>
      <c r="R547" s="655"/>
      <c r="S547" s="656" t="s">
        <v>24</v>
      </c>
      <c r="T547" s="654">
        <v>1</v>
      </c>
      <c r="U547" s="655"/>
      <c r="V547" s="655"/>
      <c r="W547" s="655"/>
      <c r="X547" s="655"/>
      <c r="Z547" s="658">
        <f t="shared" si="1"/>
        <v>1</v>
      </c>
      <c r="AA547" s="658">
        <f t="shared" si="0"/>
        <v>0</v>
      </c>
      <c r="AB547" s="658">
        <f t="shared" si="0"/>
        <v>0</v>
      </c>
      <c r="AC547" s="658">
        <f t="shared" si="0"/>
        <v>0</v>
      </c>
      <c r="AD547" s="658">
        <f t="shared" si="0"/>
        <v>0</v>
      </c>
    </row>
    <row r="548" spans="1:30" s="657" customFormat="1" ht="23.25" customHeight="1">
      <c r="A548" s="650">
        <v>13</v>
      </c>
      <c r="B548" s="651"/>
      <c r="C548" s="651"/>
      <c r="D548" s="651" t="s">
        <v>91</v>
      </c>
      <c r="E548" s="651"/>
      <c r="F548" s="651"/>
      <c r="G548" s="651"/>
      <c r="H548" s="651"/>
      <c r="I548" s="651"/>
      <c r="J548" s="660" t="s">
        <v>583</v>
      </c>
      <c r="K548" s="653">
        <v>1.2</v>
      </c>
      <c r="L548" s="654" t="s">
        <v>571</v>
      </c>
      <c r="M548" s="655"/>
      <c r="N548" s="655" t="s">
        <v>91</v>
      </c>
      <c r="O548" s="655"/>
      <c r="P548" s="655"/>
      <c r="Q548" s="655"/>
      <c r="R548" s="655"/>
      <c r="S548" s="656" t="s">
        <v>24</v>
      </c>
      <c r="T548" s="654">
        <v>1</v>
      </c>
      <c r="U548" s="655"/>
      <c r="V548" s="655"/>
      <c r="W548" s="655"/>
      <c r="X548" s="655"/>
      <c r="Z548" s="658">
        <f t="shared" si="1"/>
        <v>1.2</v>
      </c>
      <c r="AA548" s="658">
        <f t="shared" si="0"/>
        <v>0</v>
      </c>
      <c r="AB548" s="658">
        <f t="shared" si="0"/>
        <v>0</v>
      </c>
      <c r="AC548" s="658">
        <f t="shared" si="0"/>
        <v>0</v>
      </c>
      <c r="AD548" s="658">
        <f t="shared" si="0"/>
        <v>0</v>
      </c>
    </row>
    <row r="549" spans="1:30" s="657" customFormat="1" ht="23.25" customHeight="1">
      <c r="A549" s="650">
        <v>14</v>
      </c>
      <c r="B549" s="651" t="s">
        <v>91</v>
      </c>
      <c r="C549" s="651"/>
      <c r="D549" s="651"/>
      <c r="E549" s="651"/>
      <c r="F549" s="651"/>
      <c r="G549" s="651"/>
      <c r="H549" s="651"/>
      <c r="I549" s="651"/>
      <c r="J549" s="662" t="s">
        <v>584</v>
      </c>
      <c r="K549" s="659">
        <v>0.33</v>
      </c>
      <c r="L549" s="654" t="s">
        <v>571</v>
      </c>
      <c r="M549" s="655"/>
      <c r="N549" s="655" t="s">
        <v>91</v>
      </c>
      <c r="O549" s="655"/>
      <c r="P549" s="655"/>
      <c r="Q549" s="655"/>
      <c r="R549" s="655"/>
      <c r="S549" s="656" t="s">
        <v>24</v>
      </c>
      <c r="T549" s="661">
        <v>1</v>
      </c>
      <c r="U549" s="655"/>
      <c r="V549" s="655"/>
      <c r="W549" s="655"/>
      <c r="X549" s="655"/>
      <c r="Z549" s="658">
        <f t="shared" si="1"/>
        <v>0.33</v>
      </c>
      <c r="AA549" s="658">
        <f t="shared" si="0"/>
        <v>0</v>
      </c>
      <c r="AB549" s="658">
        <f t="shared" si="0"/>
        <v>0</v>
      </c>
      <c r="AC549" s="658">
        <f t="shared" si="0"/>
        <v>0</v>
      </c>
      <c r="AD549" s="658">
        <f t="shared" si="0"/>
        <v>0</v>
      </c>
    </row>
    <row r="550" spans="1:30" s="657" customFormat="1">
      <c r="A550" s="650">
        <v>15</v>
      </c>
      <c r="B550" s="651"/>
      <c r="C550" s="651"/>
      <c r="D550" s="651"/>
      <c r="E550" s="651"/>
      <c r="F550" s="651"/>
      <c r="G550" s="651" t="s">
        <v>91</v>
      </c>
      <c r="H550" s="651"/>
      <c r="I550" s="651"/>
      <c r="J550" s="660" t="s">
        <v>585</v>
      </c>
      <c r="K550" s="659">
        <v>1.35</v>
      </c>
      <c r="L550" s="654" t="s">
        <v>571</v>
      </c>
      <c r="M550" s="655"/>
      <c r="N550" s="655" t="s">
        <v>91</v>
      </c>
      <c r="O550" s="655"/>
      <c r="P550" s="655"/>
      <c r="Q550" s="655"/>
      <c r="R550" s="655"/>
      <c r="S550" s="656" t="s">
        <v>24</v>
      </c>
      <c r="T550" s="661">
        <v>1</v>
      </c>
      <c r="U550" s="655"/>
      <c r="V550" s="655"/>
      <c r="W550" s="655"/>
      <c r="X550" s="655"/>
      <c r="Z550" s="658">
        <f t="shared" si="1"/>
        <v>1.35</v>
      </c>
      <c r="AA550" s="658">
        <f t="shared" si="0"/>
        <v>0</v>
      </c>
      <c r="AB550" s="658">
        <f t="shared" si="0"/>
        <v>0</v>
      </c>
      <c r="AC550" s="658">
        <f t="shared" si="0"/>
        <v>0</v>
      </c>
      <c r="AD550" s="658">
        <f t="shared" si="0"/>
        <v>0</v>
      </c>
    </row>
    <row r="551" spans="1:30" s="657" customFormat="1" ht="37.5">
      <c r="A551" s="650">
        <v>16</v>
      </c>
      <c r="B551" s="651"/>
      <c r="C551" s="651"/>
      <c r="D551" s="651"/>
      <c r="E551" s="651"/>
      <c r="F551" s="651"/>
      <c r="G551" s="651" t="s">
        <v>91</v>
      </c>
      <c r="H551" s="651"/>
      <c r="I551" s="651"/>
      <c r="J551" s="660" t="s">
        <v>586</v>
      </c>
      <c r="K551" s="659">
        <v>0.55000000000000004</v>
      </c>
      <c r="L551" s="654" t="s">
        <v>571</v>
      </c>
      <c r="M551" s="655"/>
      <c r="N551" s="655" t="s">
        <v>91</v>
      </c>
      <c r="O551" s="655"/>
      <c r="P551" s="655"/>
      <c r="Q551" s="655"/>
      <c r="R551" s="655"/>
      <c r="S551" s="656" t="s">
        <v>24</v>
      </c>
      <c r="T551" s="661">
        <v>1</v>
      </c>
      <c r="U551" s="655"/>
      <c r="V551" s="655"/>
      <c r="W551" s="655"/>
      <c r="X551" s="655"/>
      <c r="Z551" s="658">
        <f t="shared" si="1"/>
        <v>0.55000000000000004</v>
      </c>
      <c r="AA551" s="658">
        <f t="shared" si="0"/>
        <v>0</v>
      </c>
      <c r="AB551" s="658">
        <f t="shared" si="0"/>
        <v>0</v>
      </c>
      <c r="AC551" s="658">
        <f t="shared" si="0"/>
        <v>0</v>
      </c>
      <c r="AD551" s="658">
        <f t="shared" si="0"/>
        <v>0</v>
      </c>
    </row>
    <row r="552" spans="1:30" s="657" customFormat="1" ht="37.5">
      <c r="A552" s="650">
        <v>17</v>
      </c>
      <c r="B552" s="651"/>
      <c r="C552" s="651"/>
      <c r="D552" s="651"/>
      <c r="E552" s="651"/>
      <c r="F552" s="651"/>
      <c r="G552" s="651"/>
      <c r="H552" s="651" t="s">
        <v>91</v>
      </c>
      <c r="I552" s="651"/>
      <c r="J552" s="663" t="s">
        <v>587</v>
      </c>
      <c r="K552" s="664">
        <v>2</v>
      </c>
      <c r="L552" s="654" t="s">
        <v>571</v>
      </c>
      <c r="M552" s="655"/>
      <c r="N552" s="655" t="s">
        <v>91</v>
      </c>
      <c r="O552" s="655"/>
      <c r="P552" s="655"/>
      <c r="Q552" s="655"/>
      <c r="R552" s="655"/>
      <c r="S552" s="656" t="s">
        <v>24</v>
      </c>
      <c r="T552" s="661">
        <v>1</v>
      </c>
      <c r="U552" s="655"/>
      <c r="V552" s="655">
        <v>1</v>
      </c>
      <c r="W552" s="655"/>
      <c r="X552" s="655">
        <v>1</v>
      </c>
      <c r="Z552" s="658">
        <f t="shared" si="1"/>
        <v>2</v>
      </c>
      <c r="AA552" s="658">
        <f t="shared" si="1"/>
        <v>0</v>
      </c>
      <c r="AB552" s="658">
        <f t="shared" si="1"/>
        <v>2</v>
      </c>
      <c r="AC552" s="658">
        <f t="shared" si="1"/>
        <v>0</v>
      </c>
      <c r="AD552" s="658">
        <f t="shared" si="1"/>
        <v>2</v>
      </c>
    </row>
    <row r="553" spans="1:30" s="657" customFormat="1" ht="37.5">
      <c r="A553" s="650">
        <v>18</v>
      </c>
      <c r="B553" s="651"/>
      <c r="C553" s="651"/>
      <c r="D553" s="651"/>
      <c r="E553" s="651"/>
      <c r="F553" s="651"/>
      <c r="G553" s="651" t="s">
        <v>91</v>
      </c>
      <c r="H553" s="651"/>
      <c r="I553" s="665"/>
      <c r="J553" s="666" t="s">
        <v>588</v>
      </c>
      <c r="K553" s="667">
        <v>0.75</v>
      </c>
      <c r="L553" s="668" t="s">
        <v>589</v>
      </c>
      <c r="M553" s="655"/>
      <c r="N553" s="655"/>
      <c r="O553" s="655" t="s">
        <v>91</v>
      </c>
      <c r="P553" s="655"/>
      <c r="Q553" s="655"/>
      <c r="R553" s="655"/>
      <c r="S553" s="656" t="s">
        <v>24</v>
      </c>
      <c r="T553" s="661">
        <v>1</v>
      </c>
      <c r="U553" s="655"/>
      <c r="V553" s="655"/>
      <c r="W553" s="655"/>
      <c r="X553" s="655"/>
      <c r="Z553" s="658">
        <f t="shared" si="1"/>
        <v>0.75</v>
      </c>
      <c r="AA553" s="658">
        <f t="shared" si="1"/>
        <v>0</v>
      </c>
      <c r="AB553" s="658">
        <f t="shared" si="1"/>
        <v>0</v>
      </c>
      <c r="AC553" s="658">
        <f t="shared" si="1"/>
        <v>0</v>
      </c>
      <c r="AD553" s="658">
        <f t="shared" si="1"/>
        <v>0</v>
      </c>
    </row>
    <row r="554" spans="1:30" s="657" customFormat="1" ht="56.25">
      <c r="A554" s="650">
        <v>19</v>
      </c>
      <c r="B554" s="651"/>
      <c r="C554" s="651"/>
      <c r="D554" s="651"/>
      <c r="E554" s="651"/>
      <c r="F554" s="651"/>
      <c r="G554" s="651" t="s">
        <v>91</v>
      </c>
      <c r="H554" s="651"/>
      <c r="I554" s="665"/>
      <c r="J554" s="666" t="s">
        <v>590</v>
      </c>
      <c r="K554" s="667">
        <v>3.7</v>
      </c>
      <c r="L554" s="668" t="s">
        <v>589</v>
      </c>
      <c r="M554" s="655"/>
      <c r="N554" s="655"/>
      <c r="O554" s="655" t="s">
        <v>91</v>
      </c>
      <c r="P554" s="655"/>
      <c r="Q554" s="655"/>
      <c r="R554" s="655"/>
      <c r="S554" s="656" t="s">
        <v>24</v>
      </c>
      <c r="T554" s="668">
        <v>1</v>
      </c>
      <c r="U554" s="655"/>
      <c r="V554" s="655"/>
      <c r="W554" s="655"/>
      <c r="X554" s="655"/>
      <c r="Z554" s="658">
        <f t="shared" si="1"/>
        <v>3.7</v>
      </c>
      <c r="AA554" s="658">
        <f t="shared" si="1"/>
        <v>0</v>
      </c>
      <c r="AB554" s="658">
        <f t="shared" si="1"/>
        <v>0</v>
      </c>
      <c r="AC554" s="658">
        <f t="shared" si="1"/>
        <v>0</v>
      </c>
      <c r="AD554" s="658">
        <f t="shared" si="1"/>
        <v>0</v>
      </c>
    </row>
    <row r="555" spans="1:30" s="657" customFormat="1" ht="37.5">
      <c r="A555" s="650">
        <v>20</v>
      </c>
      <c r="B555" s="651"/>
      <c r="C555" s="651"/>
      <c r="D555" s="651" t="s">
        <v>91</v>
      </c>
      <c r="E555" s="651"/>
      <c r="F555" s="651"/>
      <c r="G555" s="651"/>
      <c r="H555" s="651"/>
      <c r="I555" s="665"/>
      <c r="J555" s="666" t="s">
        <v>591</v>
      </c>
      <c r="K555" s="667">
        <v>0.8</v>
      </c>
      <c r="L555" s="668" t="s">
        <v>589</v>
      </c>
      <c r="M555" s="655"/>
      <c r="N555" s="655"/>
      <c r="O555" s="655" t="s">
        <v>91</v>
      </c>
      <c r="P555" s="655"/>
      <c r="Q555" s="655"/>
      <c r="R555" s="655"/>
      <c r="S555" s="656" t="s">
        <v>24</v>
      </c>
      <c r="T555" s="668">
        <v>1</v>
      </c>
      <c r="U555" s="655"/>
      <c r="V555" s="655"/>
      <c r="W555" s="655"/>
      <c r="X555" s="655"/>
      <c r="Z555" s="658">
        <f t="shared" si="1"/>
        <v>0.8</v>
      </c>
      <c r="AA555" s="658">
        <f t="shared" si="1"/>
        <v>0</v>
      </c>
      <c r="AB555" s="658">
        <f t="shared" si="1"/>
        <v>0</v>
      </c>
      <c r="AC555" s="658">
        <f t="shared" si="1"/>
        <v>0</v>
      </c>
      <c r="AD555" s="658">
        <f t="shared" si="1"/>
        <v>0</v>
      </c>
    </row>
    <row r="556" spans="1:30" s="657" customFormat="1" ht="56.25">
      <c r="A556" s="650">
        <v>21</v>
      </c>
      <c r="B556" s="651" t="s">
        <v>91</v>
      </c>
      <c r="C556" s="651"/>
      <c r="D556" s="651"/>
      <c r="E556" s="651"/>
      <c r="F556" s="651"/>
      <c r="G556" s="651"/>
      <c r="H556" s="651"/>
      <c r="I556" s="665"/>
      <c r="J556" s="666" t="s">
        <v>92</v>
      </c>
      <c r="K556" s="667">
        <v>0.48</v>
      </c>
      <c r="L556" s="668" t="s">
        <v>589</v>
      </c>
      <c r="M556" s="655"/>
      <c r="N556" s="655"/>
      <c r="O556" s="655" t="s">
        <v>91</v>
      </c>
      <c r="P556" s="655"/>
      <c r="Q556" s="655"/>
      <c r="R556" s="655"/>
      <c r="S556" s="656" t="s">
        <v>24</v>
      </c>
      <c r="T556" s="668">
        <v>1</v>
      </c>
      <c r="U556" s="655"/>
      <c r="V556" s="655"/>
      <c r="W556" s="655"/>
      <c r="X556" s="655"/>
      <c r="Z556" s="658">
        <f t="shared" si="1"/>
        <v>0.48</v>
      </c>
      <c r="AA556" s="658">
        <f t="shared" si="1"/>
        <v>0</v>
      </c>
      <c r="AB556" s="658">
        <f t="shared" si="1"/>
        <v>0</v>
      </c>
      <c r="AC556" s="658">
        <f t="shared" si="1"/>
        <v>0</v>
      </c>
      <c r="AD556" s="658">
        <f t="shared" si="1"/>
        <v>0</v>
      </c>
    </row>
    <row r="557" spans="1:30" s="657" customFormat="1">
      <c r="A557" s="650">
        <v>22</v>
      </c>
      <c r="B557" s="651"/>
      <c r="C557" s="651"/>
      <c r="D557" s="651"/>
      <c r="E557" s="651"/>
      <c r="F557" s="651"/>
      <c r="G557" s="651" t="s">
        <v>91</v>
      </c>
      <c r="H557" s="651"/>
      <c r="I557" s="665"/>
      <c r="J557" s="666" t="s">
        <v>592</v>
      </c>
      <c r="K557" s="667">
        <v>0.55000000000000004</v>
      </c>
      <c r="L557" s="668" t="s">
        <v>589</v>
      </c>
      <c r="M557" s="655"/>
      <c r="N557" s="655"/>
      <c r="O557" s="655" t="s">
        <v>91</v>
      </c>
      <c r="P557" s="655"/>
      <c r="Q557" s="655"/>
      <c r="R557" s="655"/>
      <c r="S557" s="656" t="s">
        <v>24</v>
      </c>
      <c r="T557" s="668">
        <v>1</v>
      </c>
      <c r="U557" s="655"/>
      <c r="V557" s="655"/>
      <c r="W557" s="655"/>
      <c r="X557" s="655"/>
      <c r="Z557" s="658">
        <f t="shared" si="1"/>
        <v>0.55000000000000004</v>
      </c>
      <c r="AA557" s="658">
        <f t="shared" si="1"/>
        <v>0</v>
      </c>
      <c r="AB557" s="658">
        <f t="shared" si="1"/>
        <v>0</v>
      </c>
      <c r="AC557" s="658">
        <f t="shared" si="1"/>
        <v>0</v>
      </c>
      <c r="AD557" s="658">
        <f t="shared" si="1"/>
        <v>0</v>
      </c>
    </row>
    <row r="558" spans="1:30" s="657" customFormat="1" ht="56.25">
      <c r="A558" s="650">
        <v>23</v>
      </c>
      <c r="B558" s="651"/>
      <c r="C558" s="651"/>
      <c r="D558" s="651"/>
      <c r="E558" s="651"/>
      <c r="F558" s="651" t="s">
        <v>91</v>
      </c>
      <c r="G558" s="651"/>
      <c r="H558" s="651"/>
      <c r="I558" s="665"/>
      <c r="J558" s="669" t="s">
        <v>593</v>
      </c>
      <c r="K558" s="670">
        <v>0.4</v>
      </c>
      <c r="L558" s="668" t="s">
        <v>589</v>
      </c>
      <c r="M558" s="655"/>
      <c r="N558" s="655"/>
      <c r="O558" s="655" t="s">
        <v>91</v>
      </c>
      <c r="P558" s="655"/>
      <c r="Q558" s="655"/>
      <c r="R558" s="655"/>
      <c r="S558" s="656" t="s">
        <v>24</v>
      </c>
      <c r="T558" s="668">
        <v>1</v>
      </c>
      <c r="U558" s="655"/>
      <c r="V558" s="655"/>
      <c r="W558" s="655"/>
      <c r="X558" s="655"/>
      <c r="Z558" s="658">
        <f t="shared" si="1"/>
        <v>0.4</v>
      </c>
      <c r="AA558" s="658">
        <f t="shared" si="1"/>
        <v>0</v>
      </c>
      <c r="AB558" s="658">
        <f t="shared" si="1"/>
        <v>0</v>
      </c>
      <c r="AC558" s="658">
        <f t="shared" si="1"/>
        <v>0</v>
      </c>
      <c r="AD558" s="658">
        <f t="shared" si="1"/>
        <v>0</v>
      </c>
    </row>
    <row r="559" spans="1:30" s="657" customFormat="1" ht="56.25">
      <c r="A559" s="650">
        <v>24</v>
      </c>
      <c r="B559" s="651"/>
      <c r="C559" s="651"/>
      <c r="D559" s="651"/>
      <c r="E559" s="651"/>
      <c r="F559" s="651" t="s">
        <v>91</v>
      </c>
      <c r="G559" s="651"/>
      <c r="H559" s="651"/>
      <c r="I559" s="665"/>
      <c r="J559" s="666" t="s">
        <v>594</v>
      </c>
      <c r="K559" s="670">
        <v>1.82</v>
      </c>
      <c r="L559" s="668" t="s">
        <v>589</v>
      </c>
      <c r="M559" s="655"/>
      <c r="N559" s="655"/>
      <c r="O559" s="655" t="s">
        <v>91</v>
      </c>
      <c r="P559" s="655"/>
      <c r="Q559" s="655"/>
      <c r="R559" s="655"/>
      <c r="S559" s="656" t="s">
        <v>24</v>
      </c>
      <c r="T559" s="668">
        <v>1</v>
      </c>
      <c r="U559" s="655"/>
      <c r="V559" s="655"/>
      <c r="W559" s="655"/>
      <c r="X559" s="655"/>
      <c r="Z559" s="658">
        <f t="shared" si="1"/>
        <v>1.82</v>
      </c>
      <c r="AA559" s="658">
        <f t="shared" si="1"/>
        <v>0</v>
      </c>
      <c r="AB559" s="658">
        <f t="shared" si="1"/>
        <v>0</v>
      </c>
      <c r="AC559" s="658">
        <f t="shared" si="1"/>
        <v>0</v>
      </c>
      <c r="AD559" s="658">
        <f t="shared" si="1"/>
        <v>0</v>
      </c>
    </row>
    <row r="560" spans="1:30" s="657" customFormat="1" ht="37.5">
      <c r="A560" s="650">
        <v>25</v>
      </c>
      <c r="B560" s="651"/>
      <c r="C560" s="651"/>
      <c r="D560" s="651"/>
      <c r="E560" s="651"/>
      <c r="F560" s="651"/>
      <c r="G560" s="651" t="s">
        <v>91</v>
      </c>
      <c r="H560" s="651"/>
      <c r="I560" s="665"/>
      <c r="J560" s="666" t="s">
        <v>595</v>
      </c>
      <c r="K560" s="667">
        <v>1.6</v>
      </c>
      <c r="L560" s="668" t="s">
        <v>589</v>
      </c>
      <c r="M560" s="655"/>
      <c r="N560" s="655"/>
      <c r="O560" s="655" t="s">
        <v>91</v>
      </c>
      <c r="P560" s="655"/>
      <c r="Q560" s="655"/>
      <c r="R560" s="655"/>
      <c r="S560" s="656" t="s">
        <v>24</v>
      </c>
      <c r="T560" s="668">
        <v>1</v>
      </c>
      <c r="U560" s="655"/>
      <c r="V560" s="655"/>
      <c r="W560" s="655"/>
      <c r="X560" s="655"/>
      <c r="Z560" s="658">
        <f t="shared" si="1"/>
        <v>1.6</v>
      </c>
      <c r="AA560" s="658">
        <f t="shared" si="1"/>
        <v>0</v>
      </c>
      <c r="AB560" s="658">
        <f t="shared" si="1"/>
        <v>0</v>
      </c>
      <c r="AC560" s="658">
        <f t="shared" si="1"/>
        <v>0</v>
      </c>
      <c r="AD560" s="658">
        <f t="shared" si="1"/>
        <v>0</v>
      </c>
    </row>
    <row r="561" spans="1:30" s="657" customFormat="1" ht="37.5">
      <c r="A561" s="650">
        <v>26</v>
      </c>
      <c r="B561" s="651"/>
      <c r="C561" s="651"/>
      <c r="D561" s="651" t="s">
        <v>91</v>
      </c>
      <c r="E561" s="651"/>
      <c r="F561" s="651"/>
      <c r="G561" s="651"/>
      <c r="H561" s="651"/>
      <c r="I561" s="665"/>
      <c r="J561" s="671" t="s">
        <v>596</v>
      </c>
      <c r="K561" s="667"/>
      <c r="L561" s="668" t="s">
        <v>589</v>
      </c>
      <c r="M561" s="655"/>
      <c r="N561" s="655"/>
      <c r="O561" s="655" t="s">
        <v>91</v>
      </c>
      <c r="P561" s="655"/>
      <c r="Q561" s="655"/>
      <c r="R561" s="655"/>
      <c r="S561" s="656" t="s">
        <v>24</v>
      </c>
      <c r="T561" s="668"/>
      <c r="U561" s="655"/>
      <c r="V561" s="655"/>
      <c r="W561" s="655"/>
      <c r="X561" s="655"/>
      <c r="Z561" s="658">
        <f t="shared" si="1"/>
        <v>0</v>
      </c>
      <c r="AA561" s="658">
        <f t="shared" si="1"/>
        <v>0</v>
      </c>
      <c r="AB561" s="658">
        <f t="shared" si="1"/>
        <v>0</v>
      </c>
      <c r="AC561" s="658">
        <f t="shared" si="1"/>
        <v>0</v>
      </c>
      <c r="AD561" s="658">
        <f t="shared" si="1"/>
        <v>0</v>
      </c>
    </row>
    <row r="562" spans="1:30" s="657" customFormat="1" ht="75">
      <c r="A562" s="650">
        <v>27</v>
      </c>
      <c r="B562" s="651"/>
      <c r="C562" s="651"/>
      <c r="D562" s="656" t="s">
        <v>91</v>
      </c>
      <c r="E562" s="651"/>
      <c r="F562" s="651"/>
      <c r="G562" s="651"/>
      <c r="H562" s="651"/>
      <c r="I562" s="665"/>
      <c r="J562" s="666" t="s">
        <v>597</v>
      </c>
      <c r="K562" s="670">
        <v>1.76</v>
      </c>
      <c r="L562" s="668" t="s">
        <v>589</v>
      </c>
      <c r="M562" s="655"/>
      <c r="N562" s="655"/>
      <c r="O562" s="655" t="s">
        <v>91</v>
      </c>
      <c r="P562" s="655"/>
      <c r="Q562" s="655"/>
      <c r="R562" s="655"/>
      <c r="S562" s="656" t="s">
        <v>24</v>
      </c>
      <c r="T562" s="668">
        <v>1</v>
      </c>
      <c r="U562" s="655"/>
      <c r="V562" s="655"/>
      <c r="W562" s="655"/>
      <c r="X562" s="655"/>
      <c r="Z562" s="658">
        <f t="shared" si="1"/>
        <v>1.76</v>
      </c>
      <c r="AA562" s="658">
        <f t="shared" si="1"/>
        <v>0</v>
      </c>
      <c r="AB562" s="658">
        <f t="shared" si="1"/>
        <v>0</v>
      </c>
      <c r="AC562" s="658">
        <f t="shared" si="1"/>
        <v>0</v>
      </c>
      <c r="AD562" s="658">
        <f t="shared" si="1"/>
        <v>0</v>
      </c>
    </row>
    <row r="563" spans="1:30" s="657" customFormat="1" ht="22.5" customHeight="1">
      <c r="A563" s="650">
        <v>28</v>
      </c>
      <c r="B563" s="651"/>
      <c r="C563" s="651"/>
      <c r="D563" s="651"/>
      <c r="E563" s="651"/>
      <c r="F563" s="656" t="s">
        <v>91</v>
      </c>
      <c r="G563" s="651"/>
      <c r="H563" s="651"/>
      <c r="I563" s="665"/>
      <c r="J563" s="666" t="s">
        <v>598</v>
      </c>
      <c r="K563" s="670">
        <v>3.5</v>
      </c>
      <c r="L563" s="668" t="s">
        <v>589</v>
      </c>
      <c r="M563" s="655"/>
      <c r="N563" s="655"/>
      <c r="O563" s="655" t="s">
        <v>91</v>
      </c>
      <c r="P563" s="655"/>
      <c r="Q563" s="655"/>
      <c r="R563" s="655"/>
      <c r="S563" s="656" t="s">
        <v>24</v>
      </c>
      <c r="T563" s="668">
        <v>1</v>
      </c>
      <c r="U563" s="655"/>
      <c r="V563" s="655"/>
      <c r="W563" s="655"/>
      <c r="X563" s="655"/>
      <c r="Z563" s="658">
        <f t="shared" si="1"/>
        <v>3.5</v>
      </c>
      <c r="AA563" s="658">
        <f t="shared" si="1"/>
        <v>0</v>
      </c>
      <c r="AB563" s="658">
        <f t="shared" si="1"/>
        <v>0</v>
      </c>
      <c r="AC563" s="658">
        <f t="shared" si="1"/>
        <v>0</v>
      </c>
      <c r="AD563" s="658">
        <f t="shared" si="1"/>
        <v>0</v>
      </c>
    </row>
    <row r="564" spans="1:30" s="657" customFormat="1" ht="75">
      <c r="A564" s="650">
        <v>29</v>
      </c>
      <c r="B564" s="651"/>
      <c r="C564" s="651"/>
      <c r="D564" s="651"/>
      <c r="E564" s="651"/>
      <c r="F564" s="656" t="s">
        <v>91</v>
      </c>
      <c r="G564" s="651"/>
      <c r="H564" s="651"/>
      <c r="I564" s="665"/>
      <c r="J564" s="669" t="s">
        <v>599</v>
      </c>
      <c r="K564" s="670">
        <v>4.28</v>
      </c>
      <c r="L564" s="668" t="s">
        <v>589</v>
      </c>
      <c r="M564" s="655"/>
      <c r="N564" s="655"/>
      <c r="O564" s="655" t="s">
        <v>91</v>
      </c>
      <c r="P564" s="655"/>
      <c r="Q564" s="655"/>
      <c r="R564" s="655"/>
      <c r="S564" s="656" t="s">
        <v>24</v>
      </c>
      <c r="T564" s="668">
        <v>1</v>
      </c>
      <c r="U564" s="655"/>
      <c r="V564" s="655"/>
      <c r="W564" s="655"/>
      <c r="X564" s="655"/>
      <c r="Z564" s="658">
        <f t="shared" si="1"/>
        <v>4.28</v>
      </c>
      <c r="AA564" s="658">
        <f t="shared" si="1"/>
        <v>0</v>
      </c>
      <c r="AB564" s="658">
        <f t="shared" si="1"/>
        <v>0</v>
      </c>
      <c r="AC564" s="658">
        <f t="shared" si="1"/>
        <v>0</v>
      </c>
      <c r="AD564" s="658">
        <f t="shared" si="1"/>
        <v>0</v>
      </c>
    </row>
    <row r="565" spans="1:30" s="657" customFormat="1" ht="37.5">
      <c r="A565" s="650">
        <v>30</v>
      </c>
      <c r="B565" s="651"/>
      <c r="C565" s="651"/>
      <c r="D565" s="651"/>
      <c r="E565" s="651"/>
      <c r="F565" s="656" t="s">
        <v>91</v>
      </c>
      <c r="G565" s="651"/>
      <c r="H565" s="651"/>
      <c r="I565" s="665"/>
      <c r="J565" s="669" t="s">
        <v>600</v>
      </c>
      <c r="K565" s="670">
        <v>5.15</v>
      </c>
      <c r="L565" s="668" t="s">
        <v>589</v>
      </c>
      <c r="M565" s="655"/>
      <c r="N565" s="655"/>
      <c r="O565" s="655" t="s">
        <v>91</v>
      </c>
      <c r="P565" s="655"/>
      <c r="Q565" s="655"/>
      <c r="R565" s="655"/>
      <c r="S565" s="656" t="s">
        <v>24</v>
      </c>
      <c r="T565" s="668">
        <v>1</v>
      </c>
      <c r="U565" s="655"/>
      <c r="V565" s="655"/>
      <c r="W565" s="655"/>
      <c r="X565" s="655"/>
      <c r="Z565" s="658">
        <f t="shared" si="1"/>
        <v>5.15</v>
      </c>
      <c r="AA565" s="658">
        <f t="shared" si="1"/>
        <v>0</v>
      </c>
      <c r="AB565" s="658">
        <f t="shared" si="1"/>
        <v>0</v>
      </c>
      <c r="AC565" s="658">
        <f t="shared" si="1"/>
        <v>0</v>
      </c>
      <c r="AD565" s="658">
        <f t="shared" si="1"/>
        <v>0</v>
      </c>
    </row>
    <row r="566" spans="1:30" s="657" customFormat="1">
      <c r="A566" s="650">
        <v>31</v>
      </c>
      <c r="B566" s="651"/>
      <c r="C566" s="651"/>
      <c r="D566" s="651"/>
      <c r="E566" s="651"/>
      <c r="F566" s="651"/>
      <c r="G566" s="651"/>
      <c r="H566" s="651"/>
      <c r="I566" s="665"/>
      <c r="J566" s="669" t="s">
        <v>601</v>
      </c>
      <c r="K566" s="670">
        <v>2</v>
      </c>
      <c r="L566" s="668" t="s">
        <v>589</v>
      </c>
      <c r="M566" s="655"/>
      <c r="N566" s="655"/>
      <c r="O566" s="655" t="s">
        <v>91</v>
      </c>
      <c r="P566" s="655"/>
      <c r="Q566" s="655"/>
      <c r="R566" s="655"/>
      <c r="S566" s="656" t="s">
        <v>24</v>
      </c>
      <c r="T566" s="668">
        <v>1</v>
      </c>
      <c r="U566" s="655"/>
      <c r="V566" s="655"/>
      <c r="W566" s="655"/>
      <c r="X566" s="655"/>
      <c r="Z566" s="658">
        <f t="shared" si="1"/>
        <v>2</v>
      </c>
      <c r="AA566" s="658">
        <f t="shared" si="1"/>
        <v>0</v>
      </c>
      <c r="AB566" s="658">
        <f t="shared" si="1"/>
        <v>0</v>
      </c>
      <c r="AC566" s="658">
        <f t="shared" si="1"/>
        <v>0</v>
      </c>
      <c r="AD566" s="658">
        <f t="shared" si="1"/>
        <v>0</v>
      </c>
    </row>
    <row r="567" spans="1:30" s="657" customFormat="1">
      <c r="A567" s="650">
        <v>32</v>
      </c>
      <c r="B567" s="651"/>
      <c r="C567" s="651"/>
      <c r="D567" s="651"/>
      <c r="E567" s="651"/>
      <c r="F567" s="656" t="s">
        <v>91</v>
      </c>
      <c r="G567" s="651"/>
      <c r="H567" s="651"/>
      <c r="I567" s="665"/>
      <c r="J567" s="666" t="s">
        <v>602</v>
      </c>
      <c r="K567" s="670">
        <v>0.52</v>
      </c>
      <c r="L567" s="668" t="s">
        <v>589</v>
      </c>
      <c r="M567" s="655"/>
      <c r="N567" s="655"/>
      <c r="O567" s="655" t="s">
        <v>91</v>
      </c>
      <c r="P567" s="655"/>
      <c r="Q567" s="655"/>
      <c r="R567" s="655"/>
      <c r="S567" s="656" t="s">
        <v>24</v>
      </c>
      <c r="T567" s="668">
        <v>1</v>
      </c>
      <c r="U567" s="655"/>
      <c r="V567" s="655"/>
      <c r="W567" s="655"/>
      <c r="X567" s="655"/>
      <c r="Z567" s="658">
        <f t="shared" si="1"/>
        <v>0.52</v>
      </c>
      <c r="AA567" s="658">
        <f t="shared" si="1"/>
        <v>0</v>
      </c>
      <c r="AB567" s="658">
        <f t="shared" si="1"/>
        <v>0</v>
      </c>
      <c r="AC567" s="658">
        <f t="shared" si="1"/>
        <v>0</v>
      </c>
      <c r="AD567" s="658">
        <f t="shared" si="1"/>
        <v>0</v>
      </c>
    </row>
    <row r="568" spans="1:30" s="657" customFormat="1" ht="37.5">
      <c r="A568" s="650">
        <v>33</v>
      </c>
      <c r="B568" s="651"/>
      <c r="C568" s="651"/>
      <c r="D568" s="651"/>
      <c r="E568" s="651"/>
      <c r="F568" s="651"/>
      <c r="G568" s="651"/>
      <c r="H568" s="656" t="s">
        <v>91</v>
      </c>
      <c r="I568" s="665"/>
      <c r="J568" s="672" t="s">
        <v>603</v>
      </c>
      <c r="K568" s="673">
        <v>1.25</v>
      </c>
      <c r="L568" s="668" t="s">
        <v>589</v>
      </c>
      <c r="M568" s="655"/>
      <c r="N568" s="655"/>
      <c r="O568" s="655" t="s">
        <v>91</v>
      </c>
      <c r="P568" s="655"/>
      <c r="Q568" s="655"/>
      <c r="R568" s="655"/>
      <c r="S568" s="656" t="s">
        <v>24</v>
      </c>
      <c r="T568" s="674">
        <v>1</v>
      </c>
      <c r="U568" s="655"/>
      <c r="V568" s="655"/>
      <c r="W568" s="655"/>
      <c r="X568" s="655"/>
      <c r="Z568" s="658">
        <f t="shared" si="1"/>
        <v>1.25</v>
      </c>
      <c r="AA568" s="658">
        <f t="shared" si="1"/>
        <v>0</v>
      </c>
      <c r="AB568" s="658">
        <f t="shared" si="1"/>
        <v>0</v>
      </c>
      <c r="AC568" s="658">
        <f t="shared" si="1"/>
        <v>0</v>
      </c>
      <c r="AD568" s="658">
        <f t="shared" si="1"/>
        <v>0</v>
      </c>
    </row>
    <row r="569" spans="1:30" s="657" customFormat="1" ht="37.5">
      <c r="A569" s="650">
        <v>34</v>
      </c>
      <c r="B569" s="651"/>
      <c r="C569" s="651"/>
      <c r="D569" s="651"/>
      <c r="E569" s="651"/>
      <c r="F569" s="651"/>
      <c r="G569" s="651"/>
      <c r="H569" s="656" t="s">
        <v>91</v>
      </c>
      <c r="I569" s="665"/>
      <c r="J569" s="672" t="s">
        <v>604</v>
      </c>
      <c r="K569" s="673">
        <v>1.139</v>
      </c>
      <c r="L569" s="668" t="s">
        <v>589</v>
      </c>
      <c r="M569" s="655"/>
      <c r="N569" s="655"/>
      <c r="O569" s="655" t="s">
        <v>91</v>
      </c>
      <c r="P569" s="655"/>
      <c r="Q569" s="655"/>
      <c r="R569" s="655"/>
      <c r="S569" s="656" t="s">
        <v>24</v>
      </c>
      <c r="T569" s="675">
        <v>1</v>
      </c>
      <c r="U569" s="655"/>
      <c r="V569" s="655"/>
      <c r="W569" s="655"/>
      <c r="X569" s="655"/>
      <c r="Z569" s="658">
        <f t="shared" si="1"/>
        <v>1.139</v>
      </c>
      <c r="AA569" s="658">
        <f t="shared" si="1"/>
        <v>0</v>
      </c>
      <c r="AB569" s="658">
        <f t="shared" si="1"/>
        <v>0</v>
      </c>
      <c r="AC569" s="658">
        <f t="shared" si="1"/>
        <v>0</v>
      </c>
      <c r="AD569" s="658">
        <f t="shared" si="1"/>
        <v>0</v>
      </c>
    </row>
    <row r="570" spans="1:30" s="657" customFormat="1" ht="23.25" customHeight="1">
      <c r="A570" s="650">
        <v>35</v>
      </c>
      <c r="B570" s="651"/>
      <c r="C570" s="651"/>
      <c r="D570" s="651"/>
      <c r="E570" s="651"/>
      <c r="F570" s="651"/>
      <c r="G570" s="651"/>
      <c r="H570" s="656" t="s">
        <v>91</v>
      </c>
      <c r="I570" s="665"/>
      <c r="J570" s="676" t="s">
        <v>605</v>
      </c>
      <c r="K570" s="673">
        <v>1.649</v>
      </c>
      <c r="L570" s="668" t="s">
        <v>589</v>
      </c>
      <c r="M570" s="655"/>
      <c r="N570" s="655"/>
      <c r="O570" s="655" t="s">
        <v>91</v>
      </c>
      <c r="P570" s="655"/>
      <c r="Q570" s="655"/>
      <c r="R570" s="655"/>
      <c r="S570" s="656" t="s">
        <v>24</v>
      </c>
      <c r="T570" s="675">
        <v>1</v>
      </c>
      <c r="U570" s="655"/>
      <c r="V570" s="655"/>
      <c r="W570" s="655"/>
      <c r="X570" s="655"/>
      <c r="Z570" s="658">
        <f t="shared" si="1"/>
        <v>1.649</v>
      </c>
      <c r="AA570" s="658">
        <f t="shared" si="1"/>
        <v>0</v>
      </c>
      <c r="AB570" s="658">
        <f t="shared" si="1"/>
        <v>0</v>
      </c>
      <c r="AC570" s="658">
        <f t="shared" si="1"/>
        <v>0</v>
      </c>
      <c r="AD570" s="658">
        <f t="shared" si="1"/>
        <v>0</v>
      </c>
    </row>
    <row r="571" spans="1:30" s="657" customFormat="1">
      <c r="A571" s="650">
        <v>36</v>
      </c>
      <c r="B571" s="651"/>
      <c r="C571" s="651"/>
      <c r="D571" s="651"/>
      <c r="E571" s="651"/>
      <c r="F571" s="651"/>
      <c r="G571" s="651"/>
      <c r="H571" s="656" t="s">
        <v>91</v>
      </c>
      <c r="I571" s="665"/>
      <c r="J571" s="666" t="s">
        <v>606</v>
      </c>
      <c r="K571" s="677">
        <v>5</v>
      </c>
      <c r="L571" s="668" t="s">
        <v>589</v>
      </c>
      <c r="M571" s="655"/>
      <c r="N571" s="655"/>
      <c r="O571" s="655" t="s">
        <v>91</v>
      </c>
      <c r="P571" s="655"/>
      <c r="Q571" s="655"/>
      <c r="R571" s="655"/>
      <c r="S571" s="656" t="s">
        <v>24</v>
      </c>
      <c r="T571" s="675">
        <v>1</v>
      </c>
      <c r="U571" s="655"/>
      <c r="V571" s="655"/>
      <c r="W571" s="655"/>
      <c r="X571" s="655"/>
      <c r="Z571" s="658">
        <f t="shared" si="1"/>
        <v>5</v>
      </c>
      <c r="AA571" s="658">
        <f t="shared" si="1"/>
        <v>0</v>
      </c>
      <c r="AB571" s="658">
        <f t="shared" si="1"/>
        <v>0</v>
      </c>
      <c r="AC571" s="658">
        <f t="shared" si="1"/>
        <v>0</v>
      </c>
      <c r="AD571" s="658">
        <f t="shared" si="1"/>
        <v>0</v>
      </c>
    </row>
    <row r="572" spans="1:30" s="679" customFormat="1">
      <c r="A572" s="650">
        <v>37</v>
      </c>
      <c r="B572" s="678"/>
      <c r="C572" s="656"/>
      <c r="D572" s="656" t="s">
        <v>52</v>
      </c>
      <c r="E572" s="656"/>
      <c r="F572" s="656"/>
      <c r="G572" s="656"/>
      <c r="H572" s="656"/>
      <c r="I572" s="656"/>
      <c r="J572" s="663" t="s">
        <v>607</v>
      </c>
      <c r="K572" s="664">
        <v>0.38</v>
      </c>
      <c r="L572" s="656" t="s">
        <v>608</v>
      </c>
      <c r="M572" s="656"/>
      <c r="N572" s="656"/>
      <c r="O572" s="656"/>
      <c r="P572" s="656"/>
      <c r="Q572" s="655" t="s">
        <v>91</v>
      </c>
      <c r="R572" s="656"/>
      <c r="S572" s="656" t="s">
        <v>24</v>
      </c>
      <c r="T572" s="656">
        <v>1</v>
      </c>
      <c r="U572" s="656"/>
      <c r="V572" s="656"/>
      <c r="W572" s="656"/>
      <c r="X572" s="656"/>
      <c r="Z572" s="658">
        <f t="shared" si="1"/>
        <v>0.38</v>
      </c>
      <c r="AA572" s="658">
        <f t="shared" si="1"/>
        <v>0</v>
      </c>
      <c r="AB572" s="658">
        <f t="shared" si="1"/>
        <v>0</v>
      </c>
      <c r="AC572" s="658">
        <f t="shared" si="1"/>
        <v>0</v>
      </c>
      <c r="AD572" s="658">
        <f t="shared" si="1"/>
        <v>0</v>
      </c>
    </row>
    <row r="573" spans="1:30" s="679" customFormat="1">
      <c r="A573" s="650">
        <v>38</v>
      </c>
      <c r="B573" s="678"/>
      <c r="C573" s="656"/>
      <c r="D573" s="656" t="s">
        <v>52</v>
      </c>
      <c r="E573" s="656"/>
      <c r="F573" s="656"/>
      <c r="G573" s="656"/>
      <c r="H573" s="656"/>
      <c r="I573" s="656"/>
      <c r="J573" s="663" t="s">
        <v>609</v>
      </c>
      <c r="K573" s="664">
        <v>0.3</v>
      </c>
      <c r="L573" s="656" t="s">
        <v>608</v>
      </c>
      <c r="M573" s="656"/>
      <c r="N573" s="656"/>
      <c r="O573" s="656"/>
      <c r="P573" s="656"/>
      <c r="Q573" s="655" t="s">
        <v>91</v>
      </c>
      <c r="R573" s="656"/>
      <c r="S573" s="656" t="s">
        <v>24</v>
      </c>
      <c r="T573" s="656">
        <v>1</v>
      </c>
      <c r="U573" s="656"/>
      <c r="V573" s="656"/>
      <c r="W573" s="656"/>
      <c r="X573" s="656"/>
      <c r="Z573" s="658">
        <f t="shared" si="1"/>
        <v>0.3</v>
      </c>
      <c r="AA573" s="658">
        <f t="shared" si="1"/>
        <v>0</v>
      </c>
      <c r="AB573" s="658">
        <f t="shared" si="1"/>
        <v>0</v>
      </c>
      <c r="AC573" s="658">
        <f t="shared" si="1"/>
        <v>0</v>
      </c>
      <c r="AD573" s="658">
        <f t="shared" si="1"/>
        <v>0</v>
      </c>
    </row>
    <row r="574" spans="1:30" s="679" customFormat="1">
      <c r="A574" s="650">
        <v>39</v>
      </c>
      <c r="B574" s="678"/>
      <c r="C574" s="656"/>
      <c r="D574" s="656" t="s">
        <v>52</v>
      </c>
      <c r="E574" s="656"/>
      <c r="F574" s="656"/>
      <c r="G574" s="656"/>
      <c r="H574" s="656"/>
      <c r="I574" s="656"/>
      <c r="J574" s="663" t="s">
        <v>495</v>
      </c>
      <c r="K574" s="664">
        <v>0.1</v>
      </c>
      <c r="L574" s="656" t="s">
        <v>608</v>
      </c>
      <c r="M574" s="656"/>
      <c r="N574" s="656"/>
      <c r="O574" s="656"/>
      <c r="P574" s="656"/>
      <c r="Q574" s="655" t="s">
        <v>91</v>
      </c>
      <c r="R574" s="656"/>
      <c r="S574" s="656" t="s">
        <v>24</v>
      </c>
      <c r="T574" s="656">
        <v>1</v>
      </c>
      <c r="U574" s="656"/>
      <c r="V574" s="656"/>
      <c r="W574" s="656"/>
      <c r="X574" s="656"/>
      <c r="Z574" s="658">
        <f t="shared" si="1"/>
        <v>0.1</v>
      </c>
      <c r="AA574" s="658">
        <f t="shared" si="1"/>
        <v>0</v>
      </c>
      <c r="AB574" s="658">
        <f t="shared" si="1"/>
        <v>0</v>
      </c>
      <c r="AC574" s="658">
        <f t="shared" si="1"/>
        <v>0</v>
      </c>
      <c r="AD574" s="658">
        <f t="shared" si="1"/>
        <v>0</v>
      </c>
    </row>
    <row r="575" spans="1:30" s="679" customFormat="1" ht="37.5">
      <c r="A575" s="650">
        <v>40</v>
      </c>
      <c r="B575" s="678"/>
      <c r="C575" s="656"/>
      <c r="D575" s="656" t="s">
        <v>52</v>
      </c>
      <c r="E575" s="656"/>
      <c r="F575" s="656"/>
      <c r="G575" s="656"/>
      <c r="H575" s="656"/>
      <c r="I575" s="656"/>
      <c r="J575" s="663" t="s">
        <v>610</v>
      </c>
      <c r="K575" s="664">
        <v>5.5E-2</v>
      </c>
      <c r="L575" s="656" t="s">
        <v>608</v>
      </c>
      <c r="M575" s="656"/>
      <c r="N575" s="656"/>
      <c r="O575" s="656"/>
      <c r="P575" s="656"/>
      <c r="Q575" s="655" t="s">
        <v>91</v>
      </c>
      <c r="R575" s="656"/>
      <c r="S575" s="656" t="s">
        <v>24</v>
      </c>
      <c r="T575" s="656"/>
      <c r="U575" s="656">
        <v>20</v>
      </c>
      <c r="V575" s="656"/>
      <c r="W575" s="656"/>
      <c r="X575" s="656"/>
      <c r="Z575" s="658">
        <f t="shared" si="1"/>
        <v>0</v>
      </c>
      <c r="AA575" s="658">
        <f t="shared" si="1"/>
        <v>1.1000000000000001</v>
      </c>
      <c r="AB575" s="658">
        <f t="shared" si="1"/>
        <v>0</v>
      </c>
      <c r="AC575" s="658">
        <f t="shared" si="1"/>
        <v>0</v>
      </c>
      <c r="AD575" s="658">
        <f t="shared" si="1"/>
        <v>0</v>
      </c>
    </row>
    <row r="576" spans="1:30" s="679" customFormat="1" ht="37.5">
      <c r="A576" s="650">
        <v>41</v>
      </c>
      <c r="B576" s="678"/>
      <c r="C576" s="656"/>
      <c r="D576" s="656"/>
      <c r="E576" s="656"/>
      <c r="F576" s="656"/>
      <c r="G576" s="656" t="s">
        <v>52</v>
      </c>
      <c r="H576" s="656"/>
      <c r="I576" s="656"/>
      <c r="J576" s="663" t="s">
        <v>611</v>
      </c>
      <c r="K576" s="664">
        <v>0.75</v>
      </c>
      <c r="L576" s="656" t="s">
        <v>608</v>
      </c>
      <c r="M576" s="656"/>
      <c r="N576" s="656"/>
      <c r="O576" s="656"/>
      <c r="P576" s="656"/>
      <c r="Q576" s="655" t="s">
        <v>91</v>
      </c>
      <c r="R576" s="656"/>
      <c r="S576" s="656" t="s">
        <v>24</v>
      </c>
      <c r="T576" s="656">
        <v>1</v>
      </c>
      <c r="U576" s="656"/>
      <c r="V576" s="656"/>
      <c r="W576" s="656"/>
      <c r="X576" s="656"/>
      <c r="Z576" s="658">
        <f t="shared" si="1"/>
        <v>0.75</v>
      </c>
      <c r="AA576" s="658">
        <f t="shared" si="1"/>
        <v>0</v>
      </c>
      <c r="AB576" s="658">
        <f t="shared" si="1"/>
        <v>0</v>
      </c>
      <c r="AC576" s="658">
        <f t="shared" si="1"/>
        <v>0</v>
      </c>
      <c r="AD576" s="658">
        <f t="shared" si="1"/>
        <v>0</v>
      </c>
    </row>
    <row r="577" spans="1:30" s="679" customFormat="1">
      <c r="A577" s="650">
        <v>42</v>
      </c>
      <c r="B577" s="678"/>
      <c r="C577" s="656"/>
      <c r="D577" s="656"/>
      <c r="E577" s="656"/>
      <c r="F577" s="656"/>
      <c r="G577" s="656" t="s">
        <v>52</v>
      </c>
      <c r="H577" s="656"/>
      <c r="I577" s="656"/>
      <c r="J577" s="663" t="s">
        <v>612</v>
      </c>
      <c r="K577" s="664">
        <v>8.1000000000000003E-2</v>
      </c>
      <c r="L577" s="656" t="s">
        <v>608</v>
      </c>
      <c r="M577" s="656"/>
      <c r="N577" s="656"/>
      <c r="O577" s="656"/>
      <c r="P577" s="656"/>
      <c r="Q577" s="655" t="s">
        <v>91</v>
      </c>
      <c r="R577" s="656"/>
      <c r="S577" s="656" t="s">
        <v>24</v>
      </c>
      <c r="T577" s="656"/>
      <c r="U577" s="656">
        <v>1</v>
      </c>
      <c r="V577" s="656"/>
      <c r="W577" s="656"/>
      <c r="X577" s="656"/>
      <c r="Z577" s="658">
        <f t="shared" si="1"/>
        <v>0</v>
      </c>
      <c r="AA577" s="658">
        <f t="shared" si="1"/>
        <v>8.1000000000000003E-2</v>
      </c>
      <c r="AB577" s="658">
        <f t="shared" si="1"/>
        <v>0</v>
      </c>
      <c r="AC577" s="658">
        <f t="shared" si="1"/>
        <v>0</v>
      </c>
      <c r="AD577" s="658">
        <f t="shared" si="1"/>
        <v>0</v>
      </c>
    </row>
    <row r="578" spans="1:30" s="679" customFormat="1" ht="43.5" customHeight="1">
      <c r="A578" s="650">
        <v>43</v>
      </c>
      <c r="B578" s="678"/>
      <c r="C578" s="656"/>
      <c r="D578" s="656"/>
      <c r="E578" s="656"/>
      <c r="F578" s="656" t="s">
        <v>91</v>
      </c>
      <c r="G578" s="656"/>
      <c r="H578" s="656"/>
      <c r="I578" s="656"/>
      <c r="J578" s="663" t="s">
        <v>613</v>
      </c>
      <c r="K578" s="664">
        <v>0.93</v>
      </c>
      <c r="L578" s="656" t="s">
        <v>614</v>
      </c>
      <c r="M578" s="656"/>
      <c r="N578" s="656"/>
      <c r="O578" s="656"/>
      <c r="P578" s="656"/>
      <c r="Q578" s="655" t="s">
        <v>91</v>
      </c>
      <c r="R578" s="656"/>
      <c r="S578" s="656" t="s">
        <v>24</v>
      </c>
      <c r="T578" s="656">
        <v>1</v>
      </c>
      <c r="U578" s="656"/>
      <c r="V578" s="656"/>
      <c r="W578" s="656"/>
      <c r="X578" s="656"/>
      <c r="Z578" s="658">
        <f t="shared" si="1"/>
        <v>0.93</v>
      </c>
      <c r="AA578" s="658">
        <f t="shared" si="1"/>
        <v>0</v>
      </c>
      <c r="AB578" s="658">
        <f t="shared" si="1"/>
        <v>0</v>
      </c>
      <c r="AC578" s="658">
        <f t="shared" si="1"/>
        <v>0</v>
      </c>
      <c r="AD578" s="658">
        <f t="shared" si="1"/>
        <v>0</v>
      </c>
    </row>
    <row r="579" spans="1:30" s="679" customFormat="1" ht="37.5">
      <c r="A579" s="650">
        <v>44</v>
      </c>
      <c r="B579" s="678"/>
      <c r="C579" s="656"/>
      <c r="D579" s="656"/>
      <c r="E579" s="656"/>
      <c r="F579" s="656"/>
      <c r="G579" s="656"/>
      <c r="H579" s="656"/>
      <c r="I579" s="656" t="s">
        <v>91</v>
      </c>
      <c r="J579" s="663" t="s">
        <v>615</v>
      </c>
      <c r="K579" s="664">
        <v>2.8000000000000001E-2</v>
      </c>
      <c r="L579" s="656" t="s">
        <v>614</v>
      </c>
      <c r="M579" s="656"/>
      <c r="N579" s="656"/>
      <c r="O579" s="656"/>
      <c r="P579" s="656"/>
      <c r="Q579" s="655" t="s">
        <v>91</v>
      </c>
      <c r="R579" s="656"/>
      <c r="S579" s="656" t="s">
        <v>24</v>
      </c>
      <c r="T579" s="656">
        <v>6</v>
      </c>
      <c r="U579" s="656"/>
      <c r="V579" s="656"/>
      <c r="W579" s="656"/>
      <c r="X579" s="656"/>
      <c r="Z579" s="658">
        <f t="shared" si="1"/>
        <v>0.16800000000000001</v>
      </c>
      <c r="AA579" s="658">
        <f t="shared" si="1"/>
        <v>0</v>
      </c>
      <c r="AB579" s="658">
        <f t="shared" si="1"/>
        <v>0</v>
      </c>
      <c r="AC579" s="658">
        <f t="shared" si="1"/>
        <v>0</v>
      </c>
      <c r="AD579" s="658">
        <f t="shared" si="1"/>
        <v>0</v>
      </c>
    </row>
    <row r="580" spans="1:30" s="679" customFormat="1" ht="56.25">
      <c r="A580" s="650">
        <v>45</v>
      </c>
      <c r="B580" s="678"/>
      <c r="C580" s="656"/>
      <c r="D580" s="656"/>
      <c r="E580" s="656"/>
      <c r="F580" s="656"/>
      <c r="G580" s="656"/>
      <c r="H580" s="656" t="s">
        <v>91</v>
      </c>
      <c r="I580" s="656"/>
      <c r="J580" s="663" t="s">
        <v>616</v>
      </c>
      <c r="K580" s="664">
        <v>0.78700000000000003</v>
      </c>
      <c r="L580" s="656" t="s">
        <v>614</v>
      </c>
      <c r="M580" s="656"/>
      <c r="N580" s="656"/>
      <c r="O580" s="656"/>
      <c r="P580" s="656"/>
      <c r="Q580" s="655" t="s">
        <v>91</v>
      </c>
      <c r="R580" s="656"/>
      <c r="S580" s="656" t="s">
        <v>24</v>
      </c>
      <c r="T580" s="656">
        <v>1</v>
      </c>
      <c r="U580" s="656"/>
      <c r="V580" s="656"/>
      <c r="W580" s="656"/>
      <c r="X580" s="656"/>
      <c r="Z580" s="658">
        <f t="shared" si="1"/>
        <v>0.78700000000000003</v>
      </c>
      <c r="AA580" s="658">
        <f t="shared" si="1"/>
        <v>0</v>
      </c>
      <c r="AB580" s="658">
        <f t="shared" si="1"/>
        <v>0</v>
      </c>
      <c r="AC580" s="658">
        <f t="shared" si="1"/>
        <v>0</v>
      </c>
      <c r="AD580" s="658">
        <f t="shared" si="1"/>
        <v>0</v>
      </c>
    </row>
    <row r="581" spans="1:30" s="679" customFormat="1" ht="56.25">
      <c r="A581" s="650">
        <v>46</v>
      </c>
      <c r="B581" s="678"/>
      <c r="C581" s="656"/>
      <c r="D581" s="656"/>
      <c r="E581" s="656"/>
      <c r="F581" s="656" t="s">
        <v>91</v>
      </c>
      <c r="G581" s="656"/>
      <c r="H581" s="656"/>
      <c r="I581" s="656"/>
      <c r="J581" s="663" t="s">
        <v>617</v>
      </c>
      <c r="K581" s="664">
        <v>0.12</v>
      </c>
      <c r="L581" s="656" t="s">
        <v>618</v>
      </c>
      <c r="M581" s="656"/>
      <c r="N581" s="656"/>
      <c r="O581" s="656"/>
      <c r="P581" s="656"/>
      <c r="Q581" s="655" t="s">
        <v>91</v>
      </c>
      <c r="R581" s="656"/>
      <c r="S581" s="656" t="s">
        <v>24</v>
      </c>
      <c r="T581" s="656"/>
      <c r="U581" s="656">
        <v>1</v>
      </c>
      <c r="V581" s="656"/>
      <c r="W581" s="656"/>
      <c r="X581" s="656"/>
      <c r="Z581" s="658">
        <f t="shared" si="1"/>
        <v>0</v>
      </c>
      <c r="AA581" s="658">
        <f t="shared" si="1"/>
        <v>0.12</v>
      </c>
      <c r="AB581" s="658">
        <f t="shared" si="1"/>
        <v>0</v>
      </c>
      <c r="AC581" s="658">
        <f t="shared" si="1"/>
        <v>0</v>
      </c>
      <c r="AD581" s="658">
        <f t="shared" si="1"/>
        <v>0</v>
      </c>
    </row>
    <row r="582" spans="1:30" s="679" customFormat="1" ht="23.25" customHeight="1">
      <c r="A582" s="650">
        <v>47</v>
      </c>
      <c r="B582" s="678"/>
      <c r="C582" s="656"/>
      <c r="D582" s="656"/>
      <c r="E582" s="656"/>
      <c r="F582" s="656" t="s">
        <v>91</v>
      </c>
      <c r="G582" s="656"/>
      <c r="H582" s="656"/>
      <c r="I582" s="656"/>
      <c r="J582" s="663" t="s">
        <v>619</v>
      </c>
      <c r="K582" s="664">
        <v>0.28000000000000003</v>
      </c>
      <c r="L582" s="656" t="s">
        <v>618</v>
      </c>
      <c r="M582" s="656"/>
      <c r="N582" s="656"/>
      <c r="O582" s="656"/>
      <c r="P582" s="656"/>
      <c r="Q582" s="655" t="s">
        <v>91</v>
      </c>
      <c r="R582" s="656"/>
      <c r="S582" s="656" t="s">
        <v>24</v>
      </c>
      <c r="T582" s="656"/>
      <c r="U582" s="656">
        <v>1</v>
      </c>
      <c r="V582" s="656"/>
      <c r="W582" s="656"/>
      <c r="X582" s="656"/>
      <c r="Z582" s="658">
        <f t="shared" si="1"/>
        <v>0</v>
      </c>
      <c r="AA582" s="658">
        <f t="shared" si="1"/>
        <v>0.28000000000000003</v>
      </c>
      <c r="AB582" s="658">
        <f t="shared" si="1"/>
        <v>0</v>
      </c>
      <c r="AC582" s="658">
        <f t="shared" si="1"/>
        <v>0</v>
      </c>
      <c r="AD582" s="658">
        <f t="shared" si="1"/>
        <v>0</v>
      </c>
    </row>
    <row r="583" spans="1:30" s="679" customFormat="1" ht="37.5">
      <c r="A583" s="650">
        <v>48</v>
      </c>
      <c r="B583" s="678"/>
      <c r="C583" s="656"/>
      <c r="D583" s="656"/>
      <c r="E583" s="656"/>
      <c r="F583" s="656" t="s">
        <v>91</v>
      </c>
      <c r="G583" s="656"/>
      <c r="H583" s="656"/>
      <c r="I583" s="656"/>
      <c r="J583" s="663" t="s">
        <v>356</v>
      </c>
      <c r="K583" s="664">
        <v>0.05</v>
      </c>
      <c r="L583" s="656" t="s">
        <v>618</v>
      </c>
      <c r="M583" s="656"/>
      <c r="N583" s="656"/>
      <c r="O583" s="656"/>
      <c r="P583" s="656"/>
      <c r="Q583" s="655" t="s">
        <v>91</v>
      </c>
      <c r="R583" s="656"/>
      <c r="S583" s="656" t="s">
        <v>24</v>
      </c>
      <c r="T583" s="656"/>
      <c r="U583" s="656">
        <v>2</v>
      </c>
      <c r="V583" s="656"/>
      <c r="W583" s="656"/>
      <c r="X583" s="656"/>
      <c r="Z583" s="658">
        <f t="shared" si="1"/>
        <v>0</v>
      </c>
      <c r="AA583" s="658">
        <f t="shared" si="1"/>
        <v>0.1</v>
      </c>
      <c r="AB583" s="658">
        <f t="shared" si="1"/>
        <v>0</v>
      </c>
      <c r="AC583" s="658">
        <f t="shared" si="1"/>
        <v>0</v>
      </c>
      <c r="AD583" s="658">
        <f t="shared" si="1"/>
        <v>0</v>
      </c>
    </row>
    <row r="584" spans="1:30" s="679" customFormat="1" ht="37.5">
      <c r="A584" s="650">
        <v>49</v>
      </c>
      <c r="B584" s="678"/>
      <c r="C584" s="656"/>
      <c r="D584" s="656"/>
      <c r="E584" s="656"/>
      <c r="F584" s="656"/>
      <c r="G584" s="656"/>
      <c r="H584" s="656"/>
      <c r="I584" s="656"/>
      <c r="J584" s="663" t="s">
        <v>584</v>
      </c>
      <c r="K584" s="664">
        <v>0.33</v>
      </c>
      <c r="L584" s="656" t="s">
        <v>618</v>
      </c>
      <c r="M584" s="656"/>
      <c r="N584" s="656"/>
      <c r="O584" s="656"/>
      <c r="P584" s="656"/>
      <c r="Q584" s="655" t="s">
        <v>91</v>
      </c>
      <c r="R584" s="656"/>
      <c r="S584" s="656" t="s">
        <v>24</v>
      </c>
      <c r="T584" s="656"/>
      <c r="U584" s="656">
        <v>1</v>
      </c>
      <c r="V584" s="656"/>
      <c r="W584" s="656"/>
      <c r="X584" s="656"/>
      <c r="Z584" s="658">
        <f t="shared" si="1"/>
        <v>0</v>
      </c>
      <c r="AA584" s="658">
        <f t="shared" si="1"/>
        <v>0.33</v>
      </c>
      <c r="AB584" s="658">
        <f t="shared" si="1"/>
        <v>0</v>
      </c>
      <c r="AC584" s="658">
        <f t="shared" si="1"/>
        <v>0</v>
      </c>
      <c r="AD584" s="658">
        <f t="shared" si="1"/>
        <v>0</v>
      </c>
    </row>
    <row r="585" spans="1:30" s="679" customFormat="1" ht="56.25">
      <c r="A585" s="650">
        <v>50</v>
      </c>
      <c r="B585" s="678"/>
      <c r="C585" s="656"/>
      <c r="D585" s="656"/>
      <c r="E585" s="656"/>
      <c r="F585" s="656"/>
      <c r="G585" s="656"/>
      <c r="H585" s="656"/>
      <c r="I585" s="656" t="s">
        <v>91</v>
      </c>
      <c r="J585" s="663" t="s">
        <v>620</v>
      </c>
      <c r="K585" s="664">
        <v>2.1999999999999999E-2</v>
      </c>
      <c r="L585" s="656" t="s">
        <v>618</v>
      </c>
      <c r="M585" s="656"/>
      <c r="N585" s="656"/>
      <c r="O585" s="656"/>
      <c r="P585" s="656"/>
      <c r="Q585" s="655" t="s">
        <v>91</v>
      </c>
      <c r="R585" s="656"/>
      <c r="S585" s="656" t="s">
        <v>24</v>
      </c>
      <c r="T585" s="656"/>
      <c r="U585" s="656">
        <v>11</v>
      </c>
      <c r="V585" s="656"/>
      <c r="W585" s="656"/>
      <c r="X585" s="656"/>
      <c r="Z585" s="658">
        <f t="shared" si="1"/>
        <v>0</v>
      </c>
      <c r="AA585" s="658">
        <f t="shared" si="1"/>
        <v>0.24199999999999999</v>
      </c>
      <c r="AB585" s="658">
        <f t="shared" si="1"/>
        <v>0</v>
      </c>
      <c r="AC585" s="658">
        <f t="shared" si="1"/>
        <v>0</v>
      </c>
      <c r="AD585" s="658">
        <f t="shared" si="1"/>
        <v>0</v>
      </c>
    </row>
    <row r="586" spans="1:30" s="679" customFormat="1" ht="56.25">
      <c r="A586" s="650">
        <v>51</v>
      </c>
      <c r="B586" s="678"/>
      <c r="C586" s="656"/>
      <c r="D586" s="656"/>
      <c r="E586" s="656"/>
      <c r="F586" s="656"/>
      <c r="G586" s="656"/>
      <c r="H586" s="656"/>
      <c r="I586" s="656" t="s">
        <v>91</v>
      </c>
      <c r="J586" s="663" t="s">
        <v>621</v>
      </c>
      <c r="K586" s="664">
        <v>2.3E-2</v>
      </c>
      <c r="L586" s="656" t="s">
        <v>618</v>
      </c>
      <c r="M586" s="656"/>
      <c r="N586" s="656"/>
      <c r="O586" s="656"/>
      <c r="P586" s="656"/>
      <c r="Q586" s="655" t="s">
        <v>91</v>
      </c>
      <c r="R586" s="656"/>
      <c r="S586" s="656" t="s">
        <v>24</v>
      </c>
      <c r="T586" s="656"/>
      <c r="U586" s="656">
        <v>4</v>
      </c>
      <c r="V586" s="656"/>
      <c r="W586" s="656"/>
      <c r="X586" s="656"/>
      <c r="Z586" s="658">
        <f t="shared" si="1"/>
        <v>0</v>
      </c>
      <c r="AA586" s="658">
        <f t="shared" si="1"/>
        <v>9.1999999999999998E-2</v>
      </c>
      <c r="AB586" s="658">
        <f t="shared" si="1"/>
        <v>0</v>
      </c>
      <c r="AC586" s="658">
        <f t="shared" si="1"/>
        <v>0</v>
      </c>
      <c r="AD586" s="658">
        <f t="shared" si="1"/>
        <v>0</v>
      </c>
    </row>
    <row r="587" spans="1:30" s="679" customFormat="1" ht="37.5">
      <c r="A587" s="650">
        <v>52</v>
      </c>
      <c r="B587" s="678"/>
      <c r="C587" s="656"/>
      <c r="D587" s="656" t="s">
        <v>91</v>
      </c>
      <c r="E587" s="656"/>
      <c r="F587" s="656"/>
      <c r="G587" s="656"/>
      <c r="H587" s="656"/>
      <c r="I587" s="656"/>
      <c r="J587" s="663" t="s">
        <v>622</v>
      </c>
      <c r="K587" s="664">
        <v>0.06</v>
      </c>
      <c r="L587" s="656" t="s">
        <v>618</v>
      </c>
      <c r="M587" s="656"/>
      <c r="N587" s="656"/>
      <c r="O587" s="656"/>
      <c r="P587" s="656"/>
      <c r="Q587" s="655" t="s">
        <v>91</v>
      </c>
      <c r="R587" s="656"/>
      <c r="S587" s="656" t="s">
        <v>24</v>
      </c>
      <c r="T587" s="656"/>
      <c r="U587" s="656">
        <v>5</v>
      </c>
      <c r="V587" s="656"/>
      <c r="W587" s="656"/>
      <c r="X587" s="656"/>
      <c r="Z587" s="658">
        <f t="shared" si="1"/>
        <v>0</v>
      </c>
      <c r="AA587" s="658">
        <f t="shared" si="1"/>
        <v>0.3</v>
      </c>
      <c r="AB587" s="658">
        <f t="shared" si="1"/>
        <v>0</v>
      </c>
      <c r="AC587" s="658">
        <f t="shared" si="1"/>
        <v>0</v>
      </c>
      <c r="AD587" s="658">
        <f t="shared" si="1"/>
        <v>0</v>
      </c>
    </row>
    <row r="588" spans="1:30" s="679" customFormat="1" ht="37.5">
      <c r="A588" s="650">
        <v>53</v>
      </c>
      <c r="B588" s="678"/>
      <c r="C588" s="656"/>
      <c r="D588" s="656" t="s">
        <v>91</v>
      </c>
      <c r="E588" s="656"/>
      <c r="F588" s="656"/>
      <c r="G588" s="656"/>
      <c r="H588" s="656"/>
      <c r="I588" s="656"/>
      <c r="J588" s="663" t="s">
        <v>610</v>
      </c>
      <c r="K588" s="664">
        <v>5.5E-2</v>
      </c>
      <c r="L588" s="656" t="s">
        <v>618</v>
      </c>
      <c r="M588" s="656"/>
      <c r="N588" s="656"/>
      <c r="O588" s="656"/>
      <c r="P588" s="656"/>
      <c r="Q588" s="655" t="s">
        <v>91</v>
      </c>
      <c r="R588" s="656"/>
      <c r="S588" s="656" t="s">
        <v>24</v>
      </c>
      <c r="T588" s="656"/>
      <c r="U588" s="656">
        <v>4</v>
      </c>
      <c r="V588" s="656"/>
      <c r="W588" s="656"/>
      <c r="X588" s="656"/>
      <c r="Z588" s="658">
        <f t="shared" si="1"/>
        <v>0</v>
      </c>
      <c r="AA588" s="658">
        <f t="shared" si="1"/>
        <v>0.22</v>
      </c>
      <c r="AB588" s="658">
        <f t="shared" si="1"/>
        <v>0</v>
      </c>
      <c r="AC588" s="658">
        <f t="shared" si="1"/>
        <v>0</v>
      </c>
      <c r="AD588" s="658">
        <f t="shared" si="1"/>
        <v>0</v>
      </c>
    </row>
    <row r="589" spans="1:30" s="679" customFormat="1" ht="37.5">
      <c r="A589" s="650">
        <v>54</v>
      </c>
      <c r="B589" s="678"/>
      <c r="C589" s="656"/>
      <c r="D589" s="656" t="s">
        <v>91</v>
      </c>
      <c r="E589" s="656"/>
      <c r="F589" s="656"/>
      <c r="G589" s="656"/>
      <c r="H589" s="656"/>
      <c r="I589" s="656"/>
      <c r="J589" s="663" t="s">
        <v>623</v>
      </c>
      <c r="K589" s="664">
        <v>3.3000000000000002E-2</v>
      </c>
      <c r="L589" s="656" t="s">
        <v>618</v>
      </c>
      <c r="M589" s="656"/>
      <c r="N589" s="656"/>
      <c r="O589" s="656"/>
      <c r="P589" s="656"/>
      <c r="Q589" s="655" t="s">
        <v>91</v>
      </c>
      <c r="R589" s="656"/>
      <c r="S589" s="656" t="s">
        <v>24</v>
      </c>
      <c r="T589" s="656"/>
      <c r="U589" s="656">
        <v>8</v>
      </c>
      <c r="V589" s="656"/>
      <c r="W589" s="656"/>
      <c r="X589" s="656"/>
      <c r="Z589" s="658">
        <f t="shared" si="1"/>
        <v>0</v>
      </c>
      <c r="AA589" s="658">
        <f t="shared" si="1"/>
        <v>0.26400000000000001</v>
      </c>
      <c r="AB589" s="658">
        <f t="shared" si="1"/>
        <v>0</v>
      </c>
      <c r="AC589" s="658">
        <f t="shared" si="1"/>
        <v>0</v>
      </c>
      <c r="AD589" s="658">
        <f t="shared" si="1"/>
        <v>0</v>
      </c>
    </row>
    <row r="590" spans="1:30" s="679" customFormat="1" ht="56.25">
      <c r="A590" s="650">
        <v>55</v>
      </c>
      <c r="B590" s="678"/>
      <c r="C590" s="656"/>
      <c r="D590" s="656" t="s">
        <v>91</v>
      </c>
      <c r="E590" s="656"/>
      <c r="F590" s="656"/>
      <c r="G590" s="656"/>
      <c r="H590" s="656"/>
      <c r="I590" s="656"/>
      <c r="J590" s="663" t="s">
        <v>624</v>
      </c>
      <c r="K590" s="664">
        <v>0.04</v>
      </c>
      <c r="L590" s="656" t="s">
        <v>618</v>
      </c>
      <c r="M590" s="656"/>
      <c r="N590" s="656"/>
      <c r="O590" s="656"/>
      <c r="P590" s="656"/>
      <c r="Q590" s="655" t="s">
        <v>91</v>
      </c>
      <c r="R590" s="656"/>
      <c r="S590" s="656" t="s">
        <v>24</v>
      </c>
      <c r="T590" s="656"/>
      <c r="U590" s="656">
        <v>8</v>
      </c>
      <c r="V590" s="656"/>
      <c r="W590" s="656"/>
      <c r="X590" s="656"/>
      <c r="Z590" s="658">
        <f t="shared" si="1"/>
        <v>0</v>
      </c>
      <c r="AA590" s="658">
        <f t="shared" si="1"/>
        <v>0.32</v>
      </c>
      <c r="AB590" s="658">
        <f t="shared" si="1"/>
        <v>0</v>
      </c>
      <c r="AC590" s="658">
        <f t="shared" si="1"/>
        <v>0</v>
      </c>
      <c r="AD590" s="658">
        <f t="shared" si="1"/>
        <v>0</v>
      </c>
    </row>
    <row r="591" spans="1:30" s="679" customFormat="1" ht="56.25">
      <c r="A591" s="650">
        <v>56</v>
      </c>
      <c r="B591" s="678"/>
      <c r="C591" s="656"/>
      <c r="D591" s="656"/>
      <c r="E591" s="656"/>
      <c r="F591" s="656"/>
      <c r="G591" s="656" t="s">
        <v>91</v>
      </c>
      <c r="H591" s="656"/>
      <c r="I591" s="656"/>
      <c r="J591" s="663" t="s">
        <v>625</v>
      </c>
      <c r="K591" s="664">
        <v>5.8849999999999998</v>
      </c>
      <c r="L591" s="656" t="s">
        <v>618</v>
      </c>
      <c r="M591" s="656"/>
      <c r="N591" s="656"/>
      <c r="O591" s="656"/>
      <c r="P591" s="656"/>
      <c r="Q591" s="655" t="s">
        <v>91</v>
      </c>
      <c r="R591" s="656"/>
      <c r="S591" s="656" t="s">
        <v>24</v>
      </c>
      <c r="T591" s="656"/>
      <c r="U591" s="656">
        <v>1</v>
      </c>
      <c r="V591" s="656"/>
      <c r="W591" s="656"/>
      <c r="X591" s="656"/>
      <c r="Z591" s="658">
        <f t="shared" si="1"/>
        <v>0</v>
      </c>
      <c r="AA591" s="658">
        <f t="shared" si="1"/>
        <v>5.8849999999999998</v>
      </c>
      <c r="AB591" s="658">
        <f t="shared" si="1"/>
        <v>0</v>
      </c>
      <c r="AC591" s="658">
        <f t="shared" si="1"/>
        <v>0</v>
      </c>
      <c r="AD591" s="658">
        <f t="shared" si="1"/>
        <v>0</v>
      </c>
    </row>
    <row r="592" spans="1:30" s="679" customFormat="1" ht="23.25" customHeight="1">
      <c r="A592" s="650">
        <v>57</v>
      </c>
      <c r="B592" s="678"/>
      <c r="C592" s="656"/>
      <c r="D592" s="656"/>
      <c r="E592" s="656"/>
      <c r="F592" s="656"/>
      <c r="G592" s="656" t="s">
        <v>91</v>
      </c>
      <c r="H592" s="656"/>
      <c r="I592" s="656"/>
      <c r="J592" s="663" t="s">
        <v>626</v>
      </c>
      <c r="K592" s="664">
        <v>5.3999999999999999E-2</v>
      </c>
      <c r="L592" s="656" t="s">
        <v>618</v>
      </c>
      <c r="M592" s="656"/>
      <c r="N592" s="656"/>
      <c r="O592" s="656"/>
      <c r="P592" s="656"/>
      <c r="Q592" s="655" t="s">
        <v>91</v>
      </c>
      <c r="R592" s="656"/>
      <c r="S592" s="656" t="s">
        <v>24</v>
      </c>
      <c r="T592" s="656"/>
      <c r="U592" s="656">
        <v>1</v>
      </c>
      <c r="V592" s="656"/>
      <c r="W592" s="656"/>
      <c r="X592" s="656"/>
      <c r="Z592" s="658">
        <f t="shared" si="1"/>
        <v>0</v>
      </c>
      <c r="AA592" s="658">
        <f t="shared" si="1"/>
        <v>5.3999999999999999E-2</v>
      </c>
      <c r="AB592" s="658">
        <f t="shared" si="1"/>
        <v>0</v>
      </c>
      <c r="AC592" s="658">
        <f t="shared" si="1"/>
        <v>0</v>
      </c>
      <c r="AD592" s="658">
        <f t="shared" si="1"/>
        <v>0</v>
      </c>
    </row>
    <row r="593" spans="1:30" s="679" customFormat="1">
      <c r="A593" s="650">
        <v>58</v>
      </c>
      <c r="B593" s="678"/>
      <c r="C593" s="656"/>
      <c r="D593" s="656"/>
      <c r="E593" s="656"/>
      <c r="F593" s="656"/>
      <c r="G593" s="656" t="s">
        <v>91</v>
      </c>
      <c r="H593" s="656"/>
      <c r="I593" s="656"/>
      <c r="J593" s="663" t="s">
        <v>77</v>
      </c>
      <c r="K593" s="664">
        <v>8.1000000000000003E-2</v>
      </c>
      <c r="L593" s="656" t="s">
        <v>618</v>
      </c>
      <c r="M593" s="656"/>
      <c r="N593" s="656"/>
      <c r="O593" s="656"/>
      <c r="P593" s="656"/>
      <c r="Q593" s="655" t="s">
        <v>91</v>
      </c>
      <c r="R593" s="656"/>
      <c r="S593" s="656" t="s">
        <v>24</v>
      </c>
      <c r="T593" s="656"/>
      <c r="U593" s="656">
        <v>1</v>
      </c>
      <c r="V593" s="656"/>
      <c r="W593" s="656"/>
      <c r="X593" s="656"/>
      <c r="Z593" s="658">
        <f t="shared" si="1"/>
        <v>0</v>
      </c>
      <c r="AA593" s="658">
        <f t="shared" si="1"/>
        <v>8.1000000000000003E-2</v>
      </c>
      <c r="AB593" s="658">
        <f t="shared" si="1"/>
        <v>0</v>
      </c>
      <c r="AC593" s="658">
        <f t="shared" si="1"/>
        <v>0</v>
      </c>
      <c r="AD593" s="658">
        <f t="shared" si="1"/>
        <v>0</v>
      </c>
    </row>
    <row r="594" spans="1:30" s="679" customFormat="1" ht="37.5">
      <c r="A594" s="650">
        <v>59</v>
      </c>
      <c r="B594" s="678"/>
      <c r="C594" s="656"/>
      <c r="D594" s="656"/>
      <c r="E594" s="656"/>
      <c r="F594" s="656"/>
      <c r="G594" s="656"/>
      <c r="H594" s="656" t="s">
        <v>91</v>
      </c>
      <c r="I594" s="656"/>
      <c r="J594" s="663" t="s">
        <v>587</v>
      </c>
      <c r="K594" s="664">
        <v>2</v>
      </c>
      <c r="L594" s="656" t="s">
        <v>627</v>
      </c>
      <c r="M594" s="656"/>
      <c r="N594" s="656"/>
      <c r="O594" s="656"/>
      <c r="P594" s="656"/>
      <c r="Q594" s="655" t="s">
        <v>91</v>
      </c>
      <c r="R594" s="656"/>
      <c r="S594" s="656" t="s">
        <v>24</v>
      </c>
      <c r="T594" s="656">
        <v>1</v>
      </c>
      <c r="U594" s="656"/>
      <c r="V594" s="656"/>
      <c r="W594" s="656"/>
      <c r="X594" s="656"/>
      <c r="Z594" s="658">
        <f t="shared" si="1"/>
        <v>2</v>
      </c>
      <c r="AA594" s="658">
        <f t="shared" si="1"/>
        <v>0</v>
      </c>
      <c r="AB594" s="658">
        <f t="shared" si="1"/>
        <v>0</v>
      </c>
      <c r="AC594" s="658">
        <f t="shared" si="1"/>
        <v>0</v>
      </c>
      <c r="AD594" s="658">
        <f t="shared" si="1"/>
        <v>0</v>
      </c>
    </row>
    <row r="595" spans="1:30" s="679" customFormat="1" ht="37.5">
      <c r="A595" s="650">
        <v>60</v>
      </c>
      <c r="B595" s="678"/>
      <c r="C595" s="656"/>
      <c r="D595" s="656"/>
      <c r="E595" s="656"/>
      <c r="F595" s="656"/>
      <c r="G595" s="656"/>
      <c r="H595" s="656" t="s">
        <v>91</v>
      </c>
      <c r="I595" s="656"/>
      <c r="J595" s="663" t="s">
        <v>628</v>
      </c>
      <c r="K595" s="664">
        <v>1.294</v>
      </c>
      <c r="L595" s="656" t="s">
        <v>627</v>
      </c>
      <c r="M595" s="656"/>
      <c r="N595" s="656"/>
      <c r="O595" s="656"/>
      <c r="P595" s="656"/>
      <c r="Q595" s="655" t="s">
        <v>91</v>
      </c>
      <c r="R595" s="656"/>
      <c r="S595" s="656" t="s">
        <v>24</v>
      </c>
      <c r="T595" s="656">
        <v>1</v>
      </c>
      <c r="U595" s="656"/>
      <c r="V595" s="656"/>
      <c r="W595" s="656"/>
      <c r="X595" s="656"/>
      <c r="Z595" s="658">
        <f t="shared" si="1"/>
        <v>1.294</v>
      </c>
      <c r="AA595" s="658">
        <f t="shared" si="1"/>
        <v>0</v>
      </c>
      <c r="AB595" s="658">
        <f t="shared" si="1"/>
        <v>0</v>
      </c>
      <c r="AC595" s="658">
        <f t="shared" si="1"/>
        <v>0</v>
      </c>
      <c r="AD595" s="658">
        <f t="shared" si="1"/>
        <v>0</v>
      </c>
    </row>
    <row r="596" spans="1:30" s="685" customFormat="1" ht="42">
      <c r="A596" s="680">
        <v>1</v>
      </c>
      <c r="B596" s="681"/>
      <c r="C596" s="682"/>
      <c r="D596" s="682"/>
      <c r="E596" s="682"/>
      <c r="F596" s="682" t="s">
        <v>52</v>
      </c>
      <c r="G596" s="682"/>
      <c r="H596" s="682"/>
      <c r="I596" s="682"/>
      <c r="J596" s="683" t="s">
        <v>622</v>
      </c>
      <c r="K596" s="684">
        <v>0.06</v>
      </c>
      <c r="L596" s="682" t="s">
        <v>629</v>
      </c>
      <c r="M596" s="682"/>
      <c r="N596" s="682"/>
      <c r="O596" s="682"/>
      <c r="P596" s="682"/>
      <c r="Q596" s="655" t="s">
        <v>91</v>
      </c>
      <c r="R596" s="682"/>
      <c r="S596" s="682" t="s">
        <v>24</v>
      </c>
      <c r="T596" s="682">
        <v>1</v>
      </c>
      <c r="U596" s="682">
        <v>1</v>
      </c>
      <c r="V596" s="682"/>
      <c r="W596" s="682">
        <v>1</v>
      </c>
      <c r="X596" s="684"/>
      <c r="Z596" s="658">
        <f t="shared" si="1"/>
        <v>0.06</v>
      </c>
      <c r="AA596" s="658">
        <f t="shared" si="1"/>
        <v>0.06</v>
      </c>
      <c r="AB596" s="658">
        <f t="shared" si="1"/>
        <v>0</v>
      </c>
      <c r="AC596" s="658">
        <f t="shared" si="1"/>
        <v>0.06</v>
      </c>
      <c r="AD596" s="658">
        <f t="shared" si="1"/>
        <v>0</v>
      </c>
    </row>
    <row r="597" spans="1:30" s="685" customFormat="1" ht="42">
      <c r="A597" s="686">
        <v>2</v>
      </c>
      <c r="B597" s="687"/>
      <c r="C597" s="688"/>
      <c r="D597" s="688"/>
      <c r="E597" s="688"/>
      <c r="F597" s="688" t="s">
        <v>52</v>
      </c>
      <c r="G597" s="688"/>
      <c r="H597" s="688"/>
      <c r="I597" s="688"/>
      <c r="J597" s="683" t="s">
        <v>281</v>
      </c>
      <c r="K597" s="684">
        <v>0.15</v>
      </c>
      <c r="L597" s="682" t="s">
        <v>629</v>
      </c>
      <c r="M597" s="688"/>
      <c r="N597" s="688"/>
      <c r="O597" s="688"/>
      <c r="P597" s="688"/>
      <c r="Q597" s="655" t="s">
        <v>91</v>
      </c>
      <c r="R597" s="688"/>
      <c r="S597" s="688"/>
      <c r="T597" s="688">
        <v>1</v>
      </c>
      <c r="U597" s="688"/>
      <c r="V597" s="688"/>
      <c r="W597" s="688"/>
      <c r="X597" s="689"/>
      <c r="Z597" s="658">
        <f t="shared" si="1"/>
        <v>0.15</v>
      </c>
      <c r="AA597" s="658">
        <f t="shared" si="1"/>
        <v>0</v>
      </c>
      <c r="AB597" s="658">
        <f t="shared" si="1"/>
        <v>0</v>
      </c>
      <c r="AC597" s="658">
        <f t="shared" si="1"/>
        <v>0</v>
      </c>
      <c r="AD597" s="658">
        <f t="shared" si="1"/>
        <v>0</v>
      </c>
    </row>
    <row r="598" spans="1:30" s="685" customFormat="1" ht="42">
      <c r="A598" s="686">
        <v>3</v>
      </c>
      <c r="B598" s="687"/>
      <c r="C598" s="688"/>
      <c r="D598" s="688"/>
      <c r="E598" s="688"/>
      <c r="F598" s="688" t="s">
        <v>52</v>
      </c>
      <c r="G598" s="688"/>
      <c r="H598" s="688"/>
      <c r="I598" s="688"/>
      <c r="J598" s="683" t="s">
        <v>356</v>
      </c>
      <c r="K598" s="684">
        <v>0.05</v>
      </c>
      <c r="L598" s="682" t="s">
        <v>629</v>
      </c>
      <c r="M598" s="688"/>
      <c r="N598" s="688"/>
      <c r="O598" s="688"/>
      <c r="P598" s="688"/>
      <c r="Q598" s="655" t="s">
        <v>91</v>
      </c>
      <c r="R598" s="688"/>
      <c r="S598" s="688"/>
      <c r="T598" s="688">
        <v>1</v>
      </c>
      <c r="U598" s="688"/>
      <c r="V598" s="688"/>
      <c r="W598" s="688"/>
      <c r="X598" s="688"/>
      <c r="Z598" s="658">
        <f t="shared" si="1"/>
        <v>0.05</v>
      </c>
      <c r="AA598" s="658">
        <f t="shared" si="1"/>
        <v>0</v>
      </c>
      <c r="AB598" s="658">
        <f t="shared" si="1"/>
        <v>0</v>
      </c>
      <c r="AC598" s="658">
        <f t="shared" si="1"/>
        <v>0</v>
      </c>
      <c r="AD598" s="658">
        <f t="shared" si="1"/>
        <v>0</v>
      </c>
    </row>
    <row r="599" spans="1:30" s="685" customFormat="1" ht="63">
      <c r="A599" s="686">
        <v>4</v>
      </c>
      <c r="B599" s="687"/>
      <c r="C599" s="688"/>
      <c r="D599" s="688"/>
      <c r="E599" s="688"/>
      <c r="F599" s="688" t="s">
        <v>52</v>
      </c>
      <c r="G599" s="688"/>
      <c r="H599" s="688"/>
      <c r="I599" s="688"/>
      <c r="J599" s="683" t="s">
        <v>630</v>
      </c>
      <c r="K599" s="684">
        <v>3.5000000000000003E-2</v>
      </c>
      <c r="L599" s="682" t="s">
        <v>629</v>
      </c>
      <c r="M599" s="688"/>
      <c r="N599" s="688"/>
      <c r="O599" s="688"/>
      <c r="P599" s="688"/>
      <c r="Q599" s="655" t="s">
        <v>91</v>
      </c>
      <c r="R599" s="688"/>
      <c r="S599" s="688"/>
      <c r="T599" s="688">
        <v>10</v>
      </c>
      <c r="U599" s="685">
        <v>10</v>
      </c>
      <c r="V599" s="688"/>
      <c r="W599" s="688"/>
      <c r="X599" s="688"/>
      <c r="Z599" s="658">
        <f t="shared" si="1"/>
        <v>0.35000000000000003</v>
      </c>
      <c r="AA599" s="658">
        <f t="shared" si="1"/>
        <v>0.35000000000000003</v>
      </c>
      <c r="AB599" s="658">
        <f t="shared" si="1"/>
        <v>0</v>
      </c>
      <c r="AC599" s="658">
        <f t="shared" si="1"/>
        <v>0</v>
      </c>
      <c r="AD599" s="658">
        <f t="shared" si="1"/>
        <v>0</v>
      </c>
    </row>
    <row r="600" spans="1:30" s="685" customFormat="1" ht="42">
      <c r="A600" s="686">
        <v>5</v>
      </c>
      <c r="B600" s="687"/>
      <c r="C600" s="688"/>
      <c r="D600" s="688"/>
      <c r="E600" s="688"/>
      <c r="F600" s="690"/>
      <c r="G600" s="690" t="s">
        <v>52</v>
      </c>
      <c r="H600" s="690"/>
      <c r="I600" s="690"/>
      <c r="J600" s="683" t="s">
        <v>631</v>
      </c>
      <c r="K600" s="684">
        <v>0.24</v>
      </c>
      <c r="L600" s="682" t="s">
        <v>629</v>
      </c>
      <c r="M600" s="688"/>
      <c r="N600" s="688"/>
      <c r="O600" s="688"/>
      <c r="P600" s="688"/>
      <c r="Q600" s="655" t="s">
        <v>91</v>
      </c>
      <c r="R600" s="688"/>
      <c r="S600" s="688"/>
      <c r="T600" s="688">
        <v>1</v>
      </c>
      <c r="V600" s="688"/>
      <c r="W600" s="688"/>
      <c r="X600" s="688"/>
      <c r="Z600" s="658">
        <f t="shared" si="1"/>
        <v>0.24</v>
      </c>
      <c r="AA600" s="658">
        <f t="shared" ref="AA600:AD663" si="2">U600*$K600</f>
        <v>0</v>
      </c>
      <c r="AB600" s="658">
        <f t="shared" si="2"/>
        <v>0</v>
      </c>
      <c r="AC600" s="658">
        <f t="shared" si="2"/>
        <v>0</v>
      </c>
      <c r="AD600" s="658">
        <f t="shared" si="2"/>
        <v>0</v>
      </c>
    </row>
    <row r="601" spans="1:30" s="685" customFormat="1" ht="21">
      <c r="A601" s="686">
        <v>6</v>
      </c>
      <c r="B601" s="687"/>
      <c r="C601" s="688"/>
      <c r="D601" s="688"/>
      <c r="E601" s="688"/>
      <c r="F601" s="684"/>
      <c r="G601" s="684"/>
      <c r="H601" s="684"/>
      <c r="I601" s="684"/>
      <c r="J601" s="683" t="s">
        <v>632</v>
      </c>
      <c r="K601" s="684">
        <v>0.02</v>
      </c>
      <c r="L601" s="682" t="s">
        <v>629</v>
      </c>
      <c r="M601" s="688"/>
      <c r="N601" s="688"/>
      <c r="O601" s="688"/>
      <c r="P601" s="688"/>
      <c r="Q601" s="655" t="s">
        <v>91</v>
      </c>
      <c r="R601" s="688"/>
      <c r="S601" s="688"/>
      <c r="T601" s="688">
        <v>3</v>
      </c>
      <c r="V601" s="688"/>
      <c r="W601" s="688"/>
      <c r="X601" s="688"/>
      <c r="Z601" s="658">
        <f t="shared" ref="Z601:AC664" si="3">T601*$K601</f>
        <v>0.06</v>
      </c>
      <c r="AA601" s="658">
        <f t="shared" si="2"/>
        <v>0</v>
      </c>
      <c r="AB601" s="658">
        <f t="shared" si="2"/>
        <v>0</v>
      </c>
      <c r="AC601" s="658">
        <f t="shared" si="2"/>
        <v>0</v>
      </c>
      <c r="AD601" s="658">
        <f t="shared" si="2"/>
        <v>0</v>
      </c>
    </row>
    <row r="602" spans="1:30" s="685" customFormat="1" ht="21">
      <c r="A602" s="686">
        <v>7</v>
      </c>
      <c r="B602" s="687"/>
      <c r="C602" s="688"/>
      <c r="D602" s="688"/>
      <c r="E602" s="688"/>
      <c r="F602" s="689" t="s">
        <v>52</v>
      </c>
      <c r="G602" s="689"/>
      <c r="H602" s="689"/>
      <c r="I602" s="689"/>
      <c r="J602" s="683" t="s">
        <v>77</v>
      </c>
      <c r="K602" s="684">
        <v>0.81</v>
      </c>
      <c r="L602" s="682" t="s">
        <v>629</v>
      </c>
      <c r="M602" s="688"/>
      <c r="N602" s="688"/>
      <c r="O602" s="688"/>
      <c r="P602" s="688"/>
      <c r="Q602" s="655" t="s">
        <v>91</v>
      </c>
      <c r="R602" s="688"/>
      <c r="S602" s="688"/>
      <c r="T602" s="688">
        <v>2</v>
      </c>
      <c r="V602" s="688"/>
      <c r="W602" s="688"/>
      <c r="X602" s="688"/>
      <c r="Z602" s="658">
        <f t="shared" si="3"/>
        <v>1.62</v>
      </c>
      <c r="AA602" s="658">
        <f t="shared" si="2"/>
        <v>0</v>
      </c>
      <c r="AB602" s="658">
        <f t="shared" si="2"/>
        <v>0</v>
      </c>
      <c r="AC602" s="658">
        <f t="shared" si="2"/>
        <v>0</v>
      </c>
      <c r="AD602" s="658">
        <f t="shared" si="2"/>
        <v>0</v>
      </c>
    </row>
    <row r="603" spans="1:30" s="685" customFormat="1" ht="42">
      <c r="A603" s="691">
        <v>8</v>
      </c>
      <c r="B603" s="692"/>
      <c r="C603" s="684"/>
      <c r="D603" s="684"/>
      <c r="E603" s="684"/>
      <c r="F603" s="684"/>
      <c r="G603" s="684"/>
      <c r="H603" s="684"/>
      <c r="I603" s="684" t="s">
        <v>52</v>
      </c>
      <c r="J603" s="683" t="s">
        <v>633</v>
      </c>
      <c r="K603" s="684">
        <v>3.5000000000000003E-2</v>
      </c>
      <c r="L603" s="682" t="s">
        <v>629</v>
      </c>
      <c r="M603" s="684"/>
      <c r="N603" s="684"/>
      <c r="O603" s="684"/>
      <c r="P603" s="684"/>
      <c r="Q603" s="655" t="s">
        <v>91</v>
      </c>
      <c r="R603" s="684"/>
      <c r="S603" s="684"/>
      <c r="T603" s="684">
        <v>1</v>
      </c>
      <c r="U603" s="684"/>
      <c r="V603" s="684"/>
      <c r="W603" s="684"/>
      <c r="X603" s="684"/>
      <c r="Z603" s="658">
        <f t="shared" si="3"/>
        <v>3.5000000000000003E-2</v>
      </c>
      <c r="AA603" s="658">
        <f t="shared" si="2"/>
        <v>0</v>
      </c>
      <c r="AB603" s="658">
        <f t="shared" si="2"/>
        <v>0</v>
      </c>
      <c r="AC603" s="658">
        <f t="shared" si="2"/>
        <v>0</v>
      </c>
      <c r="AD603" s="658">
        <f t="shared" si="2"/>
        <v>0</v>
      </c>
    </row>
    <row r="604" spans="1:30" s="685" customFormat="1" ht="42">
      <c r="A604" s="691">
        <v>9</v>
      </c>
      <c r="B604" s="692"/>
      <c r="C604" s="684"/>
      <c r="D604" s="684"/>
      <c r="E604" s="684"/>
      <c r="F604" s="684"/>
      <c r="G604" s="684"/>
      <c r="H604" s="684"/>
      <c r="I604" s="684" t="s">
        <v>52</v>
      </c>
      <c r="J604" s="683" t="s">
        <v>634</v>
      </c>
      <c r="K604" s="684">
        <v>0.25</v>
      </c>
      <c r="L604" s="682" t="s">
        <v>629</v>
      </c>
      <c r="M604" s="684"/>
      <c r="N604" s="684"/>
      <c r="O604" s="684"/>
      <c r="P604" s="684"/>
      <c r="Q604" s="655" t="s">
        <v>91</v>
      </c>
      <c r="R604" s="684"/>
      <c r="S604" s="684"/>
      <c r="T604" s="684">
        <v>1</v>
      </c>
      <c r="U604" s="684"/>
      <c r="V604" s="684"/>
      <c r="W604" s="684"/>
      <c r="X604" s="684"/>
      <c r="Z604" s="658">
        <f t="shared" si="3"/>
        <v>0.25</v>
      </c>
      <c r="AA604" s="658">
        <f t="shared" si="2"/>
        <v>0</v>
      </c>
      <c r="AB604" s="658">
        <f t="shared" si="2"/>
        <v>0</v>
      </c>
      <c r="AC604" s="658">
        <f t="shared" si="2"/>
        <v>0</v>
      </c>
      <c r="AD604" s="658">
        <f t="shared" si="2"/>
        <v>0</v>
      </c>
    </row>
    <row r="605" spans="1:30" s="685" customFormat="1" ht="21">
      <c r="A605" s="693">
        <v>10</v>
      </c>
      <c r="B605" s="692"/>
      <c r="C605" s="684"/>
      <c r="D605" s="684"/>
      <c r="E605" s="684"/>
      <c r="F605" s="684"/>
      <c r="G605" s="684"/>
      <c r="H605" s="684"/>
      <c r="I605" s="684" t="s">
        <v>52</v>
      </c>
      <c r="J605" s="683" t="s">
        <v>358</v>
      </c>
      <c r="K605" s="684">
        <v>0.02</v>
      </c>
      <c r="L605" s="682" t="s">
        <v>629</v>
      </c>
      <c r="M605" s="684"/>
      <c r="N605" s="684"/>
      <c r="O605" s="684"/>
      <c r="P605" s="684"/>
      <c r="Q605" s="655" t="s">
        <v>91</v>
      </c>
      <c r="R605" s="684"/>
      <c r="S605" s="684"/>
      <c r="T605" s="684">
        <v>1</v>
      </c>
      <c r="U605" s="684"/>
      <c r="V605" s="684"/>
      <c r="W605" s="684"/>
      <c r="X605" s="684"/>
      <c r="Z605" s="658">
        <f t="shared" si="3"/>
        <v>0.02</v>
      </c>
      <c r="AA605" s="658">
        <f t="shared" si="2"/>
        <v>0</v>
      </c>
      <c r="AB605" s="658">
        <f t="shared" si="2"/>
        <v>0</v>
      </c>
      <c r="AC605" s="658">
        <f t="shared" si="2"/>
        <v>0</v>
      </c>
      <c r="AD605" s="658">
        <f t="shared" si="2"/>
        <v>0</v>
      </c>
    </row>
    <row r="606" spans="1:30" s="685" customFormat="1" ht="63">
      <c r="A606" s="693">
        <v>11</v>
      </c>
      <c r="B606" s="692"/>
      <c r="C606" s="684"/>
      <c r="D606" s="684"/>
      <c r="E606" s="684"/>
      <c r="F606" s="684"/>
      <c r="G606" s="684"/>
      <c r="H606" s="684"/>
      <c r="I606" s="684" t="s">
        <v>52</v>
      </c>
      <c r="J606" s="683" t="s">
        <v>635</v>
      </c>
      <c r="K606" s="684">
        <v>0.13</v>
      </c>
      <c r="L606" s="682" t="s">
        <v>629</v>
      </c>
      <c r="M606" s="684"/>
      <c r="N606" s="684"/>
      <c r="O606" s="684"/>
      <c r="P606" s="684"/>
      <c r="Q606" s="655" t="s">
        <v>91</v>
      </c>
      <c r="R606" s="684"/>
      <c r="S606" s="684"/>
      <c r="T606" s="684">
        <v>1</v>
      </c>
      <c r="U606" s="684"/>
      <c r="V606" s="684"/>
      <c r="W606" s="684"/>
      <c r="X606" s="684"/>
      <c r="Z606" s="658">
        <f t="shared" si="3"/>
        <v>0.13</v>
      </c>
      <c r="AA606" s="658">
        <f t="shared" si="2"/>
        <v>0</v>
      </c>
      <c r="AB606" s="658">
        <f t="shared" si="2"/>
        <v>0</v>
      </c>
      <c r="AC606" s="658">
        <f t="shared" si="2"/>
        <v>0</v>
      </c>
      <c r="AD606" s="658">
        <f t="shared" si="2"/>
        <v>0</v>
      </c>
    </row>
    <row r="607" spans="1:30" s="685" customFormat="1" ht="84">
      <c r="A607" s="693">
        <v>12</v>
      </c>
      <c r="B607" s="692"/>
      <c r="C607" s="684"/>
      <c r="D607" s="684"/>
      <c r="E607" s="684"/>
      <c r="F607" s="684"/>
      <c r="G607" s="684"/>
      <c r="H607" s="684"/>
      <c r="I607" s="684" t="s">
        <v>52</v>
      </c>
      <c r="J607" s="683" t="s">
        <v>636</v>
      </c>
      <c r="K607" s="684">
        <v>0.56999999999999995</v>
      </c>
      <c r="L607" s="682" t="s">
        <v>629</v>
      </c>
      <c r="M607" s="684"/>
      <c r="N607" s="684"/>
      <c r="O607" s="684"/>
      <c r="P607" s="684"/>
      <c r="Q607" s="655" t="s">
        <v>91</v>
      </c>
      <c r="R607" s="684"/>
      <c r="S607" s="684"/>
      <c r="T607" s="684">
        <v>1</v>
      </c>
      <c r="U607" s="684"/>
      <c r="V607" s="684"/>
      <c r="W607" s="684"/>
      <c r="X607" s="684"/>
      <c r="Z607" s="658">
        <f t="shared" si="3"/>
        <v>0.56999999999999995</v>
      </c>
      <c r="AA607" s="658">
        <f t="shared" si="2"/>
        <v>0</v>
      </c>
      <c r="AB607" s="658">
        <f t="shared" si="2"/>
        <v>0</v>
      </c>
      <c r="AC607" s="658">
        <f t="shared" si="2"/>
        <v>0</v>
      </c>
      <c r="AD607" s="658">
        <f t="shared" si="2"/>
        <v>0</v>
      </c>
    </row>
    <row r="608" spans="1:30" s="685" customFormat="1" ht="23.25" customHeight="1">
      <c r="A608" s="686">
        <v>13</v>
      </c>
      <c r="B608" s="687"/>
      <c r="C608" s="688"/>
      <c r="D608" s="688"/>
      <c r="E608" s="688"/>
      <c r="F608" s="688" t="s">
        <v>52</v>
      </c>
      <c r="G608" s="688"/>
      <c r="H608" s="688"/>
      <c r="I608" s="688"/>
      <c r="J608" s="683" t="s">
        <v>637</v>
      </c>
      <c r="K608" s="684">
        <v>7.0000000000000007E-2</v>
      </c>
      <c r="L608" s="682" t="s">
        <v>629</v>
      </c>
      <c r="M608" s="688"/>
      <c r="N608" s="688"/>
      <c r="O608" s="688"/>
      <c r="P608" s="688"/>
      <c r="Q608" s="655" t="s">
        <v>91</v>
      </c>
      <c r="R608" s="688"/>
      <c r="S608" s="688"/>
      <c r="T608" s="688"/>
      <c r="U608" s="688">
        <v>1</v>
      </c>
      <c r="V608" s="688"/>
      <c r="W608" s="688"/>
      <c r="X608" s="688"/>
      <c r="Z608" s="658">
        <f t="shared" si="3"/>
        <v>0</v>
      </c>
      <c r="AA608" s="658">
        <f t="shared" si="2"/>
        <v>7.0000000000000007E-2</v>
      </c>
      <c r="AB608" s="658">
        <f t="shared" si="2"/>
        <v>0</v>
      </c>
      <c r="AC608" s="658">
        <f t="shared" si="2"/>
        <v>0</v>
      </c>
      <c r="AD608" s="658">
        <f t="shared" si="2"/>
        <v>0</v>
      </c>
    </row>
    <row r="609" spans="1:30" s="685" customFormat="1" ht="23.25" customHeight="1">
      <c r="A609" s="686">
        <v>14</v>
      </c>
      <c r="B609" s="687"/>
      <c r="C609" s="688"/>
      <c r="D609" s="688"/>
      <c r="E609" s="688"/>
      <c r="F609" s="688" t="s">
        <v>52</v>
      </c>
      <c r="G609" s="688"/>
      <c r="H609" s="688"/>
      <c r="I609" s="688"/>
      <c r="J609" s="683" t="s">
        <v>292</v>
      </c>
      <c r="K609" s="684">
        <v>0.15</v>
      </c>
      <c r="L609" s="682" t="s">
        <v>629</v>
      </c>
      <c r="M609" s="688"/>
      <c r="N609" s="688"/>
      <c r="O609" s="688"/>
      <c r="P609" s="688"/>
      <c r="Q609" s="655" t="s">
        <v>91</v>
      </c>
      <c r="R609" s="688"/>
      <c r="S609" s="688"/>
      <c r="T609" s="688"/>
      <c r="U609" s="688">
        <v>1</v>
      </c>
      <c r="V609" s="688"/>
      <c r="W609" s="688"/>
      <c r="X609" s="688"/>
      <c r="Z609" s="658">
        <f t="shared" si="3"/>
        <v>0</v>
      </c>
      <c r="AA609" s="658">
        <f t="shared" si="2"/>
        <v>0.15</v>
      </c>
      <c r="AB609" s="658">
        <f t="shared" si="2"/>
        <v>0</v>
      </c>
      <c r="AC609" s="658">
        <f t="shared" si="2"/>
        <v>0</v>
      </c>
      <c r="AD609" s="658">
        <f t="shared" si="2"/>
        <v>0</v>
      </c>
    </row>
    <row r="610" spans="1:30" s="685" customFormat="1" ht="42">
      <c r="A610" s="686">
        <v>15</v>
      </c>
      <c r="B610" s="687"/>
      <c r="C610" s="688"/>
      <c r="D610" s="688"/>
      <c r="E610" s="688"/>
      <c r="F610" s="690" t="s">
        <v>52</v>
      </c>
      <c r="G610" s="690"/>
      <c r="H610" s="690"/>
      <c r="I610" s="688"/>
      <c r="J610" s="683" t="s">
        <v>552</v>
      </c>
      <c r="K610" s="684">
        <v>5.5E-2</v>
      </c>
      <c r="L610" s="682" t="s">
        <v>629</v>
      </c>
      <c r="M610" s="688"/>
      <c r="N610" s="688"/>
      <c r="O610" s="688"/>
      <c r="P610" s="688"/>
      <c r="Q610" s="655" t="s">
        <v>91</v>
      </c>
      <c r="R610" s="688"/>
      <c r="S610" s="688"/>
      <c r="T610" s="688"/>
      <c r="U610" s="688">
        <v>1</v>
      </c>
      <c r="V610" s="688"/>
      <c r="W610" s="688"/>
      <c r="X610" s="688"/>
      <c r="Z610" s="658">
        <f t="shared" si="3"/>
        <v>0</v>
      </c>
      <c r="AA610" s="658">
        <f t="shared" si="2"/>
        <v>5.5E-2</v>
      </c>
      <c r="AB610" s="658">
        <f t="shared" si="2"/>
        <v>0</v>
      </c>
      <c r="AC610" s="658">
        <f t="shared" si="2"/>
        <v>0</v>
      </c>
      <c r="AD610" s="658">
        <f t="shared" si="2"/>
        <v>0</v>
      </c>
    </row>
    <row r="611" spans="1:30" s="685" customFormat="1" ht="21">
      <c r="A611" s="686">
        <v>16</v>
      </c>
      <c r="B611" s="687"/>
      <c r="C611" s="688"/>
      <c r="D611" s="688"/>
      <c r="E611" s="688"/>
      <c r="F611" s="684"/>
      <c r="G611" s="684"/>
      <c r="H611" s="684"/>
      <c r="I611" s="688" t="s">
        <v>52</v>
      </c>
      <c r="J611" s="683" t="s">
        <v>638</v>
      </c>
      <c r="K611" s="684">
        <v>2.4E-2</v>
      </c>
      <c r="L611" s="682" t="s">
        <v>629</v>
      </c>
      <c r="M611" s="688"/>
      <c r="N611" s="688"/>
      <c r="O611" s="688"/>
      <c r="P611" s="688"/>
      <c r="Q611" s="655" t="s">
        <v>91</v>
      </c>
      <c r="R611" s="688"/>
      <c r="S611" s="688"/>
      <c r="T611" s="688"/>
      <c r="U611" s="688">
        <v>1</v>
      </c>
      <c r="W611" s="688"/>
      <c r="X611" s="688"/>
      <c r="Z611" s="658">
        <f t="shared" si="3"/>
        <v>0</v>
      </c>
      <c r="AA611" s="658">
        <f t="shared" si="2"/>
        <v>2.4E-2</v>
      </c>
      <c r="AB611" s="658">
        <f t="shared" si="2"/>
        <v>0</v>
      </c>
      <c r="AC611" s="658">
        <f t="shared" si="2"/>
        <v>0</v>
      </c>
      <c r="AD611" s="658">
        <f t="shared" si="2"/>
        <v>0</v>
      </c>
    </row>
    <row r="612" spans="1:30" s="685" customFormat="1" ht="42">
      <c r="A612" s="686">
        <v>17</v>
      </c>
      <c r="B612" s="687"/>
      <c r="C612" s="688"/>
      <c r="D612" s="688"/>
      <c r="E612" s="688"/>
      <c r="F612" s="684"/>
      <c r="G612" s="684"/>
      <c r="H612" s="684"/>
      <c r="I612" s="688" t="s">
        <v>52</v>
      </c>
      <c r="J612" s="683" t="s">
        <v>639</v>
      </c>
      <c r="K612" s="684">
        <v>0.04</v>
      </c>
      <c r="L612" s="682" t="s">
        <v>629</v>
      </c>
      <c r="M612" s="688"/>
      <c r="N612" s="688"/>
      <c r="O612" s="688"/>
      <c r="P612" s="688"/>
      <c r="Q612" s="655" t="s">
        <v>91</v>
      </c>
      <c r="R612" s="688"/>
      <c r="S612" s="688"/>
      <c r="T612" s="688"/>
      <c r="U612" s="688">
        <v>1</v>
      </c>
      <c r="W612" s="688"/>
      <c r="X612" s="688"/>
      <c r="Z612" s="658">
        <f t="shared" si="3"/>
        <v>0</v>
      </c>
      <c r="AA612" s="658">
        <f t="shared" si="2"/>
        <v>0.04</v>
      </c>
      <c r="AB612" s="658">
        <f t="shared" si="2"/>
        <v>0</v>
      </c>
      <c r="AC612" s="658">
        <f t="shared" si="2"/>
        <v>0</v>
      </c>
      <c r="AD612" s="658">
        <f t="shared" si="2"/>
        <v>0</v>
      </c>
    </row>
    <row r="613" spans="1:30" s="685" customFormat="1" ht="42">
      <c r="A613" s="686">
        <v>18</v>
      </c>
      <c r="B613" s="687"/>
      <c r="C613" s="688" t="s">
        <v>52</v>
      </c>
      <c r="D613" s="688"/>
      <c r="E613" s="688"/>
      <c r="F613" s="689"/>
      <c r="G613" s="689"/>
      <c r="H613" s="689"/>
      <c r="I613" s="688"/>
      <c r="J613" s="683" t="s">
        <v>195</v>
      </c>
      <c r="K613" s="684">
        <v>2</v>
      </c>
      <c r="L613" s="682" t="s">
        <v>629</v>
      </c>
      <c r="M613" s="688"/>
      <c r="N613" s="688"/>
      <c r="O613" s="688"/>
      <c r="P613" s="688"/>
      <c r="Q613" s="655" t="s">
        <v>91</v>
      </c>
      <c r="R613" s="688"/>
      <c r="S613" s="688"/>
      <c r="T613" s="688"/>
      <c r="U613" s="688">
        <v>1</v>
      </c>
      <c r="V613" s="688"/>
      <c r="W613" s="688"/>
      <c r="X613" s="688"/>
      <c r="Z613" s="658">
        <f t="shared" si="3"/>
        <v>0</v>
      </c>
      <c r="AA613" s="658">
        <f t="shared" si="2"/>
        <v>2</v>
      </c>
      <c r="AB613" s="658">
        <f t="shared" si="2"/>
        <v>0</v>
      </c>
      <c r="AC613" s="658">
        <f t="shared" si="2"/>
        <v>0</v>
      </c>
      <c r="AD613" s="658">
        <f t="shared" si="2"/>
        <v>0</v>
      </c>
    </row>
    <row r="614" spans="1:30" s="685" customFormat="1" ht="63">
      <c r="A614" s="686">
        <v>19</v>
      </c>
      <c r="B614" s="687"/>
      <c r="C614" s="688"/>
      <c r="D614" s="688"/>
      <c r="E614" s="688"/>
      <c r="F614" s="688" t="s">
        <v>52</v>
      </c>
      <c r="G614" s="688"/>
      <c r="H614" s="688"/>
      <c r="I614" s="688"/>
      <c r="J614" s="683" t="s">
        <v>640</v>
      </c>
      <c r="K614" s="684">
        <v>0.16500000000000001</v>
      </c>
      <c r="L614" s="682" t="s">
        <v>629</v>
      </c>
      <c r="M614" s="688"/>
      <c r="N614" s="688"/>
      <c r="O614" s="688"/>
      <c r="P614" s="688"/>
      <c r="Q614" s="655" t="s">
        <v>91</v>
      </c>
      <c r="R614" s="688"/>
      <c r="S614" s="688"/>
      <c r="T614" s="688"/>
      <c r="U614" s="688">
        <v>1</v>
      </c>
      <c r="V614" s="688"/>
      <c r="W614" s="688"/>
      <c r="X614" s="688"/>
      <c r="Z614" s="658">
        <f t="shared" si="3"/>
        <v>0</v>
      </c>
      <c r="AA614" s="658">
        <f t="shared" si="2"/>
        <v>0.16500000000000001</v>
      </c>
      <c r="AB614" s="658">
        <f t="shared" si="2"/>
        <v>0</v>
      </c>
      <c r="AC614" s="658">
        <f t="shared" si="2"/>
        <v>0</v>
      </c>
      <c r="AD614" s="658">
        <f t="shared" si="2"/>
        <v>0</v>
      </c>
    </row>
    <row r="615" spans="1:30" s="685" customFormat="1" ht="21">
      <c r="A615" s="691">
        <v>20</v>
      </c>
      <c r="B615" s="692"/>
      <c r="C615" s="684"/>
      <c r="D615" s="684"/>
      <c r="E615" s="684"/>
      <c r="F615" s="684"/>
      <c r="G615" s="684"/>
      <c r="H615" s="684"/>
      <c r="I615" s="684" t="s">
        <v>52</v>
      </c>
      <c r="J615" s="683" t="s">
        <v>641</v>
      </c>
      <c r="K615" s="684">
        <v>0.182</v>
      </c>
      <c r="L615" s="682" t="s">
        <v>629</v>
      </c>
      <c r="M615" s="684"/>
      <c r="N615" s="684"/>
      <c r="O615" s="684"/>
      <c r="P615" s="684"/>
      <c r="Q615" s="655" t="s">
        <v>91</v>
      </c>
      <c r="R615" s="684"/>
      <c r="S615" s="684"/>
      <c r="T615" s="684"/>
      <c r="U615" s="684">
        <v>1</v>
      </c>
      <c r="V615" s="684"/>
      <c r="W615" s="684"/>
      <c r="X615" s="684"/>
      <c r="Z615" s="658">
        <f t="shared" si="3"/>
        <v>0</v>
      </c>
      <c r="AA615" s="658">
        <f t="shared" si="2"/>
        <v>0.182</v>
      </c>
      <c r="AB615" s="658">
        <f t="shared" si="2"/>
        <v>0</v>
      </c>
      <c r="AC615" s="658">
        <f t="shared" si="2"/>
        <v>0</v>
      </c>
      <c r="AD615" s="658">
        <f t="shared" si="2"/>
        <v>0</v>
      </c>
    </row>
    <row r="616" spans="1:30" s="685" customFormat="1" ht="21">
      <c r="A616" s="686">
        <v>21</v>
      </c>
      <c r="B616" s="687"/>
      <c r="C616" s="688"/>
      <c r="D616" s="688"/>
      <c r="E616" s="688"/>
      <c r="G616" s="688" t="s">
        <v>52</v>
      </c>
      <c r="H616" s="688"/>
      <c r="I616" s="688"/>
      <c r="J616" s="683" t="s">
        <v>339</v>
      </c>
      <c r="K616" s="684">
        <v>0.38</v>
      </c>
      <c r="L616" s="682" t="s">
        <v>629</v>
      </c>
      <c r="M616" s="688"/>
      <c r="N616" s="688"/>
      <c r="O616" s="688"/>
      <c r="P616" s="688"/>
      <c r="Q616" s="655" t="s">
        <v>91</v>
      </c>
      <c r="R616" s="688"/>
      <c r="S616" s="688"/>
      <c r="T616" s="688"/>
      <c r="U616" s="688">
        <v>1</v>
      </c>
      <c r="W616" s="688"/>
      <c r="X616" s="688"/>
      <c r="Z616" s="658">
        <f t="shared" si="3"/>
        <v>0</v>
      </c>
      <c r="AA616" s="658">
        <f t="shared" si="2"/>
        <v>0.38</v>
      </c>
      <c r="AB616" s="658">
        <f t="shared" si="2"/>
        <v>0</v>
      </c>
      <c r="AC616" s="658">
        <f t="shared" si="2"/>
        <v>0</v>
      </c>
      <c r="AD616" s="658">
        <f t="shared" si="2"/>
        <v>0</v>
      </c>
    </row>
    <row r="617" spans="1:30" s="685" customFormat="1" ht="42">
      <c r="A617" s="686">
        <v>22</v>
      </c>
      <c r="B617" s="687"/>
      <c r="C617" s="688"/>
      <c r="D617" s="688"/>
      <c r="E617" s="688"/>
      <c r="G617" s="688"/>
      <c r="H617" s="688" t="s">
        <v>52</v>
      </c>
      <c r="I617" s="688"/>
      <c r="J617" s="683" t="s">
        <v>642</v>
      </c>
      <c r="K617" s="684">
        <v>0.76</v>
      </c>
      <c r="L617" s="682" t="s">
        <v>629</v>
      </c>
      <c r="M617" s="688"/>
      <c r="N617" s="688"/>
      <c r="O617" s="688"/>
      <c r="P617" s="688"/>
      <c r="Q617" s="655" t="s">
        <v>91</v>
      </c>
      <c r="R617" s="688"/>
      <c r="S617" s="688"/>
      <c r="T617" s="688"/>
      <c r="U617" s="688">
        <v>1</v>
      </c>
      <c r="W617" s="688"/>
      <c r="X617" s="688"/>
      <c r="Z617" s="658">
        <f t="shared" si="3"/>
        <v>0</v>
      </c>
      <c r="AA617" s="658">
        <f t="shared" si="2"/>
        <v>0.76</v>
      </c>
      <c r="AB617" s="658">
        <f t="shared" si="2"/>
        <v>0</v>
      </c>
      <c r="AC617" s="658">
        <f t="shared" si="2"/>
        <v>0</v>
      </c>
      <c r="AD617" s="658">
        <f t="shared" si="2"/>
        <v>0</v>
      </c>
    </row>
    <row r="618" spans="1:30" s="685" customFormat="1" ht="63">
      <c r="A618" s="686">
        <v>23</v>
      </c>
      <c r="B618" s="687"/>
      <c r="C618" s="688"/>
      <c r="D618" s="688"/>
      <c r="E618" s="688"/>
      <c r="F618" s="688"/>
      <c r="G618" s="688"/>
      <c r="H618" s="688" t="s">
        <v>52</v>
      </c>
      <c r="I618" s="688"/>
      <c r="J618" s="683" t="s">
        <v>226</v>
      </c>
      <c r="K618" s="684">
        <v>1.294</v>
      </c>
      <c r="L618" s="682" t="s">
        <v>629</v>
      </c>
      <c r="M618" s="688"/>
      <c r="N618" s="688"/>
      <c r="O618" s="688"/>
      <c r="P618" s="688"/>
      <c r="Q618" s="655" t="s">
        <v>91</v>
      </c>
      <c r="R618" s="688"/>
      <c r="S618" s="688"/>
      <c r="T618" s="688"/>
      <c r="U618" s="688"/>
      <c r="V618" s="688">
        <v>1</v>
      </c>
      <c r="W618" s="688"/>
      <c r="X618" s="688"/>
      <c r="Z618" s="658">
        <f t="shared" si="3"/>
        <v>0</v>
      </c>
      <c r="AA618" s="658">
        <f t="shared" si="2"/>
        <v>0</v>
      </c>
      <c r="AB618" s="658">
        <f t="shared" si="2"/>
        <v>1.294</v>
      </c>
      <c r="AC618" s="658">
        <f t="shared" si="2"/>
        <v>0</v>
      </c>
      <c r="AD618" s="658">
        <f t="shared" si="2"/>
        <v>0</v>
      </c>
    </row>
    <row r="619" spans="1:30" s="685" customFormat="1" ht="63">
      <c r="A619" s="686">
        <v>24</v>
      </c>
      <c r="B619" s="687"/>
      <c r="C619" s="688"/>
      <c r="D619" s="688"/>
      <c r="E619" s="688"/>
      <c r="F619" s="688" t="s">
        <v>52</v>
      </c>
      <c r="G619" s="688"/>
      <c r="H619" s="688"/>
      <c r="I619" s="688"/>
      <c r="J619" s="683" t="s">
        <v>643</v>
      </c>
      <c r="K619" s="684">
        <v>0.15</v>
      </c>
      <c r="L619" s="682" t="s">
        <v>629</v>
      </c>
      <c r="M619" s="688"/>
      <c r="N619" s="688"/>
      <c r="O619" s="688"/>
      <c r="P619" s="688"/>
      <c r="Q619" s="655" t="s">
        <v>91</v>
      </c>
      <c r="R619" s="688"/>
      <c r="S619" s="688"/>
      <c r="T619" s="688"/>
      <c r="U619" s="688"/>
      <c r="V619" s="688">
        <v>1</v>
      </c>
      <c r="W619" s="688"/>
      <c r="X619" s="688"/>
      <c r="Z619" s="658">
        <f t="shared" si="3"/>
        <v>0</v>
      </c>
      <c r="AA619" s="658">
        <f t="shared" si="2"/>
        <v>0</v>
      </c>
      <c r="AB619" s="658">
        <f t="shared" si="2"/>
        <v>0.15</v>
      </c>
      <c r="AC619" s="658">
        <f t="shared" si="2"/>
        <v>0</v>
      </c>
      <c r="AD619" s="658">
        <f t="shared" si="2"/>
        <v>0</v>
      </c>
    </row>
    <row r="620" spans="1:30" s="685" customFormat="1" ht="42">
      <c r="A620" s="686">
        <v>25</v>
      </c>
      <c r="B620" s="687"/>
      <c r="C620" s="688"/>
      <c r="D620" s="688"/>
      <c r="E620" s="688"/>
      <c r="F620" s="688" t="s">
        <v>52</v>
      </c>
      <c r="G620" s="688"/>
      <c r="H620" s="688"/>
      <c r="I620" s="688"/>
      <c r="J620" s="683" t="s">
        <v>644</v>
      </c>
      <c r="K620" s="684">
        <v>0.13</v>
      </c>
      <c r="L620" s="682" t="s">
        <v>629</v>
      </c>
      <c r="M620" s="688"/>
      <c r="N620" s="688"/>
      <c r="O620" s="688"/>
      <c r="P620" s="688"/>
      <c r="Q620" s="655" t="s">
        <v>91</v>
      </c>
      <c r="R620" s="688"/>
      <c r="S620" s="688"/>
      <c r="T620" s="688"/>
      <c r="U620" s="688"/>
      <c r="V620" s="688">
        <v>1</v>
      </c>
      <c r="W620" s="688"/>
      <c r="X620" s="688"/>
      <c r="Z620" s="658">
        <f t="shared" si="3"/>
        <v>0</v>
      </c>
      <c r="AA620" s="658">
        <f t="shared" si="2"/>
        <v>0</v>
      </c>
      <c r="AB620" s="658">
        <f t="shared" si="2"/>
        <v>0.13</v>
      </c>
      <c r="AC620" s="658">
        <f t="shared" si="2"/>
        <v>0</v>
      </c>
      <c r="AD620" s="658">
        <f t="shared" si="2"/>
        <v>0</v>
      </c>
    </row>
    <row r="621" spans="1:30" s="685" customFormat="1" ht="42">
      <c r="A621" s="686">
        <v>26</v>
      </c>
      <c r="B621" s="687"/>
      <c r="C621" s="688"/>
      <c r="D621" s="688"/>
      <c r="E621" s="688"/>
      <c r="F621" s="688" t="s">
        <v>52</v>
      </c>
      <c r="G621" s="688"/>
      <c r="H621" s="688"/>
      <c r="I621" s="688"/>
      <c r="J621" s="683" t="s">
        <v>258</v>
      </c>
      <c r="K621" s="684">
        <v>0.55000000000000004</v>
      </c>
      <c r="L621" s="682" t="s">
        <v>629</v>
      </c>
      <c r="M621" s="688"/>
      <c r="N621" s="688"/>
      <c r="O621" s="688"/>
      <c r="P621" s="688"/>
      <c r="Q621" s="655" t="s">
        <v>91</v>
      </c>
      <c r="R621" s="688"/>
      <c r="S621" s="688"/>
      <c r="T621" s="688"/>
      <c r="U621" s="688"/>
      <c r="V621" s="688"/>
      <c r="W621" s="688">
        <v>1</v>
      </c>
      <c r="X621" s="688"/>
      <c r="Z621" s="658">
        <f t="shared" si="3"/>
        <v>0</v>
      </c>
      <c r="AA621" s="658">
        <f t="shared" si="2"/>
        <v>0</v>
      </c>
      <c r="AB621" s="658">
        <f t="shared" si="2"/>
        <v>0</v>
      </c>
      <c r="AC621" s="658">
        <f t="shared" si="2"/>
        <v>0.55000000000000004</v>
      </c>
      <c r="AD621" s="658">
        <f t="shared" si="2"/>
        <v>0</v>
      </c>
    </row>
    <row r="622" spans="1:30" s="685" customFormat="1" ht="42">
      <c r="A622" s="686">
        <v>27</v>
      </c>
      <c r="B622" s="687"/>
      <c r="C622" s="688"/>
      <c r="D622" s="688"/>
      <c r="E622" s="688"/>
      <c r="F622" s="694" t="s">
        <v>52</v>
      </c>
      <c r="G622" s="694"/>
      <c r="H622" s="694"/>
      <c r="I622" s="694"/>
      <c r="J622" s="695" t="s">
        <v>645</v>
      </c>
      <c r="K622" s="684">
        <v>0.28000000000000003</v>
      </c>
      <c r="L622" s="682" t="s">
        <v>629</v>
      </c>
      <c r="M622" s="694"/>
      <c r="N622" s="694"/>
      <c r="O622" s="694"/>
      <c r="P622" s="694"/>
      <c r="Q622" s="655" t="s">
        <v>91</v>
      </c>
      <c r="R622" s="694"/>
      <c r="S622" s="694"/>
      <c r="T622" s="694"/>
      <c r="U622" s="694"/>
      <c r="V622" s="694"/>
      <c r="W622" s="694">
        <v>1</v>
      </c>
      <c r="X622" s="688"/>
      <c r="Z622" s="658">
        <f t="shared" si="3"/>
        <v>0</v>
      </c>
      <c r="AA622" s="658">
        <f t="shared" si="2"/>
        <v>0</v>
      </c>
      <c r="AB622" s="658">
        <f t="shared" si="2"/>
        <v>0</v>
      </c>
      <c r="AC622" s="658">
        <f t="shared" si="2"/>
        <v>0.28000000000000003</v>
      </c>
      <c r="AD622" s="658">
        <f t="shared" si="2"/>
        <v>0</v>
      </c>
    </row>
    <row r="623" spans="1:30" s="685" customFormat="1" ht="42">
      <c r="A623" s="686">
        <v>28</v>
      </c>
      <c r="B623" s="687"/>
      <c r="C623" s="688"/>
      <c r="D623" s="688"/>
      <c r="E623" s="688"/>
      <c r="F623" s="688" t="s">
        <v>52</v>
      </c>
      <c r="G623" s="688"/>
      <c r="H623" s="688"/>
      <c r="I623" s="688"/>
      <c r="J623" s="683" t="s">
        <v>584</v>
      </c>
      <c r="K623" s="684">
        <v>0.33</v>
      </c>
      <c r="L623" s="682" t="s">
        <v>629</v>
      </c>
      <c r="M623" s="688"/>
      <c r="N623" s="688"/>
      <c r="O623" s="688"/>
      <c r="P623" s="688"/>
      <c r="Q623" s="655" t="s">
        <v>91</v>
      </c>
      <c r="R623" s="688"/>
      <c r="S623" s="688"/>
      <c r="T623" s="688"/>
      <c r="U623" s="688"/>
      <c r="V623" s="688"/>
      <c r="W623" s="688"/>
      <c r="X623" s="688">
        <v>1</v>
      </c>
      <c r="Z623" s="658">
        <f t="shared" si="3"/>
        <v>0</v>
      </c>
      <c r="AA623" s="658">
        <f t="shared" si="2"/>
        <v>0</v>
      </c>
      <c r="AB623" s="658">
        <f t="shared" si="2"/>
        <v>0</v>
      </c>
      <c r="AC623" s="658">
        <f t="shared" si="2"/>
        <v>0</v>
      </c>
      <c r="AD623" s="658">
        <f t="shared" si="2"/>
        <v>0.33</v>
      </c>
    </row>
    <row r="624" spans="1:30" s="685" customFormat="1" ht="63">
      <c r="A624" s="696">
        <v>29</v>
      </c>
      <c r="B624" s="697"/>
      <c r="C624" s="698"/>
      <c r="D624" s="698"/>
      <c r="E624" s="698"/>
      <c r="F624" s="698" t="s">
        <v>52</v>
      </c>
      <c r="G624" s="698"/>
      <c r="H624" s="698"/>
      <c r="I624" s="698"/>
      <c r="J624" s="699" t="s">
        <v>646</v>
      </c>
      <c r="K624" s="684">
        <v>0.45</v>
      </c>
      <c r="L624" s="682" t="s">
        <v>629</v>
      </c>
      <c r="M624" s="698"/>
      <c r="N624" s="698"/>
      <c r="O624" s="698"/>
      <c r="P624" s="698"/>
      <c r="Q624" s="655" t="s">
        <v>91</v>
      </c>
      <c r="R624" s="698"/>
      <c r="S624" s="698"/>
      <c r="T624" s="698"/>
      <c r="U624" s="698"/>
      <c r="V624" s="698"/>
      <c r="W624" s="698"/>
      <c r="X624" s="698">
        <v>1</v>
      </c>
      <c r="Z624" s="658">
        <f t="shared" si="3"/>
        <v>0</v>
      </c>
      <c r="AA624" s="658">
        <f t="shared" si="2"/>
        <v>0</v>
      </c>
      <c r="AB624" s="658">
        <f t="shared" si="2"/>
        <v>0</v>
      </c>
      <c r="AC624" s="658">
        <f t="shared" si="2"/>
        <v>0</v>
      </c>
      <c r="AD624" s="658">
        <f t="shared" si="2"/>
        <v>0.45</v>
      </c>
    </row>
    <row r="625" spans="1:30" s="679" customFormat="1" ht="75.75" customHeight="1">
      <c r="A625" s="650">
        <v>61</v>
      </c>
      <c r="B625" s="700"/>
      <c r="C625" s="700"/>
      <c r="D625" s="700"/>
      <c r="E625" s="700"/>
      <c r="F625" s="700" t="s">
        <v>52</v>
      </c>
      <c r="G625" s="700"/>
      <c r="H625" s="700"/>
      <c r="I625" s="700"/>
      <c r="J625" s="701" t="s">
        <v>647</v>
      </c>
      <c r="K625" s="702">
        <v>0.45</v>
      </c>
      <c r="L625" s="700" t="s">
        <v>648</v>
      </c>
      <c r="M625" s="700"/>
      <c r="N625" s="700"/>
      <c r="O625" s="700"/>
      <c r="P625" s="700"/>
      <c r="Q625" s="700" t="s">
        <v>52</v>
      </c>
      <c r="R625" s="700"/>
      <c r="S625" s="656" t="s">
        <v>24</v>
      </c>
      <c r="T625" s="700"/>
      <c r="U625" s="700">
        <v>2</v>
      </c>
      <c r="V625" s="700"/>
      <c r="W625" s="700"/>
      <c r="X625" s="700"/>
      <c r="Z625" s="658">
        <f t="shared" si="3"/>
        <v>0</v>
      </c>
      <c r="AA625" s="658">
        <f t="shared" si="2"/>
        <v>0.9</v>
      </c>
      <c r="AB625" s="658">
        <f t="shared" si="2"/>
        <v>0</v>
      </c>
      <c r="AC625" s="658">
        <f t="shared" si="2"/>
        <v>0</v>
      </c>
      <c r="AD625" s="658">
        <f t="shared" si="2"/>
        <v>0</v>
      </c>
    </row>
    <row r="626" spans="1:30" s="679" customFormat="1" ht="75.75" customHeight="1">
      <c r="A626" s="703">
        <v>1</v>
      </c>
      <c r="B626" s="700"/>
      <c r="C626" s="700"/>
      <c r="D626" s="700"/>
      <c r="E626" s="700"/>
      <c r="F626" s="700" t="s">
        <v>52</v>
      </c>
      <c r="G626" s="700"/>
      <c r="H626" s="700"/>
      <c r="I626" s="700"/>
      <c r="J626" s="701" t="s">
        <v>647</v>
      </c>
      <c r="K626" s="702">
        <v>0.45</v>
      </c>
      <c r="L626" s="700" t="s">
        <v>648</v>
      </c>
      <c r="M626" s="700"/>
      <c r="N626" s="700"/>
      <c r="O626" s="700"/>
      <c r="P626" s="700"/>
      <c r="Q626" s="700" t="s">
        <v>52</v>
      </c>
      <c r="R626" s="700"/>
      <c r="S626" s="656" t="s">
        <v>24</v>
      </c>
      <c r="T626" s="700"/>
      <c r="U626" s="700">
        <v>2</v>
      </c>
      <c r="V626" s="700"/>
      <c r="W626" s="700"/>
      <c r="X626" s="700"/>
      <c r="Z626" s="658">
        <f t="shared" si="3"/>
        <v>0</v>
      </c>
      <c r="AA626" s="658">
        <f t="shared" si="2"/>
        <v>0.9</v>
      </c>
      <c r="AB626" s="658">
        <f t="shared" si="2"/>
        <v>0</v>
      </c>
      <c r="AC626" s="658">
        <f t="shared" si="2"/>
        <v>0</v>
      </c>
      <c r="AD626" s="658">
        <f t="shared" si="2"/>
        <v>0</v>
      </c>
    </row>
    <row r="627" spans="1:30" s="679" customFormat="1" ht="90" customHeight="1">
      <c r="A627" s="704">
        <v>2</v>
      </c>
      <c r="B627" s="700"/>
      <c r="C627" s="705"/>
      <c r="D627" s="705" t="s">
        <v>52</v>
      </c>
      <c r="E627" s="705"/>
      <c r="F627" s="705"/>
      <c r="G627" s="705"/>
      <c r="H627" s="705"/>
      <c r="I627" s="705"/>
      <c r="J627" s="701" t="s">
        <v>622</v>
      </c>
      <c r="K627" s="659">
        <v>0.06</v>
      </c>
      <c r="L627" s="700" t="s">
        <v>648</v>
      </c>
      <c r="M627" s="705"/>
      <c r="N627" s="705"/>
      <c r="O627" s="705"/>
      <c r="P627" s="705"/>
      <c r="Q627" s="700" t="s">
        <v>52</v>
      </c>
      <c r="R627" s="705"/>
      <c r="S627" s="656" t="s">
        <v>24</v>
      </c>
      <c r="T627" s="705"/>
      <c r="U627" s="705">
        <v>5</v>
      </c>
      <c r="V627" s="700"/>
      <c r="W627" s="705"/>
      <c r="X627" s="705"/>
      <c r="Z627" s="658">
        <f t="shared" si="3"/>
        <v>0</v>
      </c>
      <c r="AA627" s="658">
        <f t="shared" si="2"/>
        <v>0.3</v>
      </c>
      <c r="AB627" s="658">
        <f t="shared" si="2"/>
        <v>0</v>
      </c>
      <c r="AC627" s="658">
        <f t="shared" si="2"/>
        <v>0</v>
      </c>
      <c r="AD627" s="658">
        <f t="shared" si="2"/>
        <v>0</v>
      </c>
    </row>
    <row r="628" spans="1:30" s="679" customFormat="1" ht="93" customHeight="1">
      <c r="A628" s="704">
        <v>3</v>
      </c>
      <c r="B628" s="700"/>
      <c r="C628" s="705"/>
      <c r="D628" s="705" t="s">
        <v>52</v>
      </c>
      <c r="E628" s="705"/>
      <c r="F628" s="705"/>
      <c r="G628" s="705"/>
      <c r="H628" s="705"/>
      <c r="I628" s="705"/>
      <c r="J628" s="701" t="s">
        <v>640</v>
      </c>
      <c r="K628" s="659">
        <v>0.16500000000000001</v>
      </c>
      <c r="L628" s="700" t="s">
        <v>648</v>
      </c>
      <c r="M628" s="705"/>
      <c r="N628" s="705"/>
      <c r="O628" s="705"/>
      <c r="P628" s="705"/>
      <c r="Q628" s="700" t="s">
        <v>52</v>
      </c>
      <c r="R628" s="705"/>
      <c r="S628" s="656" t="s">
        <v>24</v>
      </c>
      <c r="T628" s="705"/>
      <c r="U628" s="700">
        <v>1</v>
      </c>
      <c r="V628" s="705"/>
      <c r="W628" s="705"/>
      <c r="X628" s="705"/>
      <c r="Z628" s="658">
        <f t="shared" si="3"/>
        <v>0</v>
      </c>
      <c r="AA628" s="658">
        <f t="shared" si="2"/>
        <v>0.16500000000000001</v>
      </c>
      <c r="AB628" s="658">
        <f t="shared" si="2"/>
        <v>0</v>
      </c>
      <c r="AC628" s="658">
        <f t="shared" si="2"/>
        <v>0</v>
      </c>
      <c r="AD628" s="658">
        <f t="shared" si="2"/>
        <v>0</v>
      </c>
    </row>
    <row r="629" spans="1:30" s="679" customFormat="1" ht="120.75" customHeight="1">
      <c r="A629" s="704">
        <v>4</v>
      </c>
      <c r="B629" s="700" t="s">
        <v>52</v>
      </c>
      <c r="C629" s="705"/>
      <c r="D629" s="705"/>
      <c r="E629" s="705"/>
      <c r="F629" s="705"/>
      <c r="G629" s="705"/>
      <c r="H629" s="705"/>
      <c r="I629" s="705"/>
      <c r="J629" s="701" t="s">
        <v>649</v>
      </c>
      <c r="K629" s="659">
        <v>0.33</v>
      </c>
      <c r="L629" s="700" t="s">
        <v>648</v>
      </c>
      <c r="M629" s="705"/>
      <c r="N629" s="705"/>
      <c r="O629" s="705"/>
      <c r="P629" s="705"/>
      <c r="Q629" s="700" t="s">
        <v>52</v>
      </c>
      <c r="R629" s="705"/>
      <c r="S629" s="656" t="s">
        <v>24</v>
      </c>
      <c r="T629" s="705"/>
      <c r="U629" s="705">
        <v>1</v>
      </c>
      <c r="V629" s="700"/>
      <c r="W629" s="705"/>
      <c r="X629" s="705"/>
      <c r="Z629" s="658">
        <f t="shared" si="3"/>
        <v>0</v>
      </c>
      <c r="AA629" s="658">
        <f t="shared" si="2"/>
        <v>0.33</v>
      </c>
      <c r="AB629" s="658">
        <f t="shared" si="2"/>
        <v>0</v>
      </c>
      <c r="AC629" s="658">
        <f t="shared" si="2"/>
        <v>0</v>
      </c>
      <c r="AD629" s="658">
        <f t="shared" si="2"/>
        <v>0</v>
      </c>
    </row>
    <row r="630" spans="1:30" s="679" customFormat="1" ht="102.75" customHeight="1">
      <c r="A630" s="704">
        <v>5</v>
      </c>
      <c r="B630" s="700" t="s">
        <v>52</v>
      </c>
      <c r="C630" s="705"/>
      <c r="D630" s="705"/>
      <c r="E630" s="705"/>
      <c r="F630" s="705"/>
      <c r="G630" s="705"/>
      <c r="H630" s="705"/>
      <c r="I630" s="705"/>
      <c r="J630" s="706" t="s">
        <v>644</v>
      </c>
      <c r="K630" s="707">
        <v>0.13</v>
      </c>
      <c r="L630" s="700" t="s">
        <v>648</v>
      </c>
      <c r="M630" s="705"/>
      <c r="N630" s="705"/>
      <c r="O630" s="705"/>
      <c r="P630" s="705"/>
      <c r="Q630" s="700" t="s">
        <v>52</v>
      </c>
      <c r="R630" s="705"/>
      <c r="S630" s="656" t="s">
        <v>24</v>
      </c>
      <c r="T630" s="705"/>
      <c r="U630" s="705">
        <v>1</v>
      </c>
      <c r="V630" s="700"/>
      <c r="W630" s="705"/>
      <c r="X630" s="705"/>
      <c r="Z630" s="658">
        <f t="shared" si="3"/>
        <v>0</v>
      </c>
      <c r="AA630" s="658">
        <f t="shared" si="2"/>
        <v>0.13</v>
      </c>
      <c r="AB630" s="658">
        <f t="shared" si="2"/>
        <v>0</v>
      </c>
      <c r="AC630" s="658">
        <f t="shared" si="2"/>
        <v>0</v>
      </c>
      <c r="AD630" s="658">
        <f t="shared" si="2"/>
        <v>0</v>
      </c>
    </row>
    <row r="631" spans="1:30" s="679" customFormat="1" ht="122.25" customHeight="1">
      <c r="A631" s="704">
        <v>6</v>
      </c>
      <c r="B631" s="700"/>
      <c r="C631" s="705"/>
      <c r="D631" s="705"/>
      <c r="E631" s="705"/>
      <c r="F631" s="708" t="s">
        <v>52</v>
      </c>
      <c r="G631" s="705"/>
      <c r="H631" s="705"/>
      <c r="I631" s="705"/>
      <c r="J631" s="706" t="s">
        <v>344</v>
      </c>
      <c r="K631" s="707">
        <v>0.12</v>
      </c>
      <c r="L631" s="700" t="s">
        <v>648</v>
      </c>
      <c r="M631" s="705"/>
      <c r="N631" s="705"/>
      <c r="O631" s="705"/>
      <c r="P631" s="705"/>
      <c r="Q631" s="700" t="s">
        <v>52</v>
      </c>
      <c r="R631" s="705"/>
      <c r="S631" s="656" t="s">
        <v>24</v>
      </c>
      <c r="T631" s="705"/>
      <c r="U631" s="705">
        <v>1</v>
      </c>
      <c r="V631" s="705"/>
      <c r="W631" s="705"/>
      <c r="X631" s="705"/>
      <c r="Z631" s="658">
        <f t="shared" si="3"/>
        <v>0</v>
      </c>
      <c r="AA631" s="658">
        <f t="shared" si="2"/>
        <v>0.12</v>
      </c>
      <c r="AB631" s="658">
        <f t="shared" si="2"/>
        <v>0</v>
      </c>
      <c r="AC631" s="658">
        <f t="shared" si="2"/>
        <v>0</v>
      </c>
      <c r="AD631" s="658">
        <f t="shared" si="2"/>
        <v>0</v>
      </c>
    </row>
    <row r="632" spans="1:30" s="679" customFormat="1" ht="126.75" customHeight="1">
      <c r="A632" s="704">
        <v>7</v>
      </c>
      <c r="B632" s="709"/>
      <c r="C632" s="705"/>
      <c r="D632" s="705"/>
      <c r="E632" s="705"/>
      <c r="F632" s="705" t="s">
        <v>52</v>
      </c>
      <c r="G632" s="705"/>
      <c r="H632" s="705"/>
      <c r="I632" s="705"/>
      <c r="J632" s="701" t="s">
        <v>292</v>
      </c>
      <c r="K632" s="659">
        <v>0.15</v>
      </c>
      <c r="L632" s="700" t="s">
        <v>648</v>
      </c>
      <c r="M632" s="705"/>
      <c r="N632" s="705"/>
      <c r="O632" s="705"/>
      <c r="P632" s="705"/>
      <c r="Q632" s="700" t="s">
        <v>52</v>
      </c>
      <c r="R632" s="705"/>
      <c r="S632" s="656" t="s">
        <v>24</v>
      </c>
      <c r="T632" s="705"/>
      <c r="U632" s="705">
        <v>1</v>
      </c>
      <c r="V632" s="705"/>
      <c r="W632" s="705"/>
      <c r="X632" s="705"/>
      <c r="Z632" s="658">
        <f t="shared" si="3"/>
        <v>0</v>
      </c>
      <c r="AA632" s="658">
        <f t="shared" si="2"/>
        <v>0.15</v>
      </c>
      <c r="AB632" s="658">
        <f t="shared" si="2"/>
        <v>0</v>
      </c>
      <c r="AC632" s="658">
        <f t="shared" si="2"/>
        <v>0</v>
      </c>
      <c r="AD632" s="658">
        <f t="shared" si="2"/>
        <v>0</v>
      </c>
    </row>
    <row r="633" spans="1:30" s="679" customFormat="1" ht="101.25" customHeight="1">
      <c r="A633" s="704">
        <v>8</v>
      </c>
      <c r="B633" s="700"/>
      <c r="C633" s="705"/>
      <c r="D633" s="705"/>
      <c r="E633" s="705"/>
      <c r="F633" s="705" t="s">
        <v>52</v>
      </c>
      <c r="G633" s="705"/>
      <c r="H633" s="705"/>
      <c r="I633" s="705"/>
      <c r="J633" s="710" t="s">
        <v>645</v>
      </c>
      <c r="K633" s="659">
        <v>0.28000000000000003</v>
      </c>
      <c r="L633" s="700" t="s">
        <v>648</v>
      </c>
      <c r="M633" s="705"/>
      <c r="N633" s="705"/>
      <c r="O633" s="705"/>
      <c r="P633" s="705"/>
      <c r="Q633" s="700" t="s">
        <v>52</v>
      </c>
      <c r="R633" s="705"/>
      <c r="S633" s="656" t="s">
        <v>24</v>
      </c>
      <c r="T633" s="705"/>
      <c r="U633" s="705">
        <v>2</v>
      </c>
      <c r="V633" s="705"/>
      <c r="W633" s="705"/>
      <c r="X633" s="705"/>
      <c r="Z633" s="658">
        <f t="shared" si="3"/>
        <v>0</v>
      </c>
      <c r="AA633" s="658">
        <f t="shared" si="2"/>
        <v>0.56000000000000005</v>
      </c>
      <c r="AB633" s="658">
        <f t="shared" si="2"/>
        <v>0</v>
      </c>
      <c r="AC633" s="658">
        <f t="shared" si="2"/>
        <v>0</v>
      </c>
      <c r="AD633" s="658">
        <f t="shared" si="2"/>
        <v>0</v>
      </c>
    </row>
    <row r="634" spans="1:30" s="679" customFormat="1" ht="84.75" customHeight="1">
      <c r="A634" s="704">
        <v>9</v>
      </c>
      <c r="B634" s="700"/>
      <c r="C634" s="705"/>
      <c r="D634" s="705" t="s">
        <v>52</v>
      </c>
      <c r="E634" s="705"/>
      <c r="F634" s="705"/>
      <c r="G634" s="705"/>
      <c r="H634" s="705"/>
      <c r="I634" s="705"/>
      <c r="J634" s="701" t="s">
        <v>356</v>
      </c>
      <c r="K634" s="659">
        <v>0.05</v>
      </c>
      <c r="L634" s="700" t="s">
        <v>648</v>
      </c>
      <c r="M634" s="705"/>
      <c r="N634" s="705"/>
      <c r="O634" s="705"/>
      <c r="P634" s="705"/>
      <c r="Q634" s="700" t="s">
        <v>52</v>
      </c>
      <c r="R634" s="705"/>
      <c r="S634" s="656" t="s">
        <v>24</v>
      </c>
      <c r="T634" s="705"/>
      <c r="U634" s="705">
        <v>5</v>
      </c>
      <c r="V634" s="705"/>
      <c r="W634" s="705"/>
      <c r="X634" s="705"/>
      <c r="Z634" s="658">
        <f t="shared" si="3"/>
        <v>0</v>
      </c>
      <c r="AA634" s="658">
        <f t="shared" si="2"/>
        <v>0.25</v>
      </c>
      <c r="AB634" s="658">
        <f t="shared" si="2"/>
        <v>0</v>
      </c>
      <c r="AC634" s="658">
        <f t="shared" si="2"/>
        <v>0</v>
      </c>
      <c r="AD634" s="658">
        <f t="shared" si="2"/>
        <v>0</v>
      </c>
    </row>
    <row r="635" spans="1:30" s="679" customFormat="1" ht="87" customHeight="1">
      <c r="A635" s="704">
        <v>10</v>
      </c>
      <c r="B635" s="700"/>
      <c r="C635" s="705"/>
      <c r="D635" s="705" t="s">
        <v>52</v>
      </c>
      <c r="E635" s="705"/>
      <c r="F635" s="705"/>
      <c r="G635" s="705"/>
      <c r="H635" s="705"/>
      <c r="I635" s="705"/>
      <c r="J635" s="701" t="s">
        <v>650</v>
      </c>
      <c r="K635" s="659">
        <v>0.31</v>
      </c>
      <c r="L635" s="700" t="s">
        <v>648</v>
      </c>
      <c r="M635" s="705"/>
      <c r="N635" s="705"/>
      <c r="O635" s="705"/>
      <c r="P635" s="705"/>
      <c r="Q635" s="700" t="s">
        <v>52</v>
      </c>
      <c r="R635" s="705"/>
      <c r="S635" s="656" t="s">
        <v>24</v>
      </c>
      <c r="T635" s="705"/>
      <c r="U635" s="705">
        <v>1</v>
      </c>
      <c r="V635" s="705"/>
      <c r="W635" s="705"/>
      <c r="X635" s="705"/>
      <c r="Z635" s="658">
        <f t="shared" si="3"/>
        <v>0</v>
      </c>
      <c r="AA635" s="658">
        <f t="shared" si="2"/>
        <v>0.31</v>
      </c>
      <c r="AB635" s="658">
        <f t="shared" si="2"/>
        <v>0</v>
      </c>
      <c r="AC635" s="658">
        <f t="shared" si="2"/>
        <v>0</v>
      </c>
      <c r="AD635" s="658">
        <f t="shared" si="2"/>
        <v>0</v>
      </c>
    </row>
    <row r="636" spans="1:30" s="679" customFormat="1" ht="84" customHeight="1">
      <c r="A636" s="704">
        <v>11</v>
      </c>
      <c r="B636" s="700"/>
      <c r="C636" s="705"/>
      <c r="D636" s="705" t="s">
        <v>52</v>
      </c>
      <c r="E636" s="705"/>
      <c r="F636" s="705"/>
      <c r="G636" s="705"/>
      <c r="H636" s="705"/>
      <c r="I636" s="705"/>
      <c r="J636" s="701" t="s">
        <v>339</v>
      </c>
      <c r="K636" s="659">
        <v>0.38</v>
      </c>
      <c r="L636" s="700" t="s">
        <v>648</v>
      </c>
      <c r="M636" s="705"/>
      <c r="N636" s="705"/>
      <c r="O636" s="705"/>
      <c r="P636" s="705"/>
      <c r="Q636" s="700" t="s">
        <v>52</v>
      </c>
      <c r="R636" s="705"/>
      <c r="S636" s="656" t="s">
        <v>24</v>
      </c>
      <c r="T636" s="705"/>
      <c r="U636" s="705">
        <v>1</v>
      </c>
      <c r="V636" s="705"/>
      <c r="W636" s="705"/>
      <c r="X636" s="705"/>
      <c r="Z636" s="658">
        <f t="shared" si="3"/>
        <v>0</v>
      </c>
      <c r="AA636" s="658">
        <f t="shared" si="2"/>
        <v>0.38</v>
      </c>
      <c r="AB636" s="658">
        <f t="shared" si="2"/>
        <v>0</v>
      </c>
      <c r="AC636" s="658">
        <f t="shared" si="2"/>
        <v>0</v>
      </c>
      <c r="AD636" s="658">
        <f t="shared" si="2"/>
        <v>0</v>
      </c>
    </row>
    <row r="637" spans="1:30" s="679" customFormat="1" ht="99.75" customHeight="1">
      <c r="A637" s="704">
        <v>12</v>
      </c>
      <c r="B637" s="700"/>
      <c r="C637" s="705"/>
      <c r="D637" s="705" t="s">
        <v>52</v>
      </c>
      <c r="E637" s="705"/>
      <c r="F637" s="705"/>
      <c r="G637" s="705"/>
      <c r="H637" s="705"/>
      <c r="I637" s="705"/>
      <c r="J637" s="701" t="s">
        <v>651</v>
      </c>
      <c r="K637" s="659">
        <v>0.55000000000000004</v>
      </c>
      <c r="L637" s="700" t="s">
        <v>648</v>
      </c>
      <c r="M637" s="705"/>
      <c r="N637" s="705"/>
      <c r="O637" s="705"/>
      <c r="P637" s="705"/>
      <c r="Q637" s="700" t="s">
        <v>52</v>
      </c>
      <c r="R637" s="705"/>
      <c r="S637" s="656" t="s">
        <v>24</v>
      </c>
      <c r="T637" s="705"/>
      <c r="U637" s="705">
        <v>1</v>
      </c>
      <c r="V637" s="705"/>
      <c r="W637" s="705"/>
      <c r="X637" s="705"/>
      <c r="Z637" s="658">
        <f t="shared" si="3"/>
        <v>0</v>
      </c>
      <c r="AA637" s="658">
        <f t="shared" si="2"/>
        <v>0.55000000000000004</v>
      </c>
      <c r="AB637" s="658">
        <f t="shared" si="2"/>
        <v>0</v>
      </c>
      <c r="AC637" s="658">
        <f t="shared" si="2"/>
        <v>0</v>
      </c>
      <c r="AD637" s="658">
        <f t="shared" si="2"/>
        <v>0</v>
      </c>
    </row>
    <row r="638" spans="1:30" s="679" customFormat="1" ht="69.75" customHeight="1">
      <c r="A638" s="704">
        <v>13</v>
      </c>
      <c r="B638" s="709"/>
      <c r="C638" s="705"/>
      <c r="D638" s="705"/>
      <c r="E638" s="700"/>
      <c r="F638" s="705" t="s">
        <v>52</v>
      </c>
      <c r="G638" s="705"/>
      <c r="H638" s="705"/>
      <c r="I638" s="705"/>
      <c r="J638" s="701" t="s">
        <v>281</v>
      </c>
      <c r="K638" s="659">
        <v>0.15</v>
      </c>
      <c r="L638" s="700" t="s">
        <v>648</v>
      </c>
      <c r="M638" s="705"/>
      <c r="N638" s="705"/>
      <c r="O638" s="705"/>
      <c r="P638" s="705"/>
      <c r="Q638" s="700" t="s">
        <v>52</v>
      </c>
      <c r="R638" s="705"/>
      <c r="S638" s="656" t="s">
        <v>24</v>
      </c>
      <c r="T638" s="705"/>
      <c r="U638" s="705">
        <v>1</v>
      </c>
      <c r="V638" s="705"/>
      <c r="W638" s="705"/>
      <c r="X638" s="705"/>
      <c r="Z638" s="658">
        <f t="shared" si="3"/>
        <v>0</v>
      </c>
      <c r="AA638" s="658">
        <f t="shared" si="2"/>
        <v>0.15</v>
      </c>
      <c r="AB638" s="658">
        <f t="shared" si="2"/>
        <v>0</v>
      </c>
      <c r="AC638" s="658">
        <f t="shared" si="2"/>
        <v>0</v>
      </c>
      <c r="AD638" s="658">
        <f t="shared" si="2"/>
        <v>0</v>
      </c>
    </row>
    <row r="639" spans="1:30" s="679" customFormat="1" ht="80.25" customHeight="1">
      <c r="A639" s="704">
        <v>14</v>
      </c>
      <c r="B639" s="709"/>
      <c r="C639" s="705"/>
      <c r="D639" s="705" t="s">
        <v>52</v>
      </c>
      <c r="E639" s="705"/>
      <c r="F639" s="705"/>
      <c r="G639" s="700"/>
      <c r="H639" s="705"/>
      <c r="I639" s="705"/>
      <c r="J639" s="701" t="s">
        <v>652</v>
      </c>
      <c r="K639" s="659">
        <v>0.27</v>
      </c>
      <c r="L639" s="700" t="s">
        <v>648</v>
      </c>
      <c r="M639" s="705"/>
      <c r="N639" s="705"/>
      <c r="O639" s="705"/>
      <c r="P639" s="705"/>
      <c r="Q639" s="700" t="s">
        <v>52</v>
      </c>
      <c r="R639" s="705"/>
      <c r="S639" s="656" t="s">
        <v>24</v>
      </c>
      <c r="T639" s="705"/>
      <c r="U639" s="705">
        <v>1</v>
      </c>
      <c r="V639" s="705"/>
      <c r="W639" s="705"/>
      <c r="X639" s="705"/>
      <c r="Z639" s="658">
        <f t="shared" si="3"/>
        <v>0</v>
      </c>
      <c r="AA639" s="658">
        <f t="shared" si="2"/>
        <v>0.27</v>
      </c>
      <c r="AB639" s="658">
        <f t="shared" si="2"/>
        <v>0</v>
      </c>
      <c r="AC639" s="658">
        <f t="shared" si="2"/>
        <v>0</v>
      </c>
      <c r="AD639" s="658">
        <f t="shared" si="2"/>
        <v>0</v>
      </c>
    </row>
    <row r="640" spans="1:30" s="679" customFormat="1" ht="66" customHeight="1">
      <c r="A640" s="704">
        <v>15</v>
      </c>
      <c r="B640" s="709"/>
      <c r="C640" s="705"/>
      <c r="D640" s="700" t="s">
        <v>52</v>
      </c>
      <c r="E640" s="705"/>
      <c r="F640" s="705"/>
      <c r="G640" s="700"/>
      <c r="H640" s="705"/>
      <c r="I640" s="705"/>
      <c r="J640" s="706" t="s">
        <v>653</v>
      </c>
      <c r="K640" s="659">
        <v>2.7E-2</v>
      </c>
      <c r="L640" s="700" t="s">
        <v>648</v>
      </c>
      <c r="M640" s="705"/>
      <c r="N640" s="705"/>
      <c r="O640" s="705"/>
      <c r="P640" s="705"/>
      <c r="Q640" s="700" t="s">
        <v>52</v>
      </c>
      <c r="R640" s="705"/>
      <c r="S640" s="656" t="s">
        <v>24</v>
      </c>
      <c r="T640" s="705"/>
      <c r="U640" s="705">
        <v>-35</v>
      </c>
      <c r="V640" s="705"/>
      <c r="W640" s="705"/>
      <c r="X640" s="705"/>
      <c r="Z640" s="658">
        <f t="shared" si="3"/>
        <v>0</v>
      </c>
      <c r="AA640" s="658">
        <f t="shared" si="2"/>
        <v>-0.94499999999999995</v>
      </c>
      <c r="AB640" s="658">
        <f t="shared" si="2"/>
        <v>0</v>
      </c>
      <c r="AC640" s="658">
        <f t="shared" si="2"/>
        <v>0</v>
      </c>
      <c r="AD640" s="658">
        <f t="shared" si="2"/>
        <v>0</v>
      </c>
    </row>
    <row r="641" spans="1:30" s="679" customFormat="1" ht="55.5" customHeight="1">
      <c r="A641" s="704">
        <v>16</v>
      </c>
      <c r="B641" s="700"/>
      <c r="C641" s="705"/>
      <c r="D641" s="705"/>
      <c r="E641" s="705"/>
      <c r="F641" s="705"/>
      <c r="G641" s="705" t="s">
        <v>52</v>
      </c>
      <c r="H641" s="705"/>
      <c r="I641" s="705"/>
      <c r="J641" s="701" t="s">
        <v>654</v>
      </c>
      <c r="K641" s="707">
        <v>8.1000000000000003E-2</v>
      </c>
      <c r="L641" s="700" t="s">
        <v>648</v>
      </c>
      <c r="M641" s="705"/>
      <c r="N641" s="705"/>
      <c r="O641" s="705"/>
      <c r="P641" s="705"/>
      <c r="Q641" s="700" t="s">
        <v>52</v>
      </c>
      <c r="R641" s="705"/>
      <c r="S641" s="656" t="s">
        <v>24</v>
      </c>
      <c r="T641" s="705"/>
      <c r="U641" s="705">
        <v>3</v>
      </c>
      <c r="V641" s="705"/>
      <c r="W641" s="705"/>
      <c r="X641" s="705"/>
      <c r="Z641" s="658">
        <f t="shared" si="3"/>
        <v>0</v>
      </c>
      <c r="AA641" s="658">
        <f t="shared" si="2"/>
        <v>0.24299999999999999</v>
      </c>
      <c r="AB641" s="658">
        <f t="shared" si="2"/>
        <v>0</v>
      </c>
      <c r="AC641" s="658">
        <f t="shared" si="2"/>
        <v>0</v>
      </c>
      <c r="AD641" s="658">
        <f t="shared" si="2"/>
        <v>0</v>
      </c>
    </row>
    <row r="642" spans="1:30" s="679" customFormat="1" ht="111.75" customHeight="1">
      <c r="A642" s="704">
        <v>17</v>
      </c>
      <c r="B642" s="709"/>
      <c r="C642" s="705"/>
      <c r="D642" s="705"/>
      <c r="E642" s="705"/>
      <c r="F642" s="705"/>
      <c r="G642" s="705"/>
      <c r="H642" s="705"/>
      <c r="I642" s="705" t="s">
        <v>52</v>
      </c>
      <c r="J642" s="701" t="s">
        <v>655</v>
      </c>
      <c r="K642" s="659">
        <v>2.8000000000000001E-2</v>
      </c>
      <c r="L642" s="700" t="s">
        <v>648</v>
      </c>
      <c r="M642" s="705"/>
      <c r="N642" s="705"/>
      <c r="O642" s="705"/>
      <c r="P642" s="705"/>
      <c r="Q642" s="700" t="s">
        <v>52</v>
      </c>
      <c r="R642" s="705"/>
      <c r="S642" s="656" t="s">
        <v>24</v>
      </c>
      <c r="T642" s="705"/>
      <c r="U642" s="705">
        <v>16</v>
      </c>
      <c r="V642" s="705"/>
      <c r="W642" s="705"/>
      <c r="X642" s="705"/>
      <c r="Z642" s="658">
        <f t="shared" si="3"/>
        <v>0</v>
      </c>
      <c r="AA642" s="658">
        <f t="shared" si="2"/>
        <v>0.44800000000000001</v>
      </c>
      <c r="AB642" s="658">
        <f t="shared" si="2"/>
        <v>0</v>
      </c>
      <c r="AC642" s="658">
        <f t="shared" si="2"/>
        <v>0</v>
      </c>
      <c r="AD642" s="658">
        <f t="shared" si="2"/>
        <v>0</v>
      </c>
    </row>
    <row r="643" spans="1:30" s="679" customFormat="1" ht="85.5" customHeight="1">
      <c r="A643" s="704">
        <v>18</v>
      </c>
      <c r="B643" s="709"/>
      <c r="C643" s="705"/>
      <c r="D643" s="705"/>
      <c r="E643" s="705"/>
      <c r="F643" s="705"/>
      <c r="G643" s="705"/>
      <c r="H643" s="705"/>
      <c r="I643" s="705" t="s">
        <v>52</v>
      </c>
      <c r="J643" s="706" t="s">
        <v>656</v>
      </c>
      <c r="K643" s="659">
        <v>2.3E-2</v>
      </c>
      <c r="L643" s="700" t="s">
        <v>648</v>
      </c>
      <c r="M643" s="705"/>
      <c r="N643" s="705"/>
      <c r="O643" s="705"/>
      <c r="P643" s="705"/>
      <c r="Q643" s="700" t="s">
        <v>52</v>
      </c>
      <c r="R643" s="705"/>
      <c r="S643" s="656" t="s">
        <v>24</v>
      </c>
      <c r="T643" s="705"/>
      <c r="U643" s="705">
        <v>6</v>
      </c>
      <c r="V643" s="705"/>
      <c r="W643" s="705"/>
      <c r="X643" s="705"/>
      <c r="Z643" s="658">
        <f t="shared" si="3"/>
        <v>0</v>
      </c>
      <c r="AA643" s="658">
        <f t="shared" si="2"/>
        <v>0.13800000000000001</v>
      </c>
      <c r="AB643" s="658">
        <f t="shared" si="2"/>
        <v>0</v>
      </c>
      <c r="AC643" s="658">
        <f t="shared" si="2"/>
        <v>0</v>
      </c>
      <c r="AD643" s="658">
        <f t="shared" si="2"/>
        <v>0</v>
      </c>
    </row>
    <row r="644" spans="1:30" s="679" customFormat="1" ht="85.5" customHeight="1">
      <c r="A644" s="704">
        <v>19</v>
      </c>
      <c r="B644" s="709"/>
      <c r="C644" s="711"/>
      <c r="D644" s="705"/>
      <c r="E644" s="705"/>
      <c r="F644" s="705"/>
      <c r="G644" s="705"/>
      <c r="H644" s="700" t="s">
        <v>52</v>
      </c>
      <c r="I644" s="705"/>
      <c r="J644" s="712" t="s">
        <v>657</v>
      </c>
      <c r="K644" s="713">
        <v>0.82099999999999995</v>
      </c>
      <c r="L644" s="700" t="s">
        <v>648</v>
      </c>
      <c r="M644" s="705"/>
      <c r="N644" s="705"/>
      <c r="O644" s="705"/>
      <c r="P644" s="705"/>
      <c r="Q644" s="700"/>
      <c r="R644" s="705"/>
      <c r="S644" s="656" t="s">
        <v>24</v>
      </c>
      <c r="T644" s="705"/>
      <c r="U644" s="705"/>
      <c r="V644" s="705"/>
      <c r="W644" s="705"/>
      <c r="X644" s="705">
        <v>1</v>
      </c>
      <c r="Z644" s="658">
        <f t="shared" si="3"/>
        <v>0</v>
      </c>
      <c r="AA644" s="658">
        <f t="shared" si="2"/>
        <v>0</v>
      </c>
      <c r="AB644" s="658">
        <f t="shared" si="2"/>
        <v>0</v>
      </c>
      <c r="AC644" s="658">
        <f t="shared" si="2"/>
        <v>0</v>
      </c>
      <c r="AD644" s="658">
        <f t="shared" si="2"/>
        <v>0.82099999999999995</v>
      </c>
    </row>
    <row r="645" spans="1:30" s="662" customFormat="1" ht="56.25">
      <c r="A645" s="704">
        <v>20</v>
      </c>
      <c r="B645" s="709"/>
      <c r="C645" s="700" t="s">
        <v>52</v>
      </c>
      <c r="D645" s="705"/>
      <c r="E645" s="705"/>
      <c r="F645" s="705"/>
      <c r="G645" s="705"/>
      <c r="H645" s="700"/>
      <c r="I645" s="705"/>
      <c r="J645" s="701" t="s">
        <v>658</v>
      </c>
      <c r="K645" s="707">
        <v>2</v>
      </c>
      <c r="L645" s="700" t="s">
        <v>648</v>
      </c>
      <c r="M645" s="705"/>
      <c r="N645" s="705"/>
      <c r="O645" s="705"/>
      <c r="P645" s="705"/>
      <c r="Q645" s="700" t="s">
        <v>52</v>
      </c>
      <c r="R645" s="705"/>
      <c r="S645" s="656" t="s">
        <v>24</v>
      </c>
      <c r="T645" s="705"/>
      <c r="U645" s="705">
        <v>1</v>
      </c>
      <c r="V645" s="705"/>
      <c r="W645" s="705"/>
      <c r="X645" s="705"/>
      <c r="Z645" s="658">
        <f t="shared" si="3"/>
        <v>0</v>
      </c>
      <c r="AA645" s="658">
        <f t="shared" si="2"/>
        <v>2</v>
      </c>
      <c r="AB645" s="658">
        <f t="shared" si="2"/>
        <v>0</v>
      </c>
      <c r="AC645" s="658">
        <f t="shared" si="2"/>
        <v>0</v>
      </c>
      <c r="AD645" s="658">
        <f t="shared" si="2"/>
        <v>0</v>
      </c>
    </row>
    <row r="646" spans="1:30" s="662" customFormat="1" ht="56.25">
      <c r="A646" s="704">
        <v>21</v>
      </c>
      <c r="B646" s="709"/>
      <c r="C646" s="705"/>
      <c r="D646" s="705"/>
      <c r="E646" s="705"/>
      <c r="F646" s="705"/>
      <c r="G646" s="705"/>
      <c r="H646" s="700" t="s">
        <v>52</v>
      </c>
      <c r="I646" s="705"/>
      <c r="J646" s="701" t="s">
        <v>226</v>
      </c>
      <c r="K646" s="659">
        <v>1.294</v>
      </c>
      <c r="L646" s="700" t="s">
        <v>648</v>
      </c>
      <c r="M646" s="705"/>
      <c r="N646" s="705"/>
      <c r="O646" s="705"/>
      <c r="P646" s="705"/>
      <c r="Q646" s="700" t="s">
        <v>52</v>
      </c>
      <c r="R646" s="705"/>
      <c r="S646" s="656" t="s">
        <v>24</v>
      </c>
      <c r="T646" s="705"/>
      <c r="U646" s="705"/>
      <c r="V646" s="705">
        <v>1</v>
      </c>
      <c r="W646" s="705"/>
      <c r="X646" s="705"/>
      <c r="Z646" s="658">
        <f t="shared" si="3"/>
        <v>0</v>
      </c>
      <c r="AA646" s="658">
        <f t="shared" si="2"/>
        <v>0</v>
      </c>
      <c r="AB646" s="658">
        <f t="shared" si="2"/>
        <v>1.294</v>
      </c>
      <c r="AC646" s="658">
        <f t="shared" si="2"/>
        <v>0</v>
      </c>
      <c r="AD646" s="658">
        <f t="shared" si="2"/>
        <v>0</v>
      </c>
    </row>
    <row r="647" spans="1:30" s="662" customFormat="1" ht="37.5">
      <c r="A647" s="704">
        <v>22</v>
      </c>
      <c r="B647" s="709"/>
      <c r="C647" s="705"/>
      <c r="D647" s="705"/>
      <c r="E647" s="705"/>
      <c r="F647" s="705"/>
      <c r="G647" s="700" t="s">
        <v>52</v>
      </c>
      <c r="H647" s="700"/>
      <c r="I647" s="705"/>
      <c r="J647" s="701" t="s">
        <v>642</v>
      </c>
      <c r="K647" s="653">
        <v>0.76</v>
      </c>
      <c r="L647" s="700" t="s">
        <v>648</v>
      </c>
      <c r="M647" s="705"/>
      <c r="N647" s="705"/>
      <c r="O647" s="705"/>
      <c r="P647" s="705"/>
      <c r="Q647" s="700" t="s">
        <v>52</v>
      </c>
      <c r="R647" s="705"/>
      <c r="S647" s="656" t="s">
        <v>24</v>
      </c>
      <c r="T647" s="705"/>
      <c r="U647" s="705">
        <v>2</v>
      </c>
      <c r="V647" s="705"/>
      <c r="W647" s="705"/>
      <c r="X647" s="705"/>
      <c r="Z647" s="658">
        <f t="shared" si="3"/>
        <v>0</v>
      </c>
      <c r="AA647" s="658">
        <f t="shared" si="2"/>
        <v>1.52</v>
      </c>
      <c r="AB647" s="658">
        <f t="shared" si="2"/>
        <v>0</v>
      </c>
      <c r="AC647" s="658">
        <f t="shared" si="2"/>
        <v>0</v>
      </c>
      <c r="AD647" s="658">
        <f t="shared" si="2"/>
        <v>0</v>
      </c>
    </row>
    <row r="648" spans="1:30" s="662" customFormat="1" ht="37.5">
      <c r="A648" s="704">
        <v>23</v>
      </c>
      <c r="B648" s="709"/>
      <c r="C648" s="705"/>
      <c r="D648" s="705"/>
      <c r="E648" s="705"/>
      <c r="F648" s="705"/>
      <c r="G648" s="700" t="s">
        <v>52</v>
      </c>
      <c r="H648" s="705"/>
      <c r="I648" s="705"/>
      <c r="J648" s="701" t="s">
        <v>631</v>
      </c>
      <c r="K648" s="653">
        <v>0.245</v>
      </c>
      <c r="L648" s="700" t="s">
        <v>648</v>
      </c>
      <c r="M648" s="705"/>
      <c r="N648" s="705"/>
      <c r="O648" s="705"/>
      <c r="P648" s="705"/>
      <c r="Q648" s="700" t="s">
        <v>52</v>
      </c>
      <c r="R648" s="705"/>
      <c r="S648" s="656" t="s">
        <v>24</v>
      </c>
      <c r="T648" s="705"/>
      <c r="U648" s="705">
        <v>1</v>
      </c>
      <c r="V648" s="705"/>
      <c r="W648" s="705"/>
      <c r="X648" s="705"/>
      <c r="Z648" s="658">
        <f t="shared" si="3"/>
        <v>0</v>
      </c>
      <c r="AA648" s="658">
        <f t="shared" si="2"/>
        <v>0.245</v>
      </c>
      <c r="AB648" s="658">
        <f t="shared" si="2"/>
        <v>0</v>
      </c>
      <c r="AC648" s="658">
        <f t="shared" si="2"/>
        <v>0</v>
      </c>
      <c r="AD648" s="658">
        <f t="shared" si="2"/>
        <v>0</v>
      </c>
    </row>
    <row r="649" spans="1:30" s="662" customFormat="1">
      <c r="A649" s="704">
        <v>24</v>
      </c>
      <c r="B649" s="709"/>
      <c r="C649" s="705"/>
      <c r="D649" s="705"/>
      <c r="E649" s="705"/>
      <c r="F649" s="705"/>
      <c r="G649" s="700"/>
      <c r="H649" s="705"/>
      <c r="I649" s="700" t="s">
        <v>52</v>
      </c>
      <c r="J649" s="701" t="s">
        <v>641</v>
      </c>
      <c r="K649" s="653">
        <v>0.182</v>
      </c>
      <c r="L649" s="700" t="s">
        <v>648</v>
      </c>
      <c r="M649" s="705"/>
      <c r="N649" s="705"/>
      <c r="O649" s="705"/>
      <c r="P649" s="705"/>
      <c r="Q649" s="700" t="s">
        <v>52</v>
      </c>
      <c r="R649" s="705"/>
      <c r="S649" s="656" t="s">
        <v>24</v>
      </c>
      <c r="T649" s="705"/>
      <c r="U649" s="705">
        <v>1</v>
      </c>
      <c r="V649" s="705"/>
      <c r="W649" s="714"/>
      <c r="X649" s="705"/>
      <c r="Z649" s="658">
        <f t="shared" si="3"/>
        <v>0</v>
      </c>
      <c r="AA649" s="658">
        <f t="shared" si="2"/>
        <v>0.182</v>
      </c>
      <c r="AB649" s="658">
        <f t="shared" si="2"/>
        <v>0</v>
      </c>
      <c r="AC649" s="658">
        <f t="shared" si="2"/>
        <v>0</v>
      </c>
      <c r="AD649" s="658">
        <f t="shared" si="2"/>
        <v>0</v>
      </c>
    </row>
    <row r="650" spans="1:30" s="662" customFormat="1" ht="37.5">
      <c r="A650" s="704">
        <v>25</v>
      </c>
      <c r="B650" s="709"/>
      <c r="C650" s="705"/>
      <c r="D650" s="705"/>
      <c r="E650" s="705"/>
      <c r="F650" s="705"/>
      <c r="G650" s="700"/>
      <c r="H650" s="705"/>
      <c r="I650" s="700" t="s">
        <v>52</v>
      </c>
      <c r="J650" s="706" t="s">
        <v>659</v>
      </c>
      <c r="K650" s="653">
        <v>6.6000000000000003E-2</v>
      </c>
      <c r="L650" s="700" t="s">
        <v>648</v>
      </c>
      <c r="M650" s="705"/>
      <c r="N650" s="705"/>
      <c r="O650" s="705"/>
      <c r="P650" s="705"/>
      <c r="Q650" s="700" t="s">
        <v>52</v>
      </c>
      <c r="R650" s="705"/>
      <c r="S650" s="656" t="s">
        <v>24</v>
      </c>
      <c r="T650" s="705"/>
      <c r="U650" s="705">
        <v>1</v>
      </c>
      <c r="V650" s="705"/>
      <c r="W650" s="705"/>
      <c r="X650" s="705"/>
      <c r="Z650" s="658">
        <f t="shared" si="3"/>
        <v>0</v>
      </c>
      <c r="AA650" s="658">
        <f t="shared" si="2"/>
        <v>6.6000000000000003E-2</v>
      </c>
      <c r="AB650" s="658">
        <f t="shared" si="2"/>
        <v>0</v>
      </c>
      <c r="AC650" s="658">
        <f t="shared" si="2"/>
        <v>0</v>
      </c>
      <c r="AD650" s="658">
        <f t="shared" si="2"/>
        <v>0</v>
      </c>
    </row>
    <row r="651" spans="1:30" s="679" customFormat="1" ht="37.5">
      <c r="A651" s="704">
        <v>26</v>
      </c>
      <c r="B651" s="709"/>
      <c r="C651" s="705"/>
      <c r="D651" s="705"/>
      <c r="E651" s="705"/>
      <c r="F651" s="705"/>
      <c r="G651" s="700"/>
      <c r="H651" s="705"/>
      <c r="I651" s="700" t="s">
        <v>52</v>
      </c>
      <c r="J651" s="701" t="s">
        <v>633</v>
      </c>
      <c r="K651" s="653">
        <v>3.5000000000000003E-2</v>
      </c>
      <c r="L651" s="700" t="s">
        <v>648</v>
      </c>
      <c r="M651" s="705"/>
      <c r="N651" s="705"/>
      <c r="O651" s="705"/>
      <c r="P651" s="705"/>
      <c r="Q651" s="700" t="s">
        <v>52</v>
      </c>
      <c r="R651" s="705"/>
      <c r="S651" s="656" t="s">
        <v>24</v>
      </c>
      <c r="T651" s="705"/>
      <c r="U651" s="705">
        <v>1</v>
      </c>
      <c r="V651" s="705"/>
      <c r="W651" s="705"/>
      <c r="X651" s="705"/>
      <c r="Z651" s="658">
        <f t="shared" si="3"/>
        <v>0</v>
      </c>
      <c r="AA651" s="658">
        <f t="shared" si="2"/>
        <v>3.5000000000000003E-2</v>
      </c>
      <c r="AB651" s="658">
        <f t="shared" si="2"/>
        <v>0</v>
      </c>
      <c r="AC651" s="658">
        <f t="shared" si="2"/>
        <v>0</v>
      </c>
      <c r="AD651" s="658">
        <f t="shared" si="2"/>
        <v>0</v>
      </c>
    </row>
    <row r="652" spans="1:30" s="679" customFormat="1">
      <c r="A652" s="704">
        <v>27</v>
      </c>
      <c r="B652" s="709"/>
      <c r="C652" s="705"/>
      <c r="D652" s="705" t="s">
        <v>52</v>
      </c>
      <c r="E652" s="705"/>
      <c r="F652" s="705"/>
      <c r="G652" s="700"/>
      <c r="H652" s="705"/>
      <c r="I652" s="705"/>
      <c r="J652" s="701" t="s">
        <v>660</v>
      </c>
      <c r="K652" s="707">
        <v>3.5999999999999997E-2</v>
      </c>
      <c r="L652" s="700" t="s">
        <v>648</v>
      </c>
      <c r="M652" s="705"/>
      <c r="N652" s="705"/>
      <c r="O652" s="705"/>
      <c r="P652" s="705"/>
      <c r="Q652" s="700" t="s">
        <v>52</v>
      </c>
      <c r="R652" s="705"/>
      <c r="S652" s="656" t="s">
        <v>24</v>
      </c>
      <c r="T652" s="705"/>
      <c r="U652" s="705">
        <v>4</v>
      </c>
      <c r="V652" s="705"/>
      <c r="W652" s="705"/>
      <c r="X652" s="705"/>
      <c r="Z652" s="658">
        <f t="shared" si="3"/>
        <v>0</v>
      </c>
      <c r="AA652" s="658">
        <f t="shared" si="2"/>
        <v>0.14399999999999999</v>
      </c>
      <c r="AB652" s="658">
        <f t="shared" si="2"/>
        <v>0</v>
      </c>
      <c r="AC652" s="658">
        <f t="shared" si="2"/>
        <v>0</v>
      </c>
      <c r="AD652" s="658">
        <f t="shared" si="2"/>
        <v>0</v>
      </c>
    </row>
    <row r="653" spans="1:30" s="679" customFormat="1" ht="37.5">
      <c r="A653" s="704">
        <v>28</v>
      </c>
      <c r="B653" s="709"/>
      <c r="C653" s="705"/>
      <c r="D653" s="705" t="s">
        <v>52</v>
      </c>
      <c r="E653" s="705"/>
      <c r="F653" s="705"/>
      <c r="G653" s="705"/>
      <c r="H653" s="705"/>
      <c r="I653" s="705"/>
      <c r="J653" s="706" t="s">
        <v>661</v>
      </c>
      <c r="K653" s="659">
        <v>0.11</v>
      </c>
      <c r="L653" s="700" t="s">
        <v>648</v>
      </c>
      <c r="M653" s="705"/>
      <c r="N653" s="705"/>
      <c r="O653" s="705"/>
      <c r="P653" s="705"/>
      <c r="Q653" s="700" t="s">
        <v>52</v>
      </c>
      <c r="R653" s="705"/>
      <c r="S653" s="656" t="s">
        <v>24</v>
      </c>
      <c r="T653" s="705"/>
      <c r="U653" s="705">
        <v>1</v>
      </c>
      <c r="V653" s="705"/>
      <c r="W653" s="714"/>
      <c r="X653" s="705"/>
      <c r="Z653" s="658">
        <f t="shared" si="3"/>
        <v>0</v>
      </c>
      <c r="AA653" s="658">
        <f t="shared" si="2"/>
        <v>0.11</v>
      </c>
      <c r="AB653" s="658">
        <f t="shared" si="2"/>
        <v>0</v>
      </c>
      <c r="AC653" s="658">
        <f t="shared" si="2"/>
        <v>0</v>
      </c>
      <c r="AD653" s="658">
        <f t="shared" si="2"/>
        <v>0</v>
      </c>
    </row>
    <row r="654" spans="1:30" s="679" customFormat="1" ht="56.25">
      <c r="A654" s="704">
        <v>29</v>
      </c>
      <c r="B654" s="709"/>
      <c r="C654" s="705"/>
      <c r="D654" s="705"/>
      <c r="E654" s="705"/>
      <c r="F654" s="705"/>
      <c r="G654" s="700"/>
      <c r="H654" s="705"/>
      <c r="I654" s="700" t="s">
        <v>52</v>
      </c>
      <c r="J654" s="701" t="s">
        <v>662</v>
      </c>
      <c r="K654" s="659">
        <v>5.0999999999999997E-2</v>
      </c>
      <c r="L654" s="700" t="s">
        <v>648</v>
      </c>
      <c r="M654" s="705"/>
      <c r="N654" s="705"/>
      <c r="O654" s="705"/>
      <c r="P654" s="705"/>
      <c r="Q654" s="700" t="s">
        <v>52</v>
      </c>
      <c r="R654" s="705"/>
      <c r="S654" s="656" t="s">
        <v>24</v>
      </c>
      <c r="T654" s="705">
        <v>1</v>
      </c>
      <c r="U654" s="705"/>
      <c r="V654" s="705"/>
      <c r="W654" s="705"/>
      <c r="X654" s="705"/>
      <c r="Z654" s="658">
        <f t="shared" si="3"/>
        <v>5.0999999999999997E-2</v>
      </c>
      <c r="AA654" s="658">
        <f t="shared" si="2"/>
        <v>0</v>
      </c>
      <c r="AB654" s="658">
        <f t="shared" si="2"/>
        <v>0</v>
      </c>
      <c r="AC654" s="658">
        <f t="shared" si="2"/>
        <v>0</v>
      </c>
      <c r="AD654" s="658">
        <f t="shared" si="2"/>
        <v>0</v>
      </c>
    </row>
    <row r="655" spans="1:30" s="679" customFormat="1" ht="56.25">
      <c r="A655" s="704">
        <v>30</v>
      </c>
      <c r="B655" s="709"/>
      <c r="C655" s="705"/>
      <c r="D655" s="705"/>
      <c r="E655" s="705"/>
      <c r="F655" s="705"/>
      <c r="G655" s="700"/>
      <c r="H655" s="705"/>
      <c r="I655" s="700" t="s">
        <v>52</v>
      </c>
      <c r="J655" s="701" t="s">
        <v>663</v>
      </c>
      <c r="K655" s="659">
        <v>4.7E-2</v>
      </c>
      <c r="L655" s="700" t="s">
        <v>648</v>
      </c>
      <c r="M655" s="705"/>
      <c r="N655" s="705"/>
      <c r="O655" s="705"/>
      <c r="P655" s="705"/>
      <c r="Q655" s="700" t="s">
        <v>52</v>
      </c>
      <c r="R655" s="705"/>
      <c r="S655" s="656" t="s">
        <v>24</v>
      </c>
      <c r="T655" s="705"/>
      <c r="U655" s="705">
        <v>1</v>
      </c>
      <c r="V655" s="705"/>
      <c r="W655" s="705"/>
      <c r="X655" s="705"/>
      <c r="Z655" s="658">
        <f t="shared" si="3"/>
        <v>0</v>
      </c>
      <c r="AA655" s="658">
        <f t="shared" si="2"/>
        <v>4.7E-2</v>
      </c>
      <c r="AB655" s="658">
        <f t="shared" si="2"/>
        <v>0</v>
      </c>
      <c r="AC655" s="658">
        <f t="shared" si="2"/>
        <v>0</v>
      </c>
      <c r="AD655" s="658">
        <f t="shared" si="2"/>
        <v>0</v>
      </c>
    </row>
    <row r="656" spans="1:30" s="679" customFormat="1" ht="56.25">
      <c r="A656" s="704">
        <v>31</v>
      </c>
      <c r="B656" s="709"/>
      <c r="C656" s="705"/>
      <c r="D656" s="705"/>
      <c r="E656" s="705"/>
      <c r="F656" s="705"/>
      <c r="G656" s="700"/>
      <c r="H656" s="705"/>
      <c r="I656" s="700" t="s">
        <v>52</v>
      </c>
      <c r="J656" s="701" t="s">
        <v>664</v>
      </c>
      <c r="K656" s="659">
        <v>0.21</v>
      </c>
      <c r="L656" s="700" t="s">
        <v>648</v>
      </c>
      <c r="M656" s="705"/>
      <c r="N656" s="705"/>
      <c r="O656" s="705"/>
      <c r="P656" s="705"/>
      <c r="Q656" s="700" t="s">
        <v>52</v>
      </c>
      <c r="R656" s="705"/>
      <c r="S656" s="656" t="s">
        <v>24</v>
      </c>
      <c r="T656" s="705"/>
      <c r="U656" s="705">
        <v>1</v>
      </c>
      <c r="V656" s="705"/>
      <c r="W656" s="705"/>
      <c r="X656" s="705"/>
      <c r="Z656" s="658">
        <f t="shared" si="3"/>
        <v>0</v>
      </c>
      <c r="AA656" s="658">
        <f t="shared" si="2"/>
        <v>0.21</v>
      </c>
      <c r="AB656" s="658">
        <f t="shared" si="2"/>
        <v>0</v>
      </c>
      <c r="AC656" s="658">
        <f t="shared" si="2"/>
        <v>0</v>
      </c>
      <c r="AD656" s="658">
        <f t="shared" si="2"/>
        <v>0</v>
      </c>
    </row>
    <row r="657" spans="1:30" s="679" customFormat="1" ht="56.25">
      <c r="A657" s="704">
        <v>32</v>
      </c>
      <c r="B657" s="709"/>
      <c r="C657" s="705"/>
      <c r="D657" s="705"/>
      <c r="E657" s="705"/>
      <c r="F657" s="705"/>
      <c r="G657" s="700"/>
      <c r="H657" s="705"/>
      <c r="I657" s="700" t="s">
        <v>52</v>
      </c>
      <c r="J657" s="701" t="s">
        <v>665</v>
      </c>
      <c r="K657" s="707">
        <v>4.5999999999999999E-2</v>
      </c>
      <c r="L657" s="700" t="s">
        <v>648</v>
      </c>
      <c r="M657" s="705"/>
      <c r="N657" s="705"/>
      <c r="O657" s="705"/>
      <c r="P657" s="705"/>
      <c r="Q657" s="700" t="s">
        <v>52</v>
      </c>
      <c r="R657" s="705"/>
      <c r="S657" s="656" t="s">
        <v>24</v>
      </c>
      <c r="T657" s="705"/>
      <c r="U657" s="705">
        <v>3</v>
      </c>
      <c r="V657" s="705"/>
      <c r="W657" s="705"/>
      <c r="X657" s="705"/>
      <c r="Z657" s="658">
        <f t="shared" si="3"/>
        <v>0</v>
      </c>
      <c r="AA657" s="658">
        <f t="shared" si="2"/>
        <v>0.13800000000000001</v>
      </c>
      <c r="AB657" s="658">
        <f t="shared" si="2"/>
        <v>0</v>
      </c>
      <c r="AC657" s="658">
        <f t="shared" si="2"/>
        <v>0</v>
      </c>
      <c r="AD657" s="658">
        <f t="shared" si="2"/>
        <v>0</v>
      </c>
    </row>
    <row r="658" spans="1:30" s="679" customFormat="1" ht="56.25">
      <c r="A658" s="704">
        <v>33</v>
      </c>
      <c r="B658" s="709"/>
      <c r="C658" s="705"/>
      <c r="D658" s="705"/>
      <c r="E658" s="705"/>
      <c r="F658" s="705"/>
      <c r="G658" s="700"/>
      <c r="H658" s="705"/>
      <c r="I658" s="700" t="s">
        <v>52</v>
      </c>
      <c r="J658" s="706" t="s">
        <v>666</v>
      </c>
      <c r="K658" s="659">
        <v>0.03</v>
      </c>
      <c r="L658" s="700" t="s">
        <v>648</v>
      </c>
      <c r="M658" s="705"/>
      <c r="N658" s="705"/>
      <c r="O658" s="705"/>
      <c r="P658" s="705"/>
      <c r="Q658" s="700" t="s">
        <v>52</v>
      </c>
      <c r="R658" s="705"/>
      <c r="S658" s="656" t="s">
        <v>24</v>
      </c>
      <c r="T658" s="705"/>
      <c r="U658" s="705">
        <v>6</v>
      </c>
      <c r="V658" s="705"/>
      <c r="W658" s="705"/>
      <c r="X658" s="705"/>
      <c r="Z658" s="658">
        <f t="shared" si="3"/>
        <v>0</v>
      </c>
      <c r="AA658" s="658">
        <f t="shared" si="2"/>
        <v>0.18</v>
      </c>
      <c r="AB658" s="658">
        <f t="shared" si="2"/>
        <v>0</v>
      </c>
      <c r="AC658" s="658">
        <f t="shared" si="2"/>
        <v>0</v>
      </c>
      <c r="AD658" s="658">
        <f t="shared" si="2"/>
        <v>0</v>
      </c>
    </row>
    <row r="659" spans="1:30" s="679" customFormat="1" ht="56.25">
      <c r="A659" s="704">
        <v>34</v>
      </c>
      <c r="B659" s="709"/>
      <c r="C659" s="705"/>
      <c r="D659" s="705"/>
      <c r="E659" s="705"/>
      <c r="F659" s="705"/>
      <c r="G659" s="700"/>
      <c r="H659" s="705"/>
      <c r="I659" s="700" t="s">
        <v>52</v>
      </c>
      <c r="J659" s="701" t="s">
        <v>667</v>
      </c>
      <c r="K659" s="659">
        <v>3.4000000000000002E-2</v>
      </c>
      <c r="L659" s="700" t="s">
        <v>648</v>
      </c>
      <c r="M659" s="705"/>
      <c r="N659" s="705"/>
      <c r="O659" s="705"/>
      <c r="P659" s="705"/>
      <c r="Q659" s="700" t="s">
        <v>52</v>
      </c>
      <c r="R659" s="705"/>
      <c r="S659" s="656" t="s">
        <v>24</v>
      </c>
      <c r="T659" s="705"/>
      <c r="U659" s="705">
        <v>2</v>
      </c>
      <c r="V659" s="705"/>
      <c r="W659" s="705"/>
      <c r="X659" s="705"/>
      <c r="Z659" s="658">
        <f t="shared" si="3"/>
        <v>0</v>
      </c>
      <c r="AA659" s="658">
        <f t="shared" si="2"/>
        <v>6.8000000000000005E-2</v>
      </c>
      <c r="AB659" s="658">
        <f t="shared" si="2"/>
        <v>0</v>
      </c>
      <c r="AC659" s="658">
        <f t="shared" si="2"/>
        <v>0</v>
      </c>
      <c r="AD659" s="658">
        <f t="shared" si="2"/>
        <v>0</v>
      </c>
    </row>
    <row r="660" spans="1:30" s="679" customFormat="1" ht="56.25">
      <c r="A660" s="704">
        <v>35</v>
      </c>
      <c r="B660" s="709"/>
      <c r="C660" s="705"/>
      <c r="D660" s="705"/>
      <c r="E660" s="705"/>
      <c r="F660" s="705"/>
      <c r="G660" s="700"/>
      <c r="H660" s="705"/>
      <c r="I660" s="700" t="s">
        <v>52</v>
      </c>
      <c r="J660" s="701" t="s">
        <v>668</v>
      </c>
      <c r="K660" s="659">
        <v>3.2000000000000001E-2</v>
      </c>
      <c r="L660" s="700" t="s">
        <v>648</v>
      </c>
      <c r="M660" s="705"/>
      <c r="N660" s="705"/>
      <c r="O660" s="705"/>
      <c r="P660" s="705"/>
      <c r="Q660" s="700" t="s">
        <v>52</v>
      </c>
      <c r="R660" s="705"/>
      <c r="S660" s="656" t="s">
        <v>24</v>
      </c>
      <c r="T660" s="705"/>
      <c r="U660" s="705">
        <v>2</v>
      </c>
      <c r="V660" s="705"/>
      <c r="W660" s="705"/>
      <c r="X660" s="705"/>
      <c r="Z660" s="658">
        <f t="shared" si="3"/>
        <v>0</v>
      </c>
      <c r="AA660" s="658">
        <f t="shared" si="2"/>
        <v>6.4000000000000001E-2</v>
      </c>
      <c r="AB660" s="658">
        <f t="shared" si="2"/>
        <v>0</v>
      </c>
      <c r="AC660" s="658">
        <f t="shared" si="2"/>
        <v>0</v>
      </c>
      <c r="AD660" s="658">
        <f t="shared" si="2"/>
        <v>0</v>
      </c>
    </row>
    <row r="661" spans="1:30" s="679" customFormat="1">
      <c r="A661" s="704">
        <v>36</v>
      </c>
      <c r="B661" s="709"/>
      <c r="C661" s="705"/>
      <c r="D661" s="705"/>
      <c r="E661" s="705"/>
      <c r="F661" s="705"/>
      <c r="G661" s="700"/>
      <c r="H661" s="705"/>
      <c r="I661" s="705" t="s">
        <v>52</v>
      </c>
      <c r="J661" s="701" t="s">
        <v>669</v>
      </c>
      <c r="K661" s="659">
        <v>1.2999999999999999E-2</v>
      </c>
      <c r="L661" s="700" t="s">
        <v>648</v>
      </c>
      <c r="M661" s="705"/>
      <c r="N661" s="705"/>
      <c r="O661" s="705"/>
      <c r="P661" s="705"/>
      <c r="Q661" s="700" t="s">
        <v>52</v>
      </c>
      <c r="R661" s="705"/>
      <c r="S661" s="656" t="s">
        <v>24</v>
      </c>
      <c r="T661" s="705"/>
      <c r="U661" s="705">
        <v>1</v>
      </c>
      <c r="V661" s="705"/>
      <c r="W661" s="705"/>
      <c r="X661" s="705"/>
      <c r="Z661" s="658">
        <f t="shared" si="3"/>
        <v>0</v>
      </c>
      <c r="AA661" s="658">
        <f t="shared" si="2"/>
        <v>1.2999999999999999E-2</v>
      </c>
      <c r="AB661" s="658">
        <f t="shared" si="2"/>
        <v>0</v>
      </c>
      <c r="AC661" s="658">
        <f t="shared" si="2"/>
        <v>0</v>
      </c>
      <c r="AD661" s="658">
        <f t="shared" si="2"/>
        <v>0</v>
      </c>
    </row>
    <row r="662" spans="1:30" s="679" customFormat="1" ht="45.75" customHeight="1">
      <c r="A662" s="650">
        <v>97</v>
      </c>
      <c r="B662" s="715"/>
      <c r="C662" s="656"/>
      <c r="D662" s="656"/>
      <c r="E662" s="656"/>
      <c r="F662" s="656" t="s">
        <v>91</v>
      </c>
      <c r="G662" s="656"/>
      <c r="H662" s="656"/>
      <c r="I662" s="716"/>
      <c r="J662" s="663" t="s">
        <v>670</v>
      </c>
      <c r="K662" s="664">
        <v>0.15</v>
      </c>
      <c r="L662" s="656" t="s">
        <v>671</v>
      </c>
      <c r="M662" s="656"/>
      <c r="N662" s="656"/>
      <c r="O662" s="656"/>
      <c r="P662" s="656"/>
      <c r="Q662" s="655" t="s">
        <v>91</v>
      </c>
      <c r="R662" s="656"/>
      <c r="S662" s="656" t="s">
        <v>24</v>
      </c>
      <c r="T662" s="715">
        <v>2</v>
      </c>
      <c r="U662" s="656"/>
      <c r="V662" s="715"/>
      <c r="W662" s="656"/>
      <c r="X662" s="656"/>
      <c r="Z662" s="658">
        <f t="shared" si="3"/>
        <v>0.3</v>
      </c>
      <c r="AA662" s="658">
        <f t="shared" si="2"/>
        <v>0</v>
      </c>
      <c r="AB662" s="658">
        <f t="shared" si="2"/>
        <v>0</v>
      </c>
      <c r="AC662" s="658">
        <f t="shared" si="2"/>
        <v>0</v>
      </c>
      <c r="AD662" s="658">
        <f t="shared" si="2"/>
        <v>0</v>
      </c>
    </row>
    <row r="663" spans="1:30" s="679" customFormat="1">
      <c r="A663" s="650">
        <v>98</v>
      </c>
      <c r="B663" s="715"/>
      <c r="C663" s="656"/>
      <c r="D663" s="656"/>
      <c r="E663" s="656"/>
      <c r="F663" s="656" t="s">
        <v>91</v>
      </c>
      <c r="G663" s="656"/>
      <c r="H663" s="656"/>
      <c r="I663" s="716"/>
      <c r="J663" s="663" t="s">
        <v>672</v>
      </c>
      <c r="K663" s="664">
        <v>0.26</v>
      </c>
      <c r="L663" s="656" t="s">
        <v>671</v>
      </c>
      <c r="M663" s="656"/>
      <c r="N663" s="656"/>
      <c r="O663" s="656"/>
      <c r="P663" s="656"/>
      <c r="Q663" s="655" t="s">
        <v>91</v>
      </c>
      <c r="R663" s="656"/>
      <c r="S663" s="656" t="s">
        <v>24</v>
      </c>
      <c r="T663" s="656">
        <v>1</v>
      </c>
      <c r="U663" s="656"/>
      <c r="V663" s="656"/>
      <c r="W663" s="656"/>
      <c r="X663" s="656"/>
      <c r="Z663" s="658">
        <f t="shared" si="3"/>
        <v>0.26</v>
      </c>
      <c r="AA663" s="658">
        <f t="shared" si="2"/>
        <v>0</v>
      </c>
      <c r="AB663" s="658">
        <f t="shared" si="2"/>
        <v>0</v>
      </c>
      <c r="AC663" s="658">
        <f t="shared" si="2"/>
        <v>0</v>
      </c>
      <c r="AD663" s="658">
        <f t="shared" ref="AD663:AD697" si="4">X663*$K663</f>
        <v>0</v>
      </c>
    </row>
    <row r="664" spans="1:30" s="679" customFormat="1" ht="37.5">
      <c r="A664" s="650">
        <v>99</v>
      </c>
      <c r="B664" s="678"/>
      <c r="C664" s="656"/>
      <c r="D664" s="656" t="s">
        <v>91</v>
      </c>
      <c r="E664" s="656"/>
      <c r="F664" s="656"/>
      <c r="G664" s="656"/>
      <c r="H664" s="656"/>
      <c r="I664" s="716"/>
      <c r="J664" s="663" t="s">
        <v>673</v>
      </c>
      <c r="K664" s="664">
        <v>0.16</v>
      </c>
      <c r="L664" s="656" t="s">
        <v>671</v>
      </c>
      <c r="M664" s="656"/>
      <c r="N664" s="656"/>
      <c r="O664" s="656"/>
      <c r="P664" s="656"/>
      <c r="Q664" s="655" t="s">
        <v>91</v>
      </c>
      <c r="R664" s="656"/>
      <c r="S664" s="656" t="s">
        <v>24</v>
      </c>
      <c r="T664" s="656">
        <v>1</v>
      </c>
      <c r="U664" s="656"/>
      <c r="V664" s="656"/>
      <c r="W664" s="656"/>
      <c r="X664" s="656"/>
      <c r="Z664" s="658">
        <f t="shared" si="3"/>
        <v>0.16</v>
      </c>
      <c r="AA664" s="658">
        <f t="shared" si="3"/>
        <v>0</v>
      </c>
      <c r="AB664" s="658">
        <f t="shared" si="3"/>
        <v>0</v>
      </c>
      <c r="AC664" s="658">
        <f t="shared" si="3"/>
        <v>0</v>
      </c>
      <c r="AD664" s="658">
        <f t="shared" si="4"/>
        <v>0</v>
      </c>
    </row>
    <row r="665" spans="1:30" s="679" customFormat="1">
      <c r="A665" s="650">
        <v>100</v>
      </c>
      <c r="B665" s="678"/>
      <c r="C665" s="656"/>
      <c r="D665" s="656"/>
      <c r="E665" s="656"/>
      <c r="F665" s="656" t="s">
        <v>91</v>
      </c>
      <c r="G665" s="656"/>
      <c r="H665" s="656"/>
      <c r="I665" s="716" t="s">
        <v>243</v>
      </c>
      <c r="J665" s="663" t="s">
        <v>674</v>
      </c>
      <c r="K665" s="664">
        <v>0.15</v>
      </c>
      <c r="L665" s="656" t="s">
        <v>671</v>
      </c>
      <c r="M665" s="656"/>
      <c r="N665" s="656"/>
      <c r="O665" s="656"/>
      <c r="P665" s="656"/>
      <c r="Q665" s="655" t="s">
        <v>91</v>
      </c>
      <c r="R665" s="656"/>
      <c r="S665" s="656" t="s">
        <v>24</v>
      </c>
      <c r="T665" s="656">
        <v>1</v>
      </c>
      <c r="U665" s="656"/>
      <c r="V665" s="656"/>
      <c r="W665" s="656"/>
      <c r="X665" s="656"/>
      <c r="Z665" s="658">
        <f t="shared" ref="Z665:AC697" si="5">T665*$K665</f>
        <v>0.15</v>
      </c>
      <c r="AA665" s="658">
        <f t="shared" si="5"/>
        <v>0</v>
      </c>
      <c r="AB665" s="658">
        <f t="shared" si="5"/>
        <v>0</v>
      </c>
      <c r="AC665" s="658">
        <f t="shared" si="5"/>
        <v>0</v>
      </c>
      <c r="AD665" s="658">
        <f t="shared" si="4"/>
        <v>0</v>
      </c>
    </row>
    <row r="666" spans="1:30" s="679" customFormat="1" ht="37.5">
      <c r="A666" s="650">
        <v>101</v>
      </c>
      <c r="B666" s="678"/>
      <c r="C666" s="656"/>
      <c r="D666" s="656"/>
      <c r="E666" s="656"/>
      <c r="F666" s="656"/>
      <c r="G666" s="656" t="s">
        <v>91</v>
      </c>
      <c r="H666" s="656"/>
      <c r="I666" s="716"/>
      <c r="J666" s="663" t="s">
        <v>675</v>
      </c>
      <c r="K666" s="664">
        <v>0.76</v>
      </c>
      <c r="L666" s="656" t="s">
        <v>671</v>
      </c>
      <c r="M666" s="656"/>
      <c r="N666" s="656"/>
      <c r="O666" s="656"/>
      <c r="P666" s="656"/>
      <c r="Q666" s="655" t="s">
        <v>91</v>
      </c>
      <c r="R666" s="656"/>
      <c r="S666" s="656" t="s">
        <v>24</v>
      </c>
      <c r="T666" s="656"/>
      <c r="U666" s="656"/>
      <c r="V666" s="656"/>
      <c r="W666" s="656">
        <v>1</v>
      </c>
      <c r="X666" s="656"/>
      <c r="Z666" s="658">
        <f t="shared" si="5"/>
        <v>0</v>
      </c>
      <c r="AA666" s="658">
        <f t="shared" si="5"/>
        <v>0</v>
      </c>
      <c r="AB666" s="658">
        <f t="shared" si="5"/>
        <v>0</v>
      </c>
      <c r="AC666" s="658">
        <f t="shared" si="5"/>
        <v>0.76</v>
      </c>
      <c r="AD666" s="658">
        <f t="shared" si="4"/>
        <v>0</v>
      </c>
    </row>
    <row r="667" spans="1:30" s="679" customFormat="1" ht="37.5">
      <c r="A667" s="650">
        <v>102</v>
      </c>
      <c r="B667" s="678"/>
      <c r="C667" s="656"/>
      <c r="D667" s="656"/>
      <c r="E667" s="656"/>
      <c r="F667" s="656"/>
      <c r="G667" s="656" t="s">
        <v>91</v>
      </c>
      <c r="H667" s="656"/>
      <c r="I667" s="716"/>
      <c r="J667" s="663" t="s">
        <v>676</v>
      </c>
      <c r="K667" s="664">
        <v>0.25</v>
      </c>
      <c r="L667" s="656" t="s">
        <v>671</v>
      </c>
      <c r="M667" s="656"/>
      <c r="N667" s="656"/>
      <c r="O667" s="656"/>
      <c r="P667" s="656"/>
      <c r="Q667" s="655" t="s">
        <v>91</v>
      </c>
      <c r="R667" s="656"/>
      <c r="S667" s="656" t="s">
        <v>24</v>
      </c>
      <c r="T667" s="656"/>
      <c r="U667" s="656"/>
      <c r="V667" s="656"/>
      <c r="W667" s="656">
        <v>1</v>
      </c>
      <c r="X667" s="656"/>
      <c r="Z667" s="658">
        <f t="shared" si="5"/>
        <v>0</v>
      </c>
      <c r="AA667" s="658">
        <f t="shared" si="5"/>
        <v>0</v>
      </c>
      <c r="AB667" s="658">
        <f t="shared" si="5"/>
        <v>0</v>
      </c>
      <c r="AC667" s="658">
        <f t="shared" si="5"/>
        <v>0.25</v>
      </c>
      <c r="AD667" s="658">
        <f t="shared" si="4"/>
        <v>0</v>
      </c>
    </row>
    <row r="668" spans="1:30" s="679" customFormat="1" ht="37.5">
      <c r="A668" s="650">
        <v>103</v>
      </c>
      <c r="B668" s="678"/>
      <c r="C668" s="656"/>
      <c r="D668" s="656" t="s">
        <v>91</v>
      </c>
      <c r="E668" s="656"/>
      <c r="F668" s="656"/>
      <c r="G668" s="656"/>
      <c r="H668" s="656"/>
      <c r="I668" s="716"/>
      <c r="J668" s="663" t="s">
        <v>677</v>
      </c>
      <c r="K668" s="664">
        <v>0.06</v>
      </c>
      <c r="L668" s="656" t="s">
        <v>671</v>
      </c>
      <c r="M668" s="656"/>
      <c r="N668" s="656"/>
      <c r="O668" s="656"/>
      <c r="P668" s="656"/>
      <c r="Q668" s="655" t="s">
        <v>91</v>
      </c>
      <c r="R668" s="656"/>
      <c r="S668" s="656" t="s">
        <v>24</v>
      </c>
      <c r="T668" s="656"/>
      <c r="U668" s="656"/>
      <c r="V668" s="656"/>
      <c r="W668" s="656"/>
      <c r="X668" s="656">
        <v>11</v>
      </c>
      <c r="Z668" s="658">
        <f t="shared" si="5"/>
        <v>0</v>
      </c>
      <c r="AA668" s="658">
        <f t="shared" si="5"/>
        <v>0</v>
      </c>
      <c r="AB668" s="658">
        <f t="shared" si="5"/>
        <v>0</v>
      </c>
      <c r="AC668" s="658">
        <f t="shared" si="5"/>
        <v>0</v>
      </c>
      <c r="AD668" s="658">
        <f t="shared" si="4"/>
        <v>0.65999999999999992</v>
      </c>
    </row>
    <row r="669" spans="1:30" s="679" customFormat="1" ht="56.25">
      <c r="A669" s="650">
        <v>104</v>
      </c>
      <c r="B669" s="656" t="s">
        <v>91</v>
      </c>
      <c r="C669" s="656"/>
      <c r="D669" s="656"/>
      <c r="E669" s="656"/>
      <c r="F669" s="656"/>
      <c r="G669" s="656"/>
      <c r="H669" s="656"/>
      <c r="I669" s="717"/>
      <c r="J669" s="663" t="s">
        <v>170</v>
      </c>
      <c r="K669" s="664">
        <v>0.48</v>
      </c>
      <c r="L669" s="656" t="s">
        <v>671</v>
      </c>
      <c r="M669" s="656"/>
      <c r="N669" s="656"/>
      <c r="O669" s="656"/>
      <c r="P669" s="656"/>
      <c r="Q669" s="655" t="s">
        <v>91</v>
      </c>
      <c r="R669" s="656"/>
      <c r="S669" s="656" t="s">
        <v>24</v>
      </c>
      <c r="T669" s="656">
        <v>1</v>
      </c>
      <c r="U669" s="656"/>
      <c r="V669" s="656"/>
      <c r="W669" s="656">
        <v>1</v>
      </c>
      <c r="X669" s="656"/>
      <c r="Z669" s="658">
        <f t="shared" si="5"/>
        <v>0.48</v>
      </c>
      <c r="AA669" s="658">
        <f t="shared" si="5"/>
        <v>0</v>
      </c>
      <c r="AB669" s="658">
        <f t="shared" si="5"/>
        <v>0</v>
      </c>
      <c r="AC669" s="658">
        <f t="shared" si="5"/>
        <v>0.48</v>
      </c>
      <c r="AD669" s="658">
        <f t="shared" si="4"/>
        <v>0</v>
      </c>
    </row>
    <row r="670" spans="1:30" s="679" customFormat="1" ht="37.5">
      <c r="A670" s="650">
        <v>105</v>
      </c>
      <c r="B670" s="678"/>
      <c r="C670" s="656"/>
      <c r="D670" s="656"/>
      <c r="E670" s="656"/>
      <c r="F670" s="656" t="s">
        <v>91</v>
      </c>
      <c r="G670" s="656"/>
      <c r="H670" s="656"/>
      <c r="I670" s="716"/>
      <c r="J670" s="663" t="s">
        <v>678</v>
      </c>
      <c r="K670" s="664">
        <v>0.45</v>
      </c>
      <c r="L670" s="656" t="s">
        <v>671</v>
      </c>
      <c r="M670" s="656"/>
      <c r="N670" s="656"/>
      <c r="O670" s="656"/>
      <c r="P670" s="656"/>
      <c r="Q670" s="655" t="s">
        <v>91</v>
      </c>
      <c r="R670" s="656"/>
      <c r="S670" s="656" t="s">
        <v>24</v>
      </c>
      <c r="T670" s="656"/>
      <c r="U670" s="656">
        <v>1</v>
      </c>
      <c r="V670" s="656"/>
      <c r="W670" s="656"/>
      <c r="X670" s="656"/>
      <c r="Z670" s="658">
        <f t="shared" si="5"/>
        <v>0</v>
      </c>
      <c r="AA670" s="658">
        <f t="shared" si="5"/>
        <v>0.45</v>
      </c>
      <c r="AB670" s="658">
        <f t="shared" si="5"/>
        <v>0</v>
      </c>
      <c r="AC670" s="658">
        <f t="shared" si="5"/>
        <v>0</v>
      </c>
      <c r="AD670" s="658">
        <f t="shared" si="4"/>
        <v>0</v>
      </c>
    </row>
    <row r="671" spans="1:30" s="679" customFormat="1" ht="37.5">
      <c r="A671" s="650">
        <v>106</v>
      </c>
      <c r="B671" s="678"/>
      <c r="C671" s="656"/>
      <c r="D671" s="656"/>
      <c r="E671" s="656"/>
      <c r="F671" s="656" t="s">
        <v>91</v>
      </c>
      <c r="G671" s="656"/>
      <c r="H671" s="656"/>
      <c r="I671" s="716"/>
      <c r="J671" s="663" t="s">
        <v>679</v>
      </c>
      <c r="K671" s="664">
        <v>0.93</v>
      </c>
      <c r="L671" s="656" t="s">
        <v>671</v>
      </c>
      <c r="M671" s="656"/>
      <c r="N671" s="656"/>
      <c r="O671" s="656"/>
      <c r="P671" s="656"/>
      <c r="Q671" s="655" t="s">
        <v>91</v>
      </c>
      <c r="R671" s="656"/>
      <c r="S671" s="656" t="s">
        <v>24</v>
      </c>
      <c r="T671" s="656">
        <v>1</v>
      </c>
      <c r="U671" s="656"/>
      <c r="V671" s="656"/>
      <c r="W671" s="656"/>
      <c r="X671" s="656"/>
      <c r="Z671" s="658">
        <f t="shared" si="5"/>
        <v>0.93</v>
      </c>
      <c r="AA671" s="658">
        <f t="shared" si="5"/>
        <v>0</v>
      </c>
      <c r="AB671" s="658">
        <f t="shared" si="5"/>
        <v>0</v>
      </c>
      <c r="AC671" s="658">
        <f t="shared" si="5"/>
        <v>0</v>
      </c>
      <c r="AD671" s="658">
        <f t="shared" si="4"/>
        <v>0</v>
      </c>
    </row>
    <row r="672" spans="1:30" s="679" customFormat="1" ht="56.25">
      <c r="A672" s="650">
        <v>107</v>
      </c>
      <c r="B672" s="678"/>
      <c r="C672" s="656"/>
      <c r="D672" s="656"/>
      <c r="E672" s="656"/>
      <c r="F672" s="656" t="s">
        <v>91</v>
      </c>
      <c r="G672" s="656"/>
      <c r="H672" s="656"/>
      <c r="I672" s="716"/>
      <c r="J672" s="718" t="s">
        <v>680</v>
      </c>
      <c r="K672" s="664">
        <v>0.15</v>
      </c>
      <c r="L672" s="656" t="s">
        <v>671</v>
      </c>
      <c r="M672" s="656"/>
      <c r="N672" s="656"/>
      <c r="O672" s="656"/>
      <c r="P672" s="656"/>
      <c r="Q672" s="655" t="s">
        <v>91</v>
      </c>
      <c r="R672" s="656"/>
      <c r="S672" s="656" t="s">
        <v>24</v>
      </c>
      <c r="T672" s="656">
        <v>4</v>
      </c>
      <c r="U672" s="656"/>
      <c r="V672" s="656"/>
      <c r="W672" s="656"/>
      <c r="X672" s="656"/>
      <c r="Z672" s="658">
        <f t="shared" si="5"/>
        <v>0.6</v>
      </c>
      <c r="AA672" s="658">
        <f t="shared" si="5"/>
        <v>0</v>
      </c>
      <c r="AB672" s="658">
        <f t="shared" si="5"/>
        <v>0</v>
      </c>
      <c r="AC672" s="658">
        <f t="shared" si="5"/>
        <v>0</v>
      </c>
      <c r="AD672" s="658">
        <f t="shared" si="4"/>
        <v>0</v>
      </c>
    </row>
    <row r="673" spans="1:30" s="679" customFormat="1" ht="37.5">
      <c r="A673" s="650">
        <v>108</v>
      </c>
      <c r="B673" s="678"/>
      <c r="C673" s="656"/>
      <c r="D673" s="715"/>
      <c r="E673" s="656"/>
      <c r="F673" s="656" t="s">
        <v>91</v>
      </c>
      <c r="G673" s="656"/>
      <c r="H673" s="656"/>
      <c r="I673" s="656"/>
      <c r="J673" s="663" t="s">
        <v>681</v>
      </c>
      <c r="K673" s="664">
        <v>0.05</v>
      </c>
      <c r="L673" s="656" t="s">
        <v>671</v>
      </c>
      <c r="M673" s="656"/>
      <c r="N673" s="656"/>
      <c r="O673" s="656"/>
      <c r="P673" s="656"/>
      <c r="Q673" s="655" t="s">
        <v>91</v>
      </c>
      <c r="R673" s="656"/>
      <c r="S673" s="656" t="s">
        <v>24</v>
      </c>
      <c r="T673" s="656">
        <v>4</v>
      </c>
      <c r="U673" s="656"/>
      <c r="V673" s="656"/>
      <c r="W673" s="656"/>
      <c r="X673" s="656"/>
      <c r="Z673" s="658">
        <f t="shared" si="5"/>
        <v>0.2</v>
      </c>
      <c r="AA673" s="658">
        <f t="shared" si="5"/>
        <v>0</v>
      </c>
      <c r="AB673" s="658">
        <f t="shared" si="5"/>
        <v>0</v>
      </c>
      <c r="AC673" s="658">
        <f t="shared" si="5"/>
        <v>0</v>
      </c>
      <c r="AD673" s="658">
        <f t="shared" si="4"/>
        <v>0</v>
      </c>
    </row>
    <row r="674" spans="1:30" s="679" customFormat="1" ht="23.25" customHeight="1">
      <c r="A674" s="650">
        <v>109</v>
      </c>
      <c r="B674" s="678"/>
      <c r="C674" s="656"/>
      <c r="D674" s="656" t="s">
        <v>91</v>
      </c>
      <c r="E674" s="656"/>
      <c r="F674" s="715"/>
      <c r="G674" s="656"/>
      <c r="H674" s="656"/>
      <c r="I674" s="656"/>
      <c r="J674" s="663" t="s">
        <v>682</v>
      </c>
      <c r="K674" s="664">
        <v>1.0999999999999999E-2</v>
      </c>
      <c r="L674" s="656" t="s">
        <v>671</v>
      </c>
      <c r="M674" s="656"/>
      <c r="N674" s="656"/>
      <c r="O674" s="656"/>
      <c r="P674" s="656"/>
      <c r="Q674" s="655" t="s">
        <v>91</v>
      </c>
      <c r="R674" s="656"/>
      <c r="S674" s="656" t="s">
        <v>24</v>
      </c>
      <c r="T674" s="656"/>
      <c r="U674" s="656">
        <v>3</v>
      </c>
      <c r="V674" s="656"/>
      <c r="W674" s="656"/>
      <c r="X674" s="656"/>
      <c r="Z674" s="658">
        <f t="shared" si="5"/>
        <v>0</v>
      </c>
      <c r="AA674" s="658">
        <f t="shared" si="5"/>
        <v>3.3000000000000002E-2</v>
      </c>
      <c r="AB674" s="658">
        <f t="shared" si="5"/>
        <v>0</v>
      </c>
      <c r="AC674" s="658">
        <f t="shared" si="5"/>
        <v>0</v>
      </c>
      <c r="AD674" s="658">
        <f t="shared" si="4"/>
        <v>0</v>
      </c>
    </row>
    <row r="675" spans="1:30" s="679" customFormat="1" ht="75">
      <c r="A675" s="650">
        <v>110</v>
      </c>
      <c r="B675" s="678"/>
      <c r="C675" s="656"/>
      <c r="D675" s="715"/>
      <c r="E675" s="656"/>
      <c r="F675" s="715"/>
      <c r="G675" s="656" t="s">
        <v>91</v>
      </c>
      <c r="H675" s="656"/>
      <c r="I675" s="656"/>
      <c r="J675" s="663" t="s">
        <v>683</v>
      </c>
      <c r="K675" s="664">
        <v>1.93</v>
      </c>
      <c r="L675" s="656" t="s">
        <v>671</v>
      </c>
      <c r="M675" s="656"/>
      <c r="N675" s="656"/>
      <c r="O675" s="656"/>
      <c r="P675" s="656"/>
      <c r="Q675" s="655" t="s">
        <v>91</v>
      </c>
      <c r="R675" s="656"/>
      <c r="S675" s="656" t="s">
        <v>24</v>
      </c>
      <c r="T675" s="656">
        <v>1</v>
      </c>
      <c r="U675" s="656"/>
      <c r="V675" s="656"/>
      <c r="W675" s="656"/>
      <c r="X675" s="656"/>
      <c r="Z675" s="658">
        <f t="shared" si="5"/>
        <v>1.93</v>
      </c>
      <c r="AA675" s="658">
        <f t="shared" si="5"/>
        <v>0</v>
      </c>
      <c r="AB675" s="658">
        <f t="shared" si="5"/>
        <v>0</v>
      </c>
      <c r="AC675" s="658">
        <f t="shared" si="5"/>
        <v>0</v>
      </c>
      <c r="AD675" s="658">
        <f t="shared" si="4"/>
        <v>0</v>
      </c>
    </row>
    <row r="676" spans="1:30" s="679" customFormat="1" ht="37.5">
      <c r="A676" s="650">
        <v>111</v>
      </c>
      <c r="B676" s="678"/>
      <c r="C676" s="656"/>
      <c r="D676" s="656"/>
      <c r="E676" s="656"/>
      <c r="F676" s="656" t="s">
        <v>91</v>
      </c>
      <c r="G676" s="656"/>
      <c r="H676" s="656"/>
      <c r="I676" s="717"/>
      <c r="J676" s="663" t="s">
        <v>684</v>
      </c>
      <c r="K676" s="664">
        <v>7.0000000000000007E-2</v>
      </c>
      <c r="L676" s="656" t="s">
        <v>671</v>
      </c>
      <c r="M676" s="656"/>
      <c r="N676" s="656"/>
      <c r="O676" s="656"/>
      <c r="P676" s="656"/>
      <c r="Q676" s="655" t="s">
        <v>91</v>
      </c>
      <c r="R676" s="656"/>
      <c r="S676" s="656" t="s">
        <v>24</v>
      </c>
      <c r="T676" s="656"/>
      <c r="U676" s="656"/>
      <c r="V676" s="656"/>
      <c r="W676" s="656">
        <v>2</v>
      </c>
      <c r="X676" s="656"/>
      <c r="Z676" s="658">
        <f t="shared" si="5"/>
        <v>0</v>
      </c>
      <c r="AA676" s="658">
        <f t="shared" si="5"/>
        <v>0</v>
      </c>
      <c r="AB676" s="658">
        <f t="shared" si="5"/>
        <v>0</v>
      </c>
      <c r="AC676" s="658">
        <f t="shared" si="5"/>
        <v>0.14000000000000001</v>
      </c>
      <c r="AD676" s="658">
        <f t="shared" si="4"/>
        <v>0</v>
      </c>
    </row>
    <row r="677" spans="1:30" s="679" customFormat="1">
      <c r="A677" s="650">
        <v>112</v>
      </c>
      <c r="B677" s="678"/>
      <c r="C677" s="656"/>
      <c r="D677" s="656"/>
      <c r="E677" s="656"/>
      <c r="F677" s="656"/>
      <c r="G677" s="656" t="s">
        <v>91</v>
      </c>
      <c r="H677" s="656"/>
      <c r="I677" s="656"/>
      <c r="J677" s="719" t="s">
        <v>685</v>
      </c>
      <c r="K677" s="720">
        <v>0.16500000000000001</v>
      </c>
      <c r="L677" s="656" t="s">
        <v>686</v>
      </c>
      <c r="M677" s="656"/>
      <c r="N677" s="656"/>
      <c r="O677" s="656"/>
      <c r="P677" s="656"/>
      <c r="Q677" s="655" t="s">
        <v>91</v>
      </c>
      <c r="R677" s="656"/>
      <c r="S677" s="656" t="s">
        <v>24</v>
      </c>
      <c r="T677" s="656">
        <v>1</v>
      </c>
      <c r="U677" s="656"/>
      <c r="V677" s="656"/>
      <c r="W677" s="656"/>
      <c r="X677" s="656"/>
      <c r="Z677" s="658">
        <f t="shared" si="5"/>
        <v>0.16500000000000001</v>
      </c>
      <c r="AA677" s="658">
        <f t="shared" si="5"/>
        <v>0</v>
      </c>
      <c r="AB677" s="658">
        <f t="shared" si="5"/>
        <v>0</v>
      </c>
      <c r="AC677" s="658">
        <f t="shared" si="5"/>
        <v>0</v>
      </c>
      <c r="AD677" s="658">
        <f t="shared" si="4"/>
        <v>0</v>
      </c>
    </row>
    <row r="678" spans="1:30" s="679" customFormat="1" ht="37.5">
      <c r="A678" s="650">
        <v>113</v>
      </c>
      <c r="B678" s="678"/>
      <c r="C678" s="656"/>
      <c r="D678" s="656"/>
      <c r="E678" s="656"/>
      <c r="F678" s="656" t="s">
        <v>91</v>
      </c>
      <c r="G678" s="656"/>
      <c r="H678" s="656"/>
      <c r="I678" s="656"/>
      <c r="J678" s="721" t="s">
        <v>687</v>
      </c>
      <c r="K678" s="720">
        <v>2</v>
      </c>
      <c r="L678" s="656" t="s">
        <v>686</v>
      </c>
      <c r="M678" s="656"/>
      <c r="N678" s="656"/>
      <c r="O678" s="656"/>
      <c r="P678" s="656"/>
      <c r="Q678" s="655" t="s">
        <v>91</v>
      </c>
      <c r="R678" s="656"/>
      <c r="S678" s="656" t="s">
        <v>24</v>
      </c>
      <c r="T678" s="656">
        <v>1</v>
      </c>
      <c r="U678" s="656"/>
      <c r="V678" s="656"/>
      <c r="W678" s="656"/>
      <c r="X678" s="656"/>
      <c r="Z678" s="658">
        <f t="shared" si="5"/>
        <v>2</v>
      </c>
      <c r="AA678" s="658">
        <f t="shared" si="5"/>
        <v>0</v>
      </c>
      <c r="AB678" s="658">
        <f t="shared" si="5"/>
        <v>0</v>
      </c>
      <c r="AC678" s="658">
        <f t="shared" si="5"/>
        <v>0</v>
      </c>
      <c r="AD678" s="658">
        <f t="shared" si="4"/>
        <v>0</v>
      </c>
    </row>
    <row r="679" spans="1:30" s="679" customFormat="1" ht="37.5">
      <c r="A679" s="650">
        <v>114</v>
      </c>
      <c r="B679" s="678"/>
      <c r="C679" s="656"/>
      <c r="D679" s="656"/>
      <c r="E679" s="656"/>
      <c r="F679" s="656" t="s">
        <v>91</v>
      </c>
      <c r="G679" s="656"/>
      <c r="H679" s="656"/>
      <c r="I679" s="656"/>
      <c r="J679" s="721" t="s">
        <v>688</v>
      </c>
      <c r="K679" s="720">
        <v>9.5000000000000001E-2</v>
      </c>
      <c r="L679" s="656" t="s">
        <v>686</v>
      </c>
      <c r="M679" s="656"/>
      <c r="N679" s="656"/>
      <c r="O679" s="656"/>
      <c r="P679" s="656"/>
      <c r="Q679" s="655" t="s">
        <v>91</v>
      </c>
      <c r="R679" s="656"/>
      <c r="S679" s="656" t="s">
        <v>24</v>
      </c>
      <c r="T679" s="656"/>
      <c r="U679" s="656"/>
      <c r="V679" s="656"/>
      <c r="W679" s="656">
        <v>2</v>
      </c>
      <c r="X679" s="656"/>
      <c r="Z679" s="658">
        <f t="shared" si="5"/>
        <v>0</v>
      </c>
      <c r="AA679" s="658">
        <f t="shared" si="5"/>
        <v>0</v>
      </c>
      <c r="AB679" s="658">
        <f t="shared" si="5"/>
        <v>0</v>
      </c>
      <c r="AC679" s="658">
        <f t="shared" si="5"/>
        <v>0.19</v>
      </c>
      <c r="AD679" s="658">
        <f t="shared" si="4"/>
        <v>0</v>
      </c>
    </row>
    <row r="680" spans="1:30" s="679" customFormat="1">
      <c r="A680" s="650">
        <v>115</v>
      </c>
      <c r="B680" s="678"/>
      <c r="C680" s="656"/>
      <c r="D680" s="656"/>
      <c r="E680" s="656"/>
      <c r="F680" s="656" t="s">
        <v>91</v>
      </c>
      <c r="G680" s="656"/>
      <c r="H680" s="656"/>
      <c r="I680" s="656"/>
      <c r="J680" s="721" t="s">
        <v>689</v>
      </c>
      <c r="K680" s="720">
        <v>0.13</v>
      </c>
      <c r="L680" s="656" t="s">
        <v>686</v>
      </c>
      <c r="M680" s="656"/>
      <c r="N680" s="656"/>
      <c r="O680" s="656"/>
      <c r="P680" s="656"/>
      <c r="Q680" s="655" t="s">
        <v>91</v>
      </c>
      <c r="R680" s="656"/>
      <c r="S680" s="656" t="s">
        <v>24</v>
      </c>
      <c r="T680" s="722">
        <v>1</v>
      </c>
      <c r="U680" s="656"/>
      <c r="V680" s="656"/>
      <c r="W680" s="656"/>
      <c r="X680" s="656"/>
      <c r="Z680" s="658">
        <f t="shared" si="5"/>
        <v>0.13</v>
      </c>
      <c r="AA680" s="658">
        <f t="shared" si="5"/>
        <v>0</v>
      </c>
      <c r="AB680" s="658">
        <f t="shared" si="5"/>
        <v>0</v>
      </c>
      <c r="AC680" s="658">
        <f t="shared" si="5"/>
        <v>0</v>
      </c>
      <c r="AD680" s="658">
        <f t="shared" si="4"/>
        <v>0</v>
      </c>
    </row>
    <row r="681" spans="1:30" s="679" customFormat="1" ht="56.25">
      <c r="A681" s="650">
        <v>116</v>
      </c>
      <c r="B681" s="678"/>
      <c r="C681" s="656"/>
      <c r="D681" s="656"/>
      <c r="E681" s="656"/>
      <c r="F681" s="656"/>
      <c r="G681" s="656"/>
      <c r="H681" s="656" t="s">
        <v>91</v>
      </c>
      <c r="I681" s="656"/>
      <c r="J681" s="719" t="s">
        <v>690</v>
      </c>
      <c r="K681" s="720">
        <v>0.8</v>
      </c>
      <c r="L681" s="656" t="s">
        <v>686</v>
      </c>
      <c r="M681" s="656"/>
      <c r="N681" s="656"/>
      <c r="O681" s="656"/>
      <c r="P681" s="656"/>
      <c r="Q681" s="655" t="s">
        <v>91</v>
      </c>
      <c r="R681" s="656"/>
      <c r="S681" s="656" t="s">
        <v>24</v>
      </c>
      <c r="T681" s="722">
        <v>1</v>
      </c>
      <c r="U681" s="656"/>
      <c r="V681" s="656"/>
      <c r="W681" s="656"/>
      <c r="X681" s="656"/>
      <c r="Z681" s="658">
        <f t="shared" si="5"/>
        <v>0.8</v>
      </c>
      <c r="AA681" s="658">
        <f t="shared" si="5"/>
        <v>0</v>
      </c>
      <c r="AB681" s="658">
        <f t="shared" si="5"/>
        <v>0</v>
      </c>
      <c r="AC681" s="658">
        <f t="shared" si="5"/>
        <v>0</v>
      </c>
      <c r="AD681" s="658">
        <f t="shared" si="4"/>
        <v>0</v>
      </c>
    </row>
    <row r="682" spans="1:30" s="679" customFormat="1" ht="112.5">
      <c r="A682" s="650">
        <v>117</v>
      </c>
      <c r="B682" s="678"/>
      <c r="C682" s="656"/>
      <c r="D682" s="656"/>
      <c r="E682" s="656"/>
      <c r="F682" s="656"/>
      <c r="G682" s="656"/>
      <c r="H682" s="656" t="s">
        <v>91</v>
      </c>
      <c r="I682" s="656"/>
      <c r="J682" s="723" t="s">
        <v>691</v>
      </c>
      <c r="K682" s="724">
        <v>0.72199999999999998</v>
      </c>
      <c r="L682" s="725" t="s">
        <v>692</v>
      </c>
      <c r="M682" s="656"/>
      <c r="N682" s="656"/>
      <c r="O682" s="656"/>
      <c r="P682" s="656"/>
      <c r="Q682" s="656"/>
      <c r="R682" s="655" t="s">
        <v>91</v>
      </c>
      <c r="S682" s="656" t="s">
        <v>24</v>
      </c>
      <c r="T682" s="656">
        <v>1</v>
      </c>
      <c r="U682" s="656"/>
      <c r="V682" s="656"/>
      <c r="W682" s="656"/>
      <c r="X682" s="656"/>
      <c r="Z682" s="658">
        <f t="shared" si="5"/>
        <v>0.72199999999999998</v>
      </c>
      <c r="AA682" s="658">
        <f t="shared" si="5"/>
        <v>0</v>
      </c>
      <c r="AB682" s="658">
        <f t="shared" si="5"/>
        <v>0</v>
      </c>
      <c r="AC682" s="658">
        <f t="shared" si="5"/>
        <v>0</v>
      </c>
      <c r="AD682" s="658">
        <f t="shared" si="4"/>
        <v>0</v>
      </c>
    </row>
    <row r="683" spans="1:30" s="679" customFormat="1" ht="112.5">
      <c r="A683" s="650">
        <v>118</v>
      </c>
      <c r="B683" s="678"/>
      <c r="C683" s="656"/>
      <c r="D683" s="656"/>
      <c r="E683" s="656"/>
      <c r="F683" s="656"/>
      <c r="G683" s="656"/>
      <c r="H683" s="656" t="s">
        <v>91</v>
      </c>
      <c r="I683" s="656"/>
      <c r="J683" s="723" t="s">
        <v>691</v>
      </c>
      <c r="K683" s="724">
        <v>0.72199999999999998</v>
      </c>
      <c r="L683" s="726" t="s">
        <v>693</v>
      </c>
      <c r="M683" s="656"/>
      <c r="N683" s="656"/>
      <c r="O683" s="656"/>
      <c r="P683" s="656"/>
      <c r="Q683" s="656"/>
      <c r="R683" s="655" t="s">
        <v>91</v>
      </c>
      <c r="S683" s="656" t="s">
        <v>24</v>
      </c>
      <c r="T683" s="656">
        <v>1</v>
      </c>
      <c r="U683" s="656"/>
      <c r="V683" s="656"/>
      <c r="W683" s="656"/>
      <c r="X683" s="656"/>
      <c r="Z683" s="658">
        <f t="shared" si="5"/>
        <v>0.72199999999999998</v>
      </c>
      <c r="AA683" s="658">
        <f t="shared" si="5"/>
        <v>0</v>
      </c>
      <c r="AB683" s="658">
        <f t="shared" si="5"/>
        <v>0</v>
      </c>
      <c r="AC683" s="658">
        <f t="shared" si="5"/>
        <v>0</v>
      </c>
      <c r="AD683" s="658">
        <f t="shared" si="4"/>
        <v>0</v>
      </c>
    </row>
    <row r="684" spans="1:30" s="679" customFormat="1" ht="112.5">
      <c r="A684" s="650">
        <v>119</v>
      </c>
      <c r="B684" s="678"/>
      <c r="C684" s="656"/>
      <c r="D684" s="656"/>
      <c r="E684" s="656"/>
      <c r="F684" s="656"/>
      <c r="G684" s="656"/>
      <c r="H684" s="656" t="s">
        <v>91</v>
      </c>
      <c r="I684" s="656"/>
      <c r="J684" s="723" t="s">
        <v>691</v>
      </c>
      <c r="K684" s="724">
        <v>0.72199999999999998</v>
      </c>
      <c r="L684" s="726" t="s">
        <v>694</v>
      </c>
      <c r="M684" s="656"/>
      <c r="N684" s="656"/>
      <c r="O684" s="656"/>
      <c r="P684" s="656"/>
      <c r="Q684" s="656"/>
      <c r="R684" s="655" t="s">
        <v>91</v>
      </c>
      <c r="S684" s="656" t="s">
        <v>24</v>
      </c>
      <c r="T684" s="656">
        <v>1</v>
      </c>
      <c r="U684" s="656"/>
      <c r="V684" s="656"/>
      <c r="W684" s="656"/>
      <c r="X684" s="656"/>
      <c r="Z684" s="658">
        <f t="shared" si="5"/>
        <v>0.72199999999999998</v>
      </c>
      <c r="AA684" s="658">
        <f t="shared" si="5"/>
        <v>0</v>
      </c>
      <c r="AB684" s="658">
        <f t="shared" si="5"/>
        <v>0</v>
      </c>
      <c r="AC684" s="658">
        <f t="shared" si="5"/>
        <v>0</v>
      </c>
      <c r="AD684" s="658">
        <f t="shared" si="4"/>
        <v>0</v>
      </c>
    </row>
    <row r="685" spans="1:30" s="679" customFormat="1" ht="112.5">
      <c r="A685" s="650">
        <v>120</v>
      </c>
      <c r="B685" s="678"/>
      <c r="C685" s="656"/>
      <c r="D685" s="656"/>
      <c r="E685" s="656"/>
      <c r="F685" s="656"/>
      <c r="G685" s="656"/>
      <c r="H685" s="656" t="s">
        <v>91</v>
      </c>
      <c r="I685" s="656"/>
      <c r="J685" s="723" t="s">
        <v>691</v>
      </c>
      <c r="K685" s="724">
        <v>0.72199999999999998</v>
      </c>
      <c r="L685" s="726" t="s">
        <v>695</v>
      </c>
      <c r="M685" s="656"/>
      <c r="N685" s="656"/>
      <c r="O685" s="656"/>
      <c r="P685" s="656"/>
      <c r="Q685" s="656"/>
      <c r="R685" s="655" t="s">
        <v>91</v>
      </c>
      <c r="S685" s="656" t="s">
        <v>24</v>
      </c>
      <c r="T685" s="656"/>
      <c r="U685" s="656">
        <v>1</v>
      </c>
      <c r="V685" s="656"/>
      <c r="W685" s="656"/>
      <c r="X685" s="656"/>
      <c r="Z685" s="658">
        <f t="shared" si="5"/>
        <v>0</v>
      </c>
      <c r="AA685" s="658">
        <f t="shared" si="5"/>
        <v>0.72199999999999998</v>
      </c>
      <c r="AB685" s="658">
        <f t="shared" si="5"/>
        <v>0</v>
      </c>
      <c r="AC685" s="658">
        <f t="shared" si="5"/>
        <v>0</v>
      </c>
      <c r="AD685" s="658">
        <f t="shared" si="4"/>
        <v>0</v>
      </c>
    </row>
    <row r="686" spans="1:30" s="679" customFormat="1" ht="112.5">
      <c r="A686" s="650">
        <v>121</v>
      </c>
      <c r="B686" s="678"/>
      <c r="C686" s="656"/>
      <c r="D686" s="656"/>
      <c r="E686" s="656"/>
      <c r="F686" s="656"/>
      <c r="G686" s="656"/>
      <c r="H686" s="656" t="s">
        <v>91</v>
      </c>
      <c r="I686" s="656"/>
      <c r="J686" s="723" t="s">
        <v>691</v>
      </c>
      <c r="K686" s="724">
        <v>0.72199999999999998</v>
      </c>
      <c r="L686" s="726" t="s">
        <v>696</v>
      </c>
      <c r="M686" s="656"/>
      <c r="N686" s="656"/>
      <c r="O686" s="656"/>
      <c r="P686" s="656"/>
      <c r="Q686" s="656"/>
      <c r="R686" s="655" t="s">
        <v>91</v>
      </c>
      <c r="S686" s="656" t="s">
        <v>24</v>
      </c>
      <c r="T686" s="656"/>
      <c r="U686" s="656">
        <v>1</v>
      </c>
      <c r="V686" s="656"/>
      <c r="W686" s="656"/>
      <c r="X686" s="656"/>
      <c r="Z686" s="658">
        <f t="shared" si="5"/>
        <v>0</v>
      </c>
      <c r="AA686" s="658">
        <f t="shared" si="5"/>
        <v>0.72199999999999998</v>
      </c>
      <c r="AB686" s="658">
        <f t="shared" si="5"/>
        <v>0</v>
      </c>
      <c r="AC686" s="658">
        <f t="shared" si="5"/>
        <v>0</v>
      </c>
      <c r="AD686" s="658">
        <f t="shared" si="4"/>
        <v>0</v>
      </c>
    </row>
    <row r="687" spans="1:30" s="679" customFormat="1" ht="112.5">
      <c r="A687" s="650">
        <v>122</v>
      </c>
      <c r="B687" s="678"/>
      <c r="C687" s="656"/>
      <c r="D687" s="656"/>
      <c r="E687" s="656"/>
      <c r="F687" s="656"/>
      <c r="G687" s="656"/>
      <c r="H687" s="656" t="s">
        <v>91</v>
      </c>
      <c r="I687" s="656"/>
      <c r="J687" s="723" t="s">
        <v>691</v>
      </c>
      <c r="K687" s="724">
        <v>0.85</v>
      </c>
      <c r="L687" s="726" t="s">
        <v>697</v>
      </c>
      <c r="M687" s="656"/>
      <c r="N687" s="656"/>
      <c r="O687" s="656"/>
      <c r="P687" s="656"/>
      <c r="Q687" s="656"/>
      <c r="R687" s="655" t="s">
        <v>91</v>
      </c>
      <c r="S687" s="656" t="s">
        <v>24</v>
      </c>
      <c r="T687" s="656"/>
      <c r="U687" s="656">
        <v>1</v>
      </c>
      <c r="V687" s="656"/>
      <c r="W687" s="656"/>
      <c r="X687" s="656"/>
      <c r="Z687" s="658">
        <f t="shared" si="5"/>
        <v>0</v>
      </c>
      <c r="AA687" s="658">
        <f t="shared" si="5"/>
        <v>0.85</v>
      </c>
      <c r="AB687" s="658">
        <f t="shared" si="5"/>
        <v>0</v>
      </c>
      <c r="AC687" s="658">
        <f t="shared" si="5"/>
        <v>0</v>
      </c>
      <c r="AD687" s="658">
        <f t="shared" si="4"/>
        <v>0</v>
      </c>
    </row>
    <row r="688" spans="1:30" s="679" customFormat="1" ht="112.5">
      <c r="A688" s="650">
        <v>123</v>
      </c>
      <c r="B688" s="678"/>
      <c r="C688" s="656"/>
      <c r="D688" s="656"/>
      <c r="E688" s="656"/>
      <c r="F688" s="656"/>
      <c r="G688" s="656"/>
      <c r="H688" s="656" t="s">
        <v>91</v>
      </c>
      <c r="I688" s="656"/>
      <c r="J688" s="723" t="s">
        <v>691</v>
      </c>
      <c r="K688" s="724">
        <v>0.72199999999999998</v>
      </c>
      <c r="L688" s="726" t="s">
        <v>698</v>
      </c>
      <c r="M688" s="656"/>
      <c r="N688" s="656"/>
      <c r="O688" s="656"/>
      <c r="P688" s="656"/>
      <c r="Q688" s="656"/>
      <c r="R688" s="655" t="s">
        <v>91</v>
      </c>
      <c r="S688" s="656" t="s">
        <v>24</v>
      </c>
      <c r="T688" s="656"/>
      <c r="U688" s="656"/>
      <c r="V688" s="656">
        <v>1</v>
      </c>
      <c r="W688" s="656"/>
      <c r="X688" s="656"/>
      <c r="Z688" s="658">
        <f t="shared" si="5"/>
        <v>0</v>
      </c>
      <c r="AA688" s="658">
        <f t="shared" si="5"/>
        <v>0</v>
      </c>
      <c r="AB688" s="658">
        <f t="shared" si="5"/>
        <v>0.72199999999999998</v>
      </c>
      <c r="AC688" s="658">
        <f t="shared" si="5"/>
        <v>0</v>
      </c>
      <c r="AD688" s="658">
        <f t="shared" si="4"/>
        <v>0</v>
      </c>
    </row>
    <row r="689" spans="1:30" s="679" customFormat="1" ht="112.5">
      <c r="A689" s="650">
        <v>124</v>
      </c>
      <c r="B689" s="678"/>
      <c r="C689" s="656"/>
      <c r="D689" s="656"/>
      <c r="E689" s="656"/>
      <c r="F689" s="656"/>
      <c r="G689" s="656"/>
      <c r="H689" s="656" t="s">
        <v>91</v>
      </c>
      <c r="I689" s="656"/>
      <c r="J689" s="723" t="s">
        <v>691</v>
      </c>
      <c r="K689" s="724">
        <v>0.72199999999999998</v>
      </c>
      <c r="L689" s="726" t="s">
        <v>699</v>
      </c>
      <c r="M689" s="656"/>
      <c r="N689" s="656"/>
      <c r="O689" s="656"/>
      <c r="P689" s="656"/>
      <c r="Q689" s="656"/>
      <c r="R689" s="655" t="s">
        <v>91</v>
      </c>
      <c r="S689" s="656" t="s">
        <v>24</v>
      </c>
      <c r="T689" s="656"/>
      <c r="U689" s="656"/>
      <c r="V689" s="656">
        <v>1</v>
      </c>
      <c r="W689" s="656"/>
      <c r="X689" s="656"/>
      <c r="Z689" s="658">
        <f t="shared" si="5"/>
        <v>0</v>
      </c>
      <c r="AA689" s="658">
        <f t="shared" si="5"/>
        <v>0</v>
      </c>
      <c r="AB689" s="658">
        <f t="shared" si="5"/>
        <v>0.72199999999999998</v>
      </c>
      <c r="AC689" s="658">
        <f t="shared" si="5"/>
        <v>0</v>
      </c>
      <c r="AD689" s="658">
        <f t="shared" si="4"/>
        <v>0</v>
      </c>
    </row>
    <row r="690" spans="1:30" s="679" customFormat="1" ht="112.5">
      <c r="A690" s="650">
        <v>125</v>
      </c>
      <c r="B690" s="678"/>
      <c r="C690" s="656"/>
      <c r="D690" s="656"/>
      <c r="E690" s="656"/>
      <c r="F690" s="656"/>
      <c r="G690" s="656"/>
      <c r="H690" s="656" t="s">
        <v>91</v>
      </c>
      <c r="I690" s="656"/>
      <c r="J690" s="723" t="s">
        <v>691</v>
      </c>
      <c r="K690" s="724">
        <v>0.72199999999999998</v>
      </c>
      <c r="L690" s="726" t="s">
        <v>700</v>
      </c>
      <c r="M690" s="656"/>
      <c r="N690" s="656"/>
      <c r="O690" s="656"/>
      <c r="P690" s="656"/>
      <c r="Q690" s="656"/>
      <c r="R690" s="655" t="s">
        <v>91</v>
      </c>
      <c r="S690" s="656" t="s">
        <v>24</v>
      </c>
      <c r="T690" s="656"/>
      <c r="U690" s="656"/>
      <c r="V690" s="656">
        <v>1</v>
      </c>
      <c r="W690" s="656"/>
      <c r="X690" s="656"/>
      <c r="Z690" s="658">
        <f t="shared" si="5"/>
        <v>0</v>
      </c>
      <c r="AA690" s="658">
        <f t="shared" si="5"/>
        <v>0</v>
      </c>
      <c r="AB690" s="658">
        <f t="shared" si="5"/>
        <v>0.72199999999999998</v>
      </c>
      <c r="AC690" s="658">
        <f t="shared" si="5"/>
        <v>0</v>
      </c>
      <c r="AD690" s="658">
        <f t="shared" si="4"/>
        <v>0</v>
      </c>
    </row>
    <row r="691" spans="1:30" s="679" customFormat="1" ht="112.5">
      <c r="A691" s="650">
        <v>126</v>
      </c>
      <c r="B691" s="678"/>
      <c r="C691" s="656"/>
      <c r="D691" s="656"/>
      <c r="E691" s="656"/>
      <c r="F691" s="656"/>
      <c r="G691" s="656"/>
      <c r="H691" s="656" t="s">
        <v>91</v>
      </c>
      <c r="I691" s="656"/>
      <c r="J691" s="723" t="s">
        <v>691</v>
      </c>
      <c r="K691" s="724">
        <v>0.85</v>
      </c>
      <c r="L691" s="726" t="s">
        <v>701</v>
      </c>
      <c r="M691" s="656"/>
      <c r="N691" s="656"/>
      <c r="O691" s="656"/>
      <c r="P691" s="656"/>
      <c r="Q691" s="656"/>
      <c r="R691" s="655" t="s">
        <v>91</v>
      </c>
      <c r="S691" s="656" t="s">
        <v>24</v>
      </c>
      <c r="T691" s="656"/>
      <c r="U691" s="656"/>
      <c r="V691" s="656"/>
      <c r="W691" s="656">
        <v>1</v>
      </c>
      <c r="X691" s="656"/>
      <c r="Z691" s="658">
        <f t="shared" si="5"/>
        <v>0</v>
      </c>
      <c r="AA691" s="658">
        <f t="shared" si="5"/>
        <v>0</v>
      </c>
      <c r="AB691" s="658">
        <f t="shared" si="5"/>
        <v>0</v>
      </c>
      <c r="AC691" s="658">
        <f t="shared" si="5"/>
        <v>0.85</v>
      </c>
      <c r="AD691" s="658">
        <f t="shared" si="4"/>
        <v>0</v>
      </c>
    </row>
    <row r="692" spans="1:30" s="679" customFormat="1" ht="112.5">
      <c r="A692" s="650">
        <v>127</v>
      </c>
      <c r="B692" s="678"/>
      <c r="C692" s="656"/>
      <c r="D692" s="656"/>
      <c r="E692" s="656"/>
      <c r="F692" s="656"/>
      <c r="G692" s="656"/>
      <c r="H692" s="656" t="s">
        <v>91</v>
      </c>
      <c r="I692" s="656"/>
      <c r="J692" s="723" t="s">
        <v>691</v>
      </c>
      <c r="K692" s="724">
        <v>0.85</v>
      </c>
      <c r="L692" s="726" t="s">
        <v>702</v>
      </c>
      <c r="M692" s="656"/>
      <c r="N692" s="656"/>
      <c r="O692" s="656"/>
      <c r="P692" s="656"/>
      <c r="Q692" s="656"/>
      <c r="R692" s="655" t="s">
        <v>91</v>
      </c>
      <c r="S692" s="656" t="s">
        <v>24</v>
      </c>
      <c r="T692" s="656"/>
      <c r="U692" s="656"/>
      <c r="V692" s="656"/>
      <c r="W692" s="656">
        <v>1</v>
      </c>
      <c r="X692" s="656"/>
      <c r="Z692" s="658">
        <f t="shared" si="5"/>
        <v>0</v>
      </c>
      <c r="AA692" s="658">
        <f t="shared" si="5"/>
        <v>0</v>
      </c>
      <c r="AB692" s="658">
        <f t="shared" si="5"/>
        <v>0</v>
      </c>
      <c r="AC692" s="658">
        <f t="shared" si="5"/>
        <v>0.85</v>
      </c>
      <c r="AD692" s="658">
        <f t="shared" si="4"/>
        <v>0</v>
      </c>
    </row>
    <row r="693" spans="1:30" s="679" customFormat="1" ht="112.5">
      <c r="A693" s="650">
        <v>128</v>
      </c>
      <c r="B693" s="678"/>
      <c r="C693" s="656"/>
      <c r="D693" s="656"/>
      <c r="E693" s="656"/>
      <c r="F693" s="656"/>
      <c r="G693" s="656"/>
      <c r="H693" s="656" t="s">
        <v>91</v>
      </c>
      <c r="I693" s="656"/>
      <c r="J693" s="723" t="s">
        <v>691</v>
      </c>
      <c r="K693" s="724">
        <v>0.85</v>
      </c>
      <c r="L693" s="726" t="s">
        <v>703</v>
      </c>
      <c r="M693" s="656"/>
      <c r="N693" s="656"/>
      <c r="O693" s="656"/>
      <c r="P693" s="656"/>
      <c r="Q693" s="656"/>
      <c r="R693" s="655" t="s">
        <v>91</v>
      </c>
      <c r="S693" s="656" t="s">
        <v>24</v>
      </c>
      <c r="T693" s="656"/>
      <c r="U693" s="656"/>
      <c r="V693" s="656"/>
      <c r="W693" s="656">
        <v>1</v>
      </c>
      <c r="X693" s="656"/>
      <c r="Z693" s="658">
        <f t="shared" si="5"/>
        <v>0</v>
      </c>
      <c r="AA693" s="658">
        <f t="shared" si="5"/>
        <v>0</v>
      </c>
      <c r="AB693" s="658">
        <f t="shared" si="5"/>
        <v>0</v>
      </c>
      <c r="AC693" s="658">
        <f t="shared" si="5"/>
        <v>0.85</v>
      </c>
      <c r="AD693" s="658">
        <f t="shared" si="4"/>
        <v>0</v>
      </c>
    </row>
    <row r="694" spans="1:30" s="679" customFormat="1" ht="112.5">
      <c r="A694" s="650">
        <v>129</v>
      </c>
      <c r="B694" s="678"/>
      <c r="C694" s="656"/>
      <c r="D694" s="656"/>
      <c r="E694" s="656"/>
      <c r="F694" s="656"/>
      <c r="G694" s="656"/>
      <c r="H694" s="656" t="s">
        <v>91</v>
      </c>
      <c r="I694" s="656"/>
      <c r="J694" s="723" t="s">
        <v>691</v>
      </c>
      <c r="K694" s="724">
        <v>0.85</v>
      </c>
      <c r="L694" s="726" t="s">
        <v>704</v>
      </c>
      <c r="M694" s="656"/>
      <c r="N694" s="656"/>
      <c r="O694" s="656"/>
      <c r="P694" s="656"/>
      <c r="Q694" s="656"/>
      <c r="R694" s="655" t="s">
        <v>91</v>
      </c>
      <c r="S694" s="656" t="s">
        <v>24</v>
      </c>
      <c r="T694" s="656"/>
      <c r="U694" s="656"/>
      <c r="V694" s="656"/>
      <c r="W694" s="656"/>
      <c r="X694" s="656">
        <v>1</v>
      </c>
      <c r="Z694" s="658">
        <f t="shared" si="5"/>
        <v>0</v>
      </c>
      <c r="AA694" s="658">
        <f t="shared" si="5"/>
        <v>0</v>
      </c>
      <c r="AB694" s="658">
        <f t="shared" si="5"/>
        <v>0</v>
      </c>
      <c r="AC694" s="658">
        <f t="shared" si="5"/>
        <v>0</v>
      </c>
      <c r="AD694" s="658">
        <f t="shared" si="4"/>
        <v>0.85</v>
      </c>
    </row>
    <row r="695" spans="1:30" s="679" customFormat="1" ht="112.5">
      <c r="A695" s="650">
        <v>130</v>
      </c>
      <c r="B695" s="678"/>
      <c r="C695" s="656"/>
      <c r="D695" s="656"/>
      <c r="E695" s="656"/>
      <c r="F695" s="656"/>
      <c r="G695" s="656"/>
      <c r="H695" s="656" t="s">
        <v>91</v>
      </c>
      <c r="I695" s="656"/>
      <c r="J695" s="723" t="s">
        <v>691</v>
      </c>
      <c r="K695" s="724">
        <v>0.85</v>
      </c>
      <c r="L695" s="726" t="s">
        <v>705</v>
      </c>
      <c r="M695" s="656"/>
      <c r="N695" s="656"/>
      <c r="O695" s="656"/>
      <c r="P695" s="656"/>
      <c r="Q695" s="656"/>
      <c r="R695" s="655" t="s">
        <v>91</v>
      </c>
      <c r="S695" s="656" t="s">
        <v>24</v>
      </c>
      <c r="T695" s="656"/>
      <c r="U695" s="656"/>
      <c r="V695" s="656"/>
      <c r="W695" s="656"/>
      <c r="X695" s="656">
        <v>1</v>
      </c>
      <c r="Z695" s="658">
        <f t="shared" si="5"/>
        <v>0</v>
      </c>
      <c r="AA695" s="658">
        <f t="shared" si="5"/>
        <v>0</v>
      </c>
      <c r="AB695" s="658">
        <f t="shared" si="5"/>
        <v>0</v>
      </c>
      <c r="AC695" s="658">
        <f t="shared" si="5"/>
        <v>0</v>
      </c>
      <c r="AD695" s="658">
        <f t="shared" si="4"/>
        <v>0.85</v>
      </c>
    </row>
    <row r="696" spans="1:30" s="679" customFormat="1" ht="112.5">
      <c r="A696" s="650">
        <v>131</v>
      </c>
      <c r="B696" s="678"/>
      <c r="C696" s="656"/>
      <c r="D696" s="656"/>
      <c r="E696" s="656"/>
      <c r="F696" s="656"/>
      <c r="G696" s="656"/>
      <c r="H696" s="656" t="s">
        <v>91</v>
      </c>
      <c r="I696" s="656"/>
      <c r="J696" s="723" t="s">
        <v>691</v>
      </c>
      <c r="K696" s="724">
        <v>0.85</v>
      </c>
      <c r="L696" s="723" t="s">
        <v>706</v>
      </c>
      <c r="M696" s="656"/>
      <c r="N696" s="656"/>
      <c r="O696" s="656"/>
      <c r="P696" s="656"/>
      <c r="Q696" s="656"/>
      <c r="R696" s="655" t="s">
        <v>91</v>
      </c>
      <c r="S696" s="656" t="s">
        <v>24</v>
      </c>
      <c r="T696" s="656"/>
      <c r="U696" s="656"/>
      <c r="V696" s="656"/>
      <c r="W696" s="656"/>
      <c r="X696" s="656">
        <v>1</v>
      </c>
      <c r="Z696" s="658">
        <f t="shared" si="5"/>
        <v>0</v>
      </c>
      <c r="AA696" s="658">
        <f t="shared" si="5"/>
        <v>0</v>
      </c>
      <c r="AB696" s="658">
        <f t="shared" si="5"/>
        <v>0</v>
      </c>
      <c r="AC696" s="658">
        <f t="shared" si="5"/>
        <v>0</v>
      </c>
      <c r="AD696" s="658">
        <f t="shared" si="4"/>
        <v>0.85</v>
      </c>
    </row>
    <row r="697" spans="1:30" s="679" customFormat="1" ht="56.25">
      <c r="A697" s="650">
        <v>132</v>
      </c>
      <c r="B697" s="678"/>
      <c r="C697" s="656"/>
      <c r="D697" s="656"/>
      <c r="E697" s="656"/>
      <c r="F697" s="656"/>
      <c r="G697" s="656"/>
      <c r="H697" s="656" t="s">
        <v>91</v>
      </c>
      <c r="I697" s="656"/>
      <c r="J697" s="719" t="s">
        <v>707</v>
      </c>
      <c r="K697" s="720">
        <v>0.89600000000000002</v>
      </c>
      <c r="L697" s="152" t="s">
        <v>618</v>
      </c>
      <c r="M697" s="656"/>
      <c r="N697" s="656"/>
      <c r="O697" s="656"/>
      <c r="P697" s="656"/>
      <c r="Q697" s="656"/>
      <c r="R697" s="655" t="s">
        <v>91</v>
      </c>
      <c r="S697" s="656" t="s">
        <v>24</v>
      </c>
      <c r="T697" s="656"/>
      <c r="U697" s="656"/>
      <c r="V697" s="656"/>
      <c r="W697" s="656"/>
      <c r="X697" s="656">
        <v>1</v>
      </c>
      <c r="Z697" s="658">
        <f t="shared" si="5"/>
        <v>0</v>
      </c>
      <c r="AA697" s="658">
        <f t="shared" si="5"/>
        <v>0</v>
      </c>
      <c r="AB697" s="658">
        <f t="shared" si="5"/>
        <v>0</v>
      </c>
      <c r="AC697" s="658">
        <f t="shared" si="5"/>
        <v>0</v>
      </c>
      <c r="AD697" s="658">
        <f t="shared" si="4"/>
        <v>0.89600000000000002</v>
      </c>
    </row>
    <row r="698" spans="1:30" s="71" customFormat="1">
      <c r="A698" s="214"/>
      <c r="B698" s="215"/>
      <c r="C698" s="216"/>
      <c r="D698" s="216"/>
      <c r="E698" s="216"/>
      <c r="F698" s="216"/>
      <c r="G698" s="216"/>
      <c r="H698" s="216"/>
      <c r="I698" s="216"/>
      <c r="J698" s="85"/>
      <c r="K698" s="217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</row>
    <row r="699" spans="1:30" s="71" customFormat="1">
      <c r="A699" s="214"/>
      <c r="B699" s="215"/>
      <c r="C699" s="216"/>
      <c r="D699" s="216"/>
      <c r="E699" s="216"/>
      <c r="F699" s="216"/>
      <c r="G699" s="216"/>
      <c r="H699" s="216"/>
      <c r="I699" s="216"/>
      <c r="J699" s="85"/>
      <c r="K699" s="217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</row>
    <row r="700" spans="1:30" s="71" customFormat="1">
      <c r="A700" s="214"/>
      <c r="B700" s="215"/>
      <c r="C700" s="216"/>
      <c r="D700" s="216"/>
      <c r="E700" s="216"/>
      <c r="F700" s="216"/>
      <c r="G700" s="216"/>
      <c r="H700" s="216"/>
      <c r="I700" s="216"/>
      <c r="J700" s="85"/>
      <c r="K700" s="217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</row>
    <row r="701" spans="1:30" s="71" customFormat="1">
      <c r="A701" s="214"/>
      <c r="B701" s="215"/>
      <c r="C701" s="216"/>
      <c r="D701" s="216"/>
      <c r="E701" s="216"/>
      <c r="F701" s="216"/>
      <c r="G701" s="216"/>
      <c r="H701" s="216"/>
      <c r="I701" s="216"/>
      <c r="J701" s="85"/>
      <c r="K701" s="217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</row>
    <row r="702" spans="1:30" s="71" customFormat="1">
      <c r="A702" s="214"/>
      <c r="B702" s="215"/>
      <c r="C702" s="216"/>
      <c r="D702" s="216"/>
      <c r="E702" s="216"/>
      <c r="F702" s="216"/>
      <c r="G702" s="216"/>
      <c r="H702" s="216"/>
      <c r="I702" s="216"/>
      <c r="J702" s="85"/>
      <c r="K702" s="217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</row>
    <row r="703" spans="1:30" s="71" customFormat="1">
      <c r="A703" s="214"/>
      <c r="B703" s="215"/>
      <c r="C703" s="216"/>
      <c r="D703" s="216"/>
      <c r="E703" s="216"/>
      <c r="F703" s="216"/>
      <c r="G703" s="216"/>
      <c r="H703" s="216"/>
      <c r="I703" s="216"/>
      <c r="J703" s="85"/>
      <c r="K703" s="217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</row>
    <row r="704" spans="1:30" s="71" customFormat="1">
      <c r="A704" s="214"/>
      <c r="B704" s="215"/>
      <c r="C704" s="216"/>
      <c r="D704" s="216"/>
      <c r="E704" s="216"/>
      <c r="F704" s="216"/>
      <c r="G704" s="216"/>
      <c r="H704" s="216"/>
      <c r="I704" s="216"/>
      <c r="J704" s="85"/>
      <c r="K704" s="217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</row>
    <row r="705" spans="1:24" s="71" customFormat="1">
      <c r="A705" s="214"/>
      <c r="B705" s="215"/>
      <c r="C705" s="216"/>
      <c r="D705" s="216"/>
      <c r="E705" s="216"/>
      <c r="F705" s="216"/>
      <c r="G705" s="216"/>
      <c r="H705" s="216"/>
      <c r="I705" s="216"/>
      <c r="J705" s="85"/>
      <c r="K705" s="217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</row>
    <row r="706" spans="1:24" s="71" customFormat="1" ht="16.5" customHeight="1">
      <c r="A706" s="214"/>
      <c r="B706" s="215"/>
      <c r="C706" s="216"/>
      <c r="D706" s="216"/>
      <c r="E706" s="216"/>
      <c r="F706" s="216"/>
      <c r="G706" s="216"/>
      <c r="H706" s="216"/>
      <c r="I706" s="216"/>
      <c r="J706" s="85"/>
      <c r="K706" s="217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</row>
    <row r="707" spans="1:24" s="71" customFormat="1">
      <c r="A707" s="214"/>
      <c r="B707" s="215"/>
      <c r="C707" s="216"/>
      <c r="D707" s="216"/>
      <c r="E707" s="216"/>
      <c r="F707" s="216"/>
      <c r="G707" s="216"/>
      <c r="H707" s="216"/>
      <c r="I707" s="216"/>
      <c r="J707" s="85"/>
      <c r="K707" s="217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</row>
    <row r="708" spans="1:24" s="71" customFormat="1">
      <c r="A708" s="214"/>
      <c r="B708" s="215"/>
      <c r="C708" s="216"/>
      <c r="D708" s="216"/>
      <c r="E708" s="216"/>
      <c r="F708" s="216"/>
      <c r="G708" s="216"/>
      <c r="H708" s="216"/>
      <c r="I708" s="216"/>
      <c r="J708" s="85"/>
      <c r="K708" s="217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</row>
    <row r="709" spans="1:24" s="71" customFormat="1">
      <c r="A709" s="214"/>
      <c r="B709" s="215"/>
      <c r="C709" s="216"/>
      <c r="D709" s="216"/>
      <c r="E709" s="216"/>
      <c r="F709" s="216"/>
      <c r="G709" s="216"/>
      <c r="H709" s="216"/>
      <c r="I709" s="216"/>
      <c r="J709" s="85"/>
      <c r="K709" s="217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</row>
    <row r="710" spans="1:24" s="71" customFormat="1">
      <c r="A710" s="214"/>
      <c r="B710" s="215"/>
      <c r="C710" s="216"/>
      <c r="D710" s="216"/>
      <c r="E710" s="216"/>
      <c r="F710" s="216"/>
      <c r="G710" s="216"/>
      <c r="H710" s="216"/>
      <c r="I710" s="216"/>
      <c r="J710" s="85"/>
      <c r="K710" s="217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</row>
    <row r="711" spans="1:24" s="71" customFormat="1">
      <c r="A711" s="214"/>
      <c r="B711" s="215"/>
      <c r="C711" s="216"/>
      <c r="D711" s="216"/>
      <c r="E711" s="216"/>
      <c r="F711" s="216"/>
      <c r="G711" s="216"/>
      <c r="H711" s="216"/>
      <c r="I711" s="216"/>
      <c r="J711" s="85"/>
      <c r="K711" s="217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</row>
    <row r="712" spans="1:24" s="71" customFormat="1">
      <c r="A712" s="214"/>
      <c r="B712" s="215"/>
      <c r="C712" s="216"/>
      <c r="D712" s="216"/>
      <c r="E712" s="216"/>
      <c r="F712" s="216"/>
      <c r="G712" s="216"/>
      <c r="H712" s="216"/>
      <c r="I712" s="216"/>
      <c r="J712" s="85"/>
      <c r="K712" s="217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</row>
    <row r="713" spans="1:24" s="71" customFormat="1">
      <c r="A713" s="214"/>
      <c r="B713" s="215"/>
      <c r="C713" s="216"/>
      <c r="D713" s="216"/>
      <c r="E713" s="216"/>
      <c r="F713" s="216"/>
      <c r="G713" s="216"/>
      <c r="H713" s="216"/>
      <c r="I713" s="216"/>
      <c r="J713" s="85"/>
      <c r="K713" s="217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</row>
    <row r="714" spans="1:24" s="71" customFormat="1">
      <c r="A714" s="214"/>
      <c r="B714" s="215"/>
      <c r="C714" s="216"/>
      <c r="D714" s="216"/>
      <c r="E714" s="216"/>
      <c r="F714" s="216"/>
      <c r="G714" s="216"/>
      <c r="H714" s="216"/>
      <c r="I714" s="216"/>
      <c r="J714" s="85"/>
      <c r="K714" s="217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</row>
    <row r="715" spans="1:24" s="71" customFormat="1">
      <c r="A715" s="214"/>
      <c r="B715" s="215"/>
      <c r="C715" s="216"/>
      <c r="D715" s="216"/>
      <c r="E715" s="216"/>
      <c r="F715" s="216"/>
      <c r="G715" s="216"/>
      <c r="H715" s="216"/>
      <c r="I715" s="216"/>
      <c r="J715" s="85"/>
      <c r="K715" s="217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</row>
    <row r="716" spans="1:24" s="71" customFormat="1">
      <c r="A716" s="214"/>
      <c r="B716" s="215"/>
      <c r="C716" s="216"/>
      <c r="D716" s="216"/>
      <c r="E716" s="216"/>
      <c r="F716" s="216"/>
      <c r="G716" s="216"/>
      <c r="H716" s="216"/>
      <c r="I716" s="216"/>
      <c r="J716" s="85"/>
      <c r="K716" s="217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</row>
    <row r="717" spans="1:24" s="71" customFormat="1">
      <c r="A717" s="214"/>
      <c r="B717" s="215"/>
      <c r="C717" s="216"/>
      <c r="D717" s="216"/>
      <c r="E717" s="216"/>
      <c r="F717" s="216"/>
      <c r="G717" s="216"/>
      <c r="H717" s="216"/>
      <c r="I717" s="216"/>
      <c r="J717" s="85"/>
      <c r="K717" s="217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</row>
    <row r="718" spans="1:24" s="71" customFormat="1">
      <c r="A718" s="214"/>
      <c r="B718" s="215"/>
      <c r="C718" s="216"/>
      <c r="D718" s="216"/>
      <c r="E718" s="216"/>
      <c r="F718" s="216"/>
      <c r="G718" s="216"/>
      <c r="H718" s="216"/>
      <c r="I718" s="216"/>
      <c r="J718" s="85"/>
      <c r="K718" s="217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</row>
    <row r="719" spans="1:24" s="71" customFormat="1">
      <c r="A719" s="214"/>
      <c r="B719" s="215"/>
      <c r="C719" s="216"/>
      <c r="D719" s="216"/>
      <c r="E719" s="216"/>
      <c r="F719" s="216"/>
      <c r="G719" s="216"/>
      <c r="H719" s="216"/>
      <c r="I719" s="216"/>
      <c r="J719" s="85"/>
      <c r="K719" s="217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</row>
    <row r="720" spans="1:24" s="71" customFormat="1">
      <c r="A720" s="214"/>
      <c r="B720" s="215"/>
      <c r="C720" s="216"/>
      <c r="D720" s="216"/>
      <c r="E720" s="216"/>
      <c r="F720" s="216"/>
      <c r="G720" s="216"/>
      <c r="H720" s="216"/>
      <c r="I720" s="216"/>
      <c r="J720" s="85"/>
      <c r="K720" s="217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</row>
    <row r="721" spans="1:24" s="71" customFormat="1">
      <c r="A721" s="214"/>
      <c r="B721" s="215"/>
      <c r="C721" s="216"/>
      <c r="D721" s="216"/>
      <c r="E721" s="216"/>
      <c r="F721" s="216"/>
      <c r="G721" s="216"/>
      <c r="H721" s="216"/>
      <c r="I721" s="216"/>
      <c r="J721" s="85"/>
      <c r="K721" s="217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</row>
    <row r="722" spans="1:24" s="71" customFormat="1">
      <c r="A722" s="214"/>
      <c r="B722" s="215"/>
      <c r="C722" s="216"/>
      <c r="D722" s="216"/>
      <c r="E722" s="216"/>
      <c r="F722" s="216"/>
      <c r="G722" s="216"/>
      <c r="H722" s="216"/>
      <c r="I722" s="216"/>
      <c r="J722" s="85"/>
      <c r="K722" s="217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</row>
    <row r="723" spans="1:24" s="71" customFormat="1">
      <c r="A723" s="214"/>
      <c r="B723" s="215"/>
      <c r="C723" s="216"/>
      <c r="D723" s="216"/>
      <c r="E723" s="216"/>
      <c r="F723" s="216"/>
      <c r="G723" s="216"/>
      <c r="H723" s="216"/>
      <c r="I723" s="216"/>
      <c r="J723" s="85"/>
      <c r="K723" s="217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</row>
    <row r="724" spans="1:24" s="71" customFormat="1">
      <c r="A724" s="214"/>
      <c r="B724" s="215"/>
      <c r="C724" s="216"/>
      <c r="D724" s="216"/>
      <c r="E724" s="216"/>
      <c r="F724" s="216"/>
      <c r="G724" s="216"/>
      <c r="H724" s="216"/>
      <c r="I724" s="216"/>
      <c r="J724" s="85"/>
      <c r="K724" s="217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</row>
    <row r="725" spans="1:24" s="71" customFormat="1">
      <c r="A725" s="214"/>
      <c r="B725" s="215"/>
      <c r="C725" s="216"/>
      <c r="D725" s="216"/>
      <c r="E725" s="216"/>
      <c r="F725" s="216"/>
      <c r="G725" s="216"/>
      <c r="H725" s="216"/>
      <c r="I725" s="216"/>
      <c r="J725" s="85"/>
      <c r="K725" s="217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</row>
    <row r="726" spans="1:24" s="71" customFormat="1">
      <c r="A726" s="214"/>
      <c r="B726" s="215"/>
      <c r="C726" s="216"/>
      <c r="D726" s="216"/>
      <c r="E726" s="216"/>
      <c r="F726" s="216"/>
      <c r="G726" s="216"/>
      <c r="H726" s="216"/>
      <c r="I726" s="216"/>
      <c r="J726" s="85"/>
      <c r="K726" s="217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</row>
    <row r="727" spans="1:24" s="71" customFormat="1">
      <c r="A727" s="214"/>
      <c r="B727" s="215"/>
      <c r="C727" s="216"/>
      <c r="D727" s="216"/>
      <c r="E727" s="216"/>
      <c r="F727" s="216"/>
      <c r="G727" s="216"/>
      <c r="H727" s="216"/>
      <c r="I727" s="216"/>
      <c r="J727" s="85"/>
      <c r="K727" s="217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</row>
    <row r="728" spans="1:24" s="71" customFormat="1">
      <c r="A728" s="214"/>
      <c r="B728" s="215"/>
      <c r="C728" s="216"/>
      <c r="D728" s="216"/>
      <c r="E728" s="216"/>
      <c r="F728" s="216"/>
      <c r="G728" s="216"/>
      <c r="H728" s="216"/>
      <c r="I728" s="216"/>
      <c r="J728" s="85"/>
      <c r="K728" s="217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</row>
    <row r="729" spans="1:24" s="71" customFormat="1">
      <c r="A729" s="214"/>
      <c r="B729" s="215"/>
      <c r="C729" s="216"/>
      <c r="D729" s="216"/>
      <c r="E729" s="216"/>
      <c r="F729" s="216"/>
      <c r="G729" s="216"/>
      <c r="H729" s="216"/>
      <c r="I729" s="216"/>
      <c r="J729" s="85"/>
      <c r="K729" s="217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</row>
    <row r="730" spans="1:24" s="71" customFormat="1">
      <c r="A730" s="214"/>
      <c r="B730" s="215"/>
      <c r="C730" s="216"/>
      <c r="D730" s="216"/>
      <c r="E730" s="216"/>
      <c r="F730" s="216"/>
      <c r="G730" s="216"/>
      <c r="H730" s="216"/>
      <c r="I730" s="216"/>
      <c r="J730" s="85"/>
      <c r="K730" s="217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</row>
    <row r="731" spans="1:24" s="71" customFormat="1">
      <c r="A731" s="214"/>
      <c r="B731" s="215"/>
      <c r="C731" s="216"/>
      <c r="D731" s="216"/>
      <c r="E731" s="216"/>
      <c r="F731" s="216"/>
      <c r="G731" s="216"/>
      <c r="H731" s="216"/>
      <c r="I731" s="216"/>
      <c r="J731" s="85"/>
      <c r="K731" s="217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</row>
    <row r="732" spans="1:24" s="71" customFormat="1">
      <c r="A732" s="214"/>
      <c r="B732" s="215"/>
      <c r="C732" s="216"/>
      <c r="D732" s="216"/>
      <c r="E732" s="216"/>
      <c r="F732" s="216"/>
      <c r="G732" s="216"/>
      <c r="H732" s="216"/>
      <c r="I732" s="216"/>
      <c r="J732" s="85"/>
      <c r="K732" s="217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</row>
    <row r="733" spans="1:24" s="71" customFormat="1">
      <c r="A733" s="214"/>
      <c r="B733" s="215"/>
      <c r="C733" s="216"/>
      <c r="D733" s="216"/>
      <c r="E733" s="216"/>
      <c r="F733" s="216"/>
      <c r="G733" s="216"/>
      <c r="H733" s="216"/>
      <c r="I733" s="216"/>
      <c r="J733" s="85"/>
      <c r="K733" s="217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</row>
    <row r="734" spans="1:24" s="71" customFormat="1">
      <c r="A734" s="214"/>
      <c r="B734" s="215"/>
      <c r="C734" s="216"/>
      <c r="D734" s="216"/>
      <c r="E734" s="216"/>
      <c r="F734" s="216"/>
      <c r="G734" s="216"/>
      <c r="H734" s="216"/>
      <c r="I734" s="216"/>
      <c r="J734" s="85"/>
      <c r="K734" s="217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</row>
    <row r="735" spans="1:24" s="71" customFormat="1">
      <c r="A735" s="214"/>
      <c r="B735" s="215"/>
      <c r="C735" s="216"/>
      <c r="D735" s="216"/>
      <c r="E735" s="216"/>
      <c r="F735" s="216"/>
      <c r="G735" s="216"/>
      <c r="H735" s="216"/>
      <c r="I735" s="216"/>
      <c r="J735" s="85"/>
      <c r="K735" s="217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</row>
    <row r="736" spans="1:24" s="71" customFormat="1">
      <c r="A736" s="214"/>
      <c r="B736" s="215"/>
      <c r="C736" s="216"/>
      <c r="D736" s="216"/>
      <c r="E736" s="216"/>
      <c r="F736" s="216"/>
      <c r="G736" s="216"/>
      <c r="H736" s="216"/>
      <c r="I736" s="216"/>
      <c r="J736" s="85"/>
      <c r="K736" s="217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</row>
    <row r="737" spans="1:24" s="71" customFormat="1">
      <c r="A737" s="214"/>
      <c r="B737" s="215"/>
      <c r="C737" s="216"/>
      <c r="D737" s="216"/>
      <c r="E737" s="216"/>
      <c r="F737" s="216"/>
      <c r="G737" s="216"/>
      <c r="H737" s="216"/>
      <c r="I737" s="216"/>
      <c r="J737" s="85"/>
      <c r="K737" s="217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</row>
    <row r="738" spans="1:24" s="71" customFormat="1">
      <c r="A738" s="214"/>
      <c r="B738" s="215"/>
      <c r="C738" s="216"/>
      <c r="D738" s="216"/>
      <c r="E738" s="216"/>
      <c r="F738" s="216"/>
      <c r="G738" s="216"/>
      <c r="H738" s="216"/>
      <c r="I738" s="216"/>
      <c r="J738" s="85"/>
      <c r="K738" s="217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  <c r="W738" s="216"/>
      <c r="X738" s="216"/>
    </row>
    <row r="739" spans="1:24" s="71" customFormat="1">
      <c r="A739" s="214"/>
      <c r="B739" s="215"/>
      <c r="C739" s="216"/>
      <c r="D739" s="216"/>
      <c r="E739" s="216"/>
      <c r="F739" s="216"/>
      <c r="G739" s="216"/>
      <c r="H739" s="216"/>
      <c r="I739" s="216"/>
      <c r="J739" s="85"/>
      <c r="K739" s="217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</row>
    <row r="740" spans="1:24" s="71" customFormat="1">
      <c r="A740" s="214"/>
      <c r="B740" s="215"/>
      <c r="C740" s="216"/>
      <c r="D740" s="216"/>
      <c r="E740" s="216"/>
      <c r="F740" s="216"/>
      <c r="G740" s="216"/>
      <c r="H740" s="216"/>
      <c r="I740" s="216"/>
      <c r="J740" s="85"/>
      <c r="K740" s="217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</row>
    <row r="741" spans="1:24" s="71" customFormat="1">
      <c r="A741" s="214"/>
      <c r="B741" s="215"/>
      <c r="C741" s="216"/>
      <c r="D741" s="216"/>
      <c r="E741" s="216"/>
      <c r="F741" s="216"/>
      <c r="G741" s="216"/>
      <c r="H741" s="216"/>
      <c r="I741" s="216"/>
      <c r="J741" s="85"/>
      <c r="K741" s="217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</row>
    <row r="742" spans="1:24" s="71" customFormat="1">
      <c r="A742" s="214"/>
      <c r="B742" s="215"/>
      <c r="C742" s="216"/>
      <c r="D742" s="216"/>
      <c r="E742" s="216"/>
      <c r="F742" s="216"/>
      <c r="G742" s="216"/>
      <c r="H742" s="216"/>
      <c r="I742" s="216"/>
      <c r="J742" s="85"/>
      <c r="K742" s="217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</row>
    <row r="743" spans="1:24" s="71" customFormat="1">
      <c r="A743" s="214"/>
      <c r="B743" s="215"/>
      <c r="C743" s="216"/>
      <c r="D743" s="216"/>
      <c r="E743" s="216"/>
      <c r="F743" s="216"/>
      <c r="G743" s="216"/>
      <c r="H743" s="216"/>
      <c r="I743" s="216"/>
      <c r="J743" s="85"/>
      <c r="K743" s="217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</row>
    <row r="744" spans="1:24" s="71" customFormat="1">
      <c r="A744" s="214"/>
      <c r="B744" s="215"/>
      <c r="C744" s="216"/>
      <c r="D744" s="216"/>
      <c r="E744" s="216"/>
      <c r="F744" s="216"/>
      <c r="G744" s="216"/>
      <c r="H744" s="216"/>
      <c r="I744" s="216"/>
      <c r="J744" s="85"/>
      <c r="K744" s="217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</row>
    <row r="745" spans="1:24" s="71" customFormat="1">
      <c r="A745" s="214"/>
      <c r="B745" s="215"/>
      <c r="C745" s="216"/>
      <c r="D745" s="216"/>
      <c r="E745" s="216"/>
      <c r="F745" s="216"/>
      <c r="G745" s="216"/>
      <c r="H745" s="216"/>
      <c r="I745" s="216"/>
      <c r="J745" s="85"/>
      <c r="K745" s="217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</row>
    <row r="746" spans="1:24" s="71" customFormat="1">
      <c r="A746" s="214"/>
      <c r="B746" s="215"/>
      <c r="C746" s="216"/>
      <c r="D746" s="216"/>
      <c r="E746" s="216"/>
      <c r="F746" s="216"/>
      <c r="G746" s="216"/>
      <c r="H746" s="216"/>
      <c r="I746" s="216"/>
      <c r="J746" s="85"/>
      <c r="K746" s="217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</row>
    <row r="747" spans="1:24" s="71" customFormat="1">
      <c r="A747" s="214"/>
      <c r="B747" s="215"/>
      <c r="C747" s="216"/>
      <c r="D747" s="216"/>
      <c r="E747" s="216"/>
      <c r="F747" s="216"/>
      <c r="G747" s="216"/>
      <c r="H747" s="216"/>
      <c r="I747" s="216"/>
      <c r="J747" s="85"/>
      <c r="K747" s="217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</row>
    <row r="748" spans="1:24" s="71" customFormat="1">
      <c r="A748" s="214"/>
      <c r="B748" s="215"/>
      <c r="C748" s="216"/>
      <c r="D748" s="216"/>
      <c r="E748" s="216"/>
      <c r="F748" s="216"/>
      <c r="G748" s="216"/>
      <c r="H748" s="216"/>
      <c r="I748" s="216"/>
      <c r="J748" s="85"/>
      <c r="K748" s="217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</row>
    <row r="749" spans="1:24" s="71" customFormat="1">
      <c r="A749" s="214"/>
      <c r="B749" s="215"/>
      <c r="C749" s="216"/>
      <c r="D749" s="216"/>
      <c r="E749" s="216"/>
      <c r="F749" s="216"/>
      <c r="G749" s="216"/>
      <c r="H749" s="216"/>
      <c r="I749" s="216"/>
      <c r="J749" s="85"/>
      <c r="K749" s="217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</row>
    <row r="750" spans="1:24" s="71" customFormat="1">
      <c r="A750" s="214"/>
      <c r="B750" s="215"/>
      <c r="C750" s="216"/>
      <c r="D750" s="216"/>
      <c r="E750" s="216"/>
      <c r="F750" s="216"/>
      <c r="G750" s="216"/>
      <c r="H750" s="216"/>
      <c r="I750" s="216"/>
      <c r="J750" s="85"/>
      <c r="K750" s="217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</row>
    <row r="751" spans="1:24" s="71" customFormat="1">
      <c r="A751" s="214"/>
      <c r="B751" s="215"/>
      <c r="C751" s="216"/>
      <c r="D751" s="216"/>
      <c r="E751" s="216"/>
      <c r="F751" s="216"/>
      <c r="G751" s="216"/>
      <c r="H751" s="216"/>
      <c r="I751" s="216"/>
      <c r="J751" s="85"/>
      <c r="K751" s="217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</row>
    <row r="752" spans="1:24" s="71" customFormat="1">
      <c r="A752" s="214"/>
      <c r="B752" s="215"/>
      <c r="C752" s="216"/>
      <c r="D752" s="216"/>
      <c r="E752" s="216"/>
      <c r="F752" s="216"/>
      <c r="G752" s="216"/>
      <c r="H752" s="216"/>
      <c r="I752" s="216"/>
      <c r="J752" s="85"/>
      <c r="K752" s="217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</row>
    <row r="753" spans="1:24" s="71" customFormat="1">
      <c r="A753" s="214"/>
      <c r="B753" s="215"/>
      <c r="C753" s="216"/>
      <c r="D753" s="216"/>
      <c r="E753" s="216"/>
      <c r="F753" s="216"/>
      <c r="G753" s="216"/>
      <c r="H753" s="216"/>
      <c r="I753" s="216"/>
      <c r="J753" s="85"/>
      <c r="K753" s="217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</row>
    <row r="754" spans="1:24" s="71" customFormat="1">
      <c r="A754" s="214"/>
      <c r="B754" s="215"/>
      <c r="C754" s="216"/>
      <c r="D754" s="216"/>
      <c r="E754" s="216"/>
      <c r="F754" s="216"/>
      <c r="G754" s="216"/>
      <c r="H754" s="216"/>
      <c r="I754" s="216"/>
      <c r="J754" s="85"/>
      <c r="K754" s="217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</row>
    <row r="755" spans="1:24" s="71" customFormat="1">
      <c r="A755" s="214"/>
      <c r="B755" s="215"/>
      <c r="C755" s="216"/>
      <c r="D755" s="216"/>
      <c r="E755" s="216"/>
      <c r="F755" s="216"/>
      <c r="G755" s="216"/>
      <c r="H755" s="216"/>
      <c r="I755" s="216"/>
      <c r="J755" s="85"/>
      <c r="K755" s="217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</row>
    <row r="756" spans="1:24" s="71" customFormat="1">
      <c r="A756" s="214"/>
      <c r="B756" s="215"/>
      <c r="C756" s="216"/>
      <c r="D756" s="216"/>
      <c r="E756" s="216"/>
      <c r="F756" s="216"/>
      <c r="G756" s="216"/>
      <c r="H756" s="216"/>
      <c r="I756" s="216"/>
      <c r="J756" s="85"/>
      <c r="K756" s="217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</row>
    <row r="757" spans="1:24" s="71" customFormat="1">
      <c r="A757" s="214"/>
      <c r="B757" s="215"/>
      <c r="C757" s="216"/>
      <c r="D757" s="216"/>
      <c r="E757" s="216"/>
      <c r="F757" s="216"/>
      <c r="G757" s="216"/>
      <c r="H757" s="216"/>
      <c r="I757" s="216"/>
      <c r="J757" s="85"/>
      <c r="K757" s="217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</row>
    <row r="758" spans="1:24" s="71" customFormat="1">
      <c r="A758" s="214"/>
      <c r="B758" s="215"/>
      <c r="C758" s="216"/>
      <c r="D758" s="216"/>
      <c r="E758" s="216"/>
      <c r="F758" s="216"/>
      <c r="G758" s="216"/>
      <c r="H758" s="216"/>
      <c r="I758" s="216"/>
      <c r="J758" s="85"/>
      <c r="K758" s="217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</row>
    <row r="759" spans="1:24" s="71" customFormat="1">
      <c r="A759" s="214"/>
      <c r="B759" s="215"/>
      <c r="C759" s="216"/>
      <c r="D759" s="216"/>
      <c r="E759" s="216"/>
      <c r="F759" s="216"/>
      <c r="G759" s="216"/>
      <c r="H759" s="216"/>
      <c r="I759" s="216"/>
      <c r="J759" s="85"/>
      <c r="K759" s="217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</row>
    <row r="760" spans="1:24" s="71" customFormat="1">
      <c r="A760" s="214"/>
      <c r="B760" s="215"/>
      <c r="C760" s="216"/>
      <c r="D760" s="216"/>
      <c r="E760" s="216"/>
      <c r="F760" s="216"/>
      <c r="G760" s="216"/>
      <c r="H760" s="216"/>
      <c r="I760" s="216"/>
      <c r="J760" s="85"/>
      <c r="K760" s="217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</row>
    <row r="761" spans="1:24" s="71" customFormat="1">
      <c r="A761" s="214"/>
      <c r="B761" s="215"/>
      <c r="C761" s="216"/>
      <c r="D761" s="216"/>
      <c r="E761" s="216"/>
      <c r="F761" s="216"/>
      <c r="G761" s="216"/>
      <c r="H761" s="216"/>
      <c r="I761" s="216"/>
      <c r="J761" s="85"/>
      <c r="K761" s="217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</row>
    <row r="762" spans="1:24" s="71" customFormat="1">
      <c r="A762" s="214"/>
      <c r="B762" s="215"/>
      <c r="C762" s="216"/>
      <c r="D762" s="216"/>
      <c r="E762" s="216"/>
      <c r="F762" s="216"/>
      <c r="G762" s="216"/>
      <c r="H762" s="216"/>
      <c r="I762" s="216"/>
      <c r="J762" s="85"/>
      <c r="K762" s="217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</row>
    <row r="763" spans="1:24" s="71" customFormat="1">
      <c r="A763" s="214"/>
      <c r="B763" s="215"/>
      <c r="C763" s="216"/>
      <c r="D763" s="216"/>
      <c r="E763" s="216"/>
      <c r="F763" s="216"/>
      <c r="G763" s="216"/>
      <c r="H763" s="216"/>
      <c r="I763" s="216"/>
      <c r="J763" s="85"/>
      <c r="K763" s="217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</row>
    <row r="764" spans="1:24" s="71" customFormat="1">
      <c r="A764" s="214"/>
      <c r="B764" s="215"/>
      <c r="C764" s="216"/>
      <c r="D764" s="216"/>
      <c r="E764" s="216"/>
      <c r="F764" s="216"/>
      <c r="G764" s="216"/>
      <c r="H764" s="216"/>
      <c r="I764" s="216"/>
      <c r="J764" s="85"/>
      <c r="K764" s="217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</row>
    <row r="765" spans="1:24" s="71" customFormat="1">
      <c r="A765" s="214"/>
      <c r="B765" s="215"/>
      <c r="C765" s="216"/>
      <c r="D765" s="216"/>
      <c r="E765" s="216"/>
      <c r="F765" s="216"/>
      <c r="G765" s="216"/>
      <c r="H765" s="216"/>
      <c r="I765" s="216"/>
      <c r="J765" s="85"/>
      <c r="K765" s="217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</row>
    <row r="766" spans="1:24" s="71" customFormat="1">
      <c r="A766" s="214"/>
      <c r="B766" s="215"/>
      <c r="C766" s="216"/>
      <c r="D766" s="216"/>
      <c r="E766" s="216"/>
      <c r="F766" s="216"/>
      <c r="G766" s="216"/>
      <c r="H766" s="216"/>
      <c r="I766" s="216"/>
      <c r="J766" s="85"/>
      <c r="K766" s="217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</row>
    <row r="767" spans="1:24" s="71" customFormat="1">
      <c r="A767" s="214"/>
      <c r="B767" s="215"/>
      <c r="C767" s="216"/>
      <c r="D767" s="216"/>
      <c r="E767" s="216"/>
      <c r="F767" s="216"/>
      <c r="G767" s="216"/>
      <c r="H767" s="216"/>
      <c r="I767" s="216"/>
      <c r="J767" s="85"/>
      <c r="K767" s="217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</row>
    <row r="768" spans="1:24" s="71" customFormat="1">
      <c r="A768" s="214"/>
      <c r="B768" s="215"/>
      <c r="C768" s="216"/>
      <c r="D768" s="216"/>
      <c r="E768" s="216"/>
      <c r="F768" s="216"/>
      <c r="G768" s="216"/>
      <c r="H768" s="216"/>
      <c r="I768" s="216"/>
      <c r="J768" s="85"/>
      <c r="K768" s="217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</row>
    <row r="769" spans="1:24" ht="23.25" customHeight="1">
      <c r="A769" s="47">
        <v>1</v>
      </c>
      <c r="B769" s="48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23.25" customHeight="1">
      <c r="A770" s="49">
        <v>2</v>
      </c>
      <c r="B770" s="50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</row>
    <row r="771" spans="1:24" ht="23.25" customHeight="1">
      <c r="A771" s="49">
        <v>3</v>
      </c>
      <c r="B771" s="50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</row>
    <row r="772" spans="1:24" ht="23.25" customHeight="1">
      <c r="A772" s="49">
        <v>4</v>
      </c>
      <c r="B772" s="50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</row>
    <row r="773" spans="1:24" ht="23.25" customHeight="1">
      <c r="A773" s="49">
        <v>5</v>
      </c>
      <c r="B773" s="50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</row>
    <row r="774" spans="1:24" ht="23.25" customHeight="1">
      <c r="A774" s="49">
        <v>6</v>
      </c>
      <c r="B774" s="50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</row>
    <row r="775" spans="1:24" ht="23.25" customHeight="1">
      <c r="A775" s="49">
        <v>7</v>
      </c>
      <c r="B775" s="50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</row>
    <row r="776" spans="1:24" ht="23.25" customHeight="1">
      <c r="A776" s="49">
        <v>8</v>
      </c>
      <c r="B776" s="50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</row>
    <row r="777" spans="1:24" ht="23.25" customHeight="1">
      <c r="A777" s="49">
        <v>9</v>
      </c>
      <c r="B777" s="50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</row>
    <row r="778" spans="1:24" ht="23.25" customHeight="1">
      <c r="A778" s="49">
        <v>10</v>
      </c>
      <c r="B778" s="50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</row>
    <row r="779" spans="1:24" ht="23.25" customHeight="1">
      <c r="A779" s="49">
        <v>11</v>
      </c>
      <c r="B779" s="50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</row>
    <row r="780" spans="1:24" ht="23.25" customHeight="1">
      <c r="A780" s="49">
        <v>12</v>
      </c>
      <c r="B780" s="50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</row>
    <row r="781" spans="1:24" ht="23.25" customHeight="1">
      <c r="A781" s="49">
        <v>13</v>
      </c>
      <c r="B781" s="50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</row>
    <row r="782" spans="1:24" ht="23.25" customHeight="1">
      <c r="A782" s="49">
        <v>14</v>
      </c>
      <c r="B782" s="50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</row>
    <row r="783" spans="1:24" ht="23.25" customHeight="1">
      <c r="A783" s="49">
        <v>15</v>
      </c>
      <c r="B783" s="50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</row>
    <row r="784" spans="1:24" ht="23.25" customHeight="1">
      <c r="A784" s="49">
        <v>16</v>
      </c>
      <c r="B784" s="50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</row>
    <row r="785" spans="1:24" ht="23.25" customHeight="1">
      <c r="A785" s="49">
        <v>17</v>
      </c>
      <c r="B785" s="50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</row>
    <row r="786" spans="1:24" ht="23.25" customHeight="1">
      <c r="A786" s="51">
        <v>18</v>
      </c>
      <c r="B786" s="52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24" ht="19.5" customHeight="1"/>
    <row r="788" spans="1:24" ht="19.5" customHeight="1"/>
    <row r="789" spans="1:24" ht="19.5" customHeight="1"/>
    <row r="790" spans="1:24" ht="19.5" customHeight="1"/>
    <row r="791" spans="1:24" ht="19.5" customHeight="1"/>
    <row r="792" spans="1:24" ht="19.5" customHeight="1"/>
    <row r="793" spans="1:24" ht="19.5" customHeight="1"/>
    <row r="794" spans="1:24" ht="19.5" customHeight="1"/>
  </sheetData>
  <mergeCells count="8">
    <mergeCell ref="M3:R3"/>
    <mergeCell ref="S3:S4"/>
    <mergeCell ref="T3:X3"/>
    <mergeCell ref="A3:A4"/>
    <mergeCell ref="B3:I3"/>
    <mergeCell ref="J3:J4"/>
    <mergeCell ref="K3:K4"/>
    <mergeCell ref="L3:L4"/>
  </mergeCells>
  <pageMargins left="0.23622047244094491" right="3.937007874015748E-2" top="0.59055118110236227" bottom="0.55118110236220474" header="0.31496062992125984" footer="0.31496062992125984"/>
  <pageSetup paperSize="9" scale="9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31"/>
  <sheetViews>
    <sheetView zoomScale="80" zoomScaleNormal="80" workbookViewId="0">
      <pane ySplit="6" topLeftCell="A166" activePane="bottomLeft" state="frozen"/>
      <selection pane="bottomLeft" activeCell="F166" sqref="F166:J166"/>
    </sheetView>
  </sheetViews>
  <sheetFormatPr defaultColWidth="7" defaultRowHeight="18.75"/>
  <cols>
    <col min="1" max="1" width="4" style="115" bestFit="1" customWidth="1"/>
    <col min="2" max="2" width="4.625" style="210" bestFit="1" customWidth="1"/>
    <col min="3" max="3" width="25.125" style="115" customWidth="1"/>
    <col min="4" max="4" width="14.75" style="211" customWidth="1"/>
    <col min="5" max="5" width="7" style="183" bestFit="1" customWidth="1"/>
    <col min="6" max="6" width="11.375" style="183" customWidth="1"/>
    <col min="7" max="7" width="11.875" style="183" customWidth="1"/>
    <col min="8" max="8" width="12.25" style="183" customWidth="1"/>
    <col min="9" max="9" width="12" style="183" customWidth="1"/>
    <col min="10" max="10" width="11.625" style="183" customWidth="1"/>
    <col min="11" max="11" width="12" style="212" customWidth="1"/>
    <col min="12" max="12" width="12" style="649" customWidth="1"/>
    <col min="13" max="13" width="8.5" style="213" bestFit="1" customWidth="1"/>
    <col min="14" max="14" width="6.625" style="210" customWidth="1"/>
    <col min="15" max="15" width="8.5" style="210" customWidth="1"/>
    <col min="16" max="16" width="8.625" style="210" customWidth="1"/>
    <col min="17" max="17" width="12.875" style="210" customWidth="1"/>
    <col min="18" max="18" width="13.25" style="186" hidden="1" customWidth="1"/>
    <col min="19" max="19" width="13" style="186" hidden="1" customWidth="1"/>
    <col min="20" max="20" width="10" style="186" hidden="1" customWidth="1"/>
    <col min="21" max="21" width="17.5" style="186" hidden="1" customWidth="1"/>
    <col min="22" max="22" width="30.625" style="115" bestFit="1" customWidth="1"/>
    <col min="23" max="260" width="7" style="115"/>
    <col min="261" max="261" width="4" style="115" bestFit="1" customWidth="1"/>
    <col min="262" max="262" width="4.625" style="115" bestFit="1" customWidth="1"/>
    <col min="263" max="263" width="25.125" style="115" customWidth="1"/>
    <col min="264" max="264" width="11.75" style="115" customWidth="1"/>
    <col min="265" max="265" width="7" style="115" bestFit="1" customWidth="1"/>
    <col min="266" max="266" width="9.125" style="115" customWidth="1"/>
    <col min="267" max="267" width="10" style="115" bestFit="1" customWidth="1"/>
    <col min="268" max="268" width="10.375" style="115" bestFit="1" customWidth="1"/>
    <col min="269" max="269" width="8.5" style="115" bestFit="1" customWidth="1"/>
    <col min="270" max="270" width="7.5" style="115" customWidth="1"/>
    <col min="271" max="271" width="6.5" style="115" customWidth="1"/>
    <col min="272" max="272" width="8.625" style="115" customWidth="1"/>
    <col min="273" max="273" width="12.875" style="115" customWidth="1"/>
    <col min="274" max="274" width="13.25" style="115" customWidth="1"/>
    <col min="275" max="275" width="13" style="115" bestFit="1" customWidth="1"/>
    <col min="276" max="276" width="10" style="115" bestFit="1" customWidth="1"/>
    <col min="277" max="277" width="17.5" style="115" bestFit="1" customWidth="1"/>
    <col min="278" max="516" width="7" style="115"/>
    <col min="517" max="517" width="4" style="115" bestFit="1" customWidth="1"/>
    <col min="518" max="518" width="4.625" style="115" bestFit="1" customWidth="1"/>
    <col min="519" max="519" width="25.125" style="115" customWidth="1"/>
    <col min="520" max="520" width="11.75" style="115" customWidth="1"/>
    <col min="521" max="521" width="7" style="115" bestFit="1" customWidth="1"/>
    <col min="522" max="522" width="9.125" style="115" customWidth="1"/>
    <col min="523" max="523" width="10" style="115" bestFit="1" customWidth="1"/>
    <col min="524" max="524" width="10.375" style="115" bestFit="1" customWidth="1"/>
    <col min="525" max="525" width="8.5" style="115" bestFit="1" customWidth="1"/>
    <col min="526" max="526" width="7.5" style="115" customWidth="1"/>
    <col min="527" max="527" width="6.5" style="115" customWidth="1"/>
    <col min="528" max="528" width="8.625" style="115" customWidth="1"/>
    <col min="529" max="529" width="12.875" style="115" customWidth="1"/>
    <col min="530" max="530" width="13.25" style="115" customWidth="1"/>
    <col min="531" max="531" width="13" style="115" bestFit="1" customWidth="1"/>
    <col min="532" max="532" width="10" style="115" bestFit="1" customWidth="1"/>
    <col min="533" max="533" width="17.5" style="115" bestFit="1" customWidth="1"/>
    <col min="534" max="772" width="7" style="115"/>
    <col min="773" max="773" width="4" style="115" bestFit="1" customWidth="1"/>
    <col min="774" max="774" width="4.625" style="115" bestFit="1" customWidth="1"/>
    <col min="775" max="775" width="25.125" style="115" customWidth="1"/>
    <col min="776" max="776" width="11.75" style="115" customWidth="1"/>
    <col min="777" max="777" width="7" style="115" bestFit="1" customWidth="1"/>
    <col min="778" max="778" width="9.125" style="115" customWidth="1"/>
    <col min="779" max="779" width="10" style="115" bestFit="1" customWidth="1"/>
    <col min="780" max="780" width="10.375" style="115" bestFit="1" customWidth="1"/>
    <col min="781" max="781" width="8.5" style="115" bestFit="1" customWidth="1"/>
    <col min="782" max="782" width="7.5" style="115" customWidth="1"/>
    <col min="783" max="783" width="6.5" style="115" customWidth="1"/>
    <col min="784" max="784" width="8.625" style="115" customWidth="1"/>
    <col min="785" max="785" width="12.875" style="115" customWidth="1"/>
    <col min="786" max="786" width="13.25" style="115" customWidth="1"/>
    <col min="787" max="787" width="13" style="115" bestFit="1" customWidth="1"/>
    <col min="788" max="788" width="10" style="115" bestFit="1" customWidth="1"/>
    <col min="789" max="789" width="17.5" style="115" bestFit="1" customWidth="1"/>
    <col min="790" max="1028" width="7" style="115"/>
    <col min="1029" max="1029" width="4" style="115" bestFit="1" customWidth="1"/>
    <col min="1030" max="1030" width="4.625" style="115" bestFit="1" customWidth="1"/>
    <col min="1031" max="1031" width="25.125" style="115" customWidth="1"/>
    <col min="1032" max="1032" width="11.75" style="115" customWidth="1"/>
    <col min="1033" max="1033" width="7" style="115" bestFit="1" customWidth="1"/>
    <col min="1034" max="1034" width="9.125" style="115" customWidth="1"/>
    <col min="1035" max="1035" width="10" style="115" bestFit="1" customWidth="1"/>
    <col min="1036" max="1036" width="10.375" style="115" bestFit="1" customWidth="1"/>
    <col min="1037" max="1037" width="8.5" style="115" bestFit="1" customWidth="1"/>
    <col min="1038" max="1038" width="7.5" style="115" customWidth="1"/>
    <col min="1039" max="1039" width="6.5" style="115" customWidth="1"/>
    <col min="1040" max="1040" width="8.625" style="115" customWidth="1"/>
    <col min="1041" max="1041" width="12.875" style="115" customWidth="1"/>
    <col min="1042" max="1042" width="13.25" style="115" customWidth="1"/>
    <col min="1043" max="1043" width="13" style="115" bestFit="1" customWidth="1"/>
    <col min="1044" max="1044" width="10" style="115" bestFit="1" customWidth="1"/>
    <col min="1045" max="1045" width="17.5" style="115" bestFit="1" customWidth="1"/>
    <col min="1046" max="1284" width="7" style="115"/>
    <col min="1285" max="1285" width="4" style="115" bestFit="1" customWidth="1"/>
    <col min="1286" max="1286" width="4.625" style="115" bestFit="1" customWidth="1"/>
    <col min="1287" max="1287" width="25.125" style="115" customWidth="1"/>
    <col min="1288" max="1288" width="11.75" style="115" customWidth="1"/>
    <col min="1289" max="1289" width="7" style="115" bestFit="1" customWidth="1"/>
    <col min="1290" max="1290" width="9.125" style="115" customWidth="1"/>
    <col min="1291" max="1291" width="10" style="115" bestFit="1" customWidth="1"/>
    <col min="1292" max="1292" width="10.375" style="115" bestFit="1" customWidth="1"/>
    <col min="1293" max="1293" width="8.5" style="115" bestFit="1" customWidth="1"/>
    <col min="1294" max="1294" width="7.5" style="115" customWidth="1"/>
    <col min="1295" max="1295" width="6.5" style="115" customWidth="1"/>
    <col min="1296" max="1296" width="8.625" style="115" customWidth="1"/>
    <col min="1297" max="1297" width="12.875" style="115" customWidth="1"/>
    <col min="1298" max="1298" width="13.25" style="115" customWidth="1"/>
    <col min="1299" max="1299" width="13" style="115" bestFit="1" customWidth="1"/>
    <col min="1300" max="1300" width="10" style="115" bestFit="1" customWidth="1"/>
    <col min="1301" max="1301" width="17.5" style="115" bestFit="1" customWidth="1"/>
    <col min="1302" max="1540" width="7" style="115"/>
    <col min="1541" max="1541" width="4" style="115" bestFit="1" customWidth="1"/>
    <col min="1542" max="1542" width="4.625" style="115" bestFit="1" customWidth="1"/>
    <col min="1543" max="1543" width="25.125" style="115" customWidth="1"/>
    <col min="1544" max="1544" width="11.75" style="115" customWidth="1"/>
    <col min="1545" max="1545" width="7" style="115" bestFit="1" customWidth="1"/>
    <col min="1546" max="1546" width="9.125" style="115" customWidth="1"/>
    <col min="1547" max="1547" width="10" style="115" bestFit="1" customWidth="1"/>
    <col min="1548" max="1548" width="10.375" style="115" bestFit="1" customWidth="1"/>
    <col min="1549" max="1549" width="8.5" style="115" bestFit="1" customWidth="1"/>
    <col min="1550" max="1550" width="7.5" style="115" customWidth="1"/>
    <col min="1551" max="1551" width="6.5" style="115" customWidth="1"/>
    <col min="1552" max="1552" width="8.625" style="115" customWidth="1"/>
    <col min="1553" max="1553" width="12.875" style="115" customWidth="1"/>
    <col min="1554" max="1554" width="13.25" style="115" customWidth="1"/>
    <col min="1555" max="1555" width="13" style="115" bestFit="1" customWidth="1"/>
    <col min="1556" max="1556" width="10" style="115" bestFit="1" customWidth="1"/>
    <col min="1557" max="1557" width="17.5" style="115" bestFit="1" customWidth="1"/>
    <col min="1558" max="1796" width="7" style="115"/>
    <col min="1797" max="1797" width="4" style="115" bestFit="1" customWidth="1"/>
    <col min="1798" max="1798" width="4.625" style="115" bestFit="1" customWidth="1"/>
    <col min="1799" max="1799" width="25.125" style="115" customWidth="1"/>
    <col min="1800" max="1800" width="11.75" style="115" customWidth="1"/>
    <col min="1801" max="1801" width="7" style="115" bestFit="1" customWidth="1"/>
    <col min="1802" max="1802" width="9.125" style="115" customWidth="1"/>
    <col min="1803" max="1803" width="10" style="115" bestFit="1" customWidth="1"/>
    <col min="1804" max="1804" width="10.375" style="115" bestFit="1" customWidth="1"/>
    <col min="1805" max="1805" width="8.5" style="115" bestFit="1" customWidth="1"/>
    <col min="1806" max="1806" width="7.5" style="115" customWidth="1"/>
    <col min="1807" max="1807" width="6.5" style="115" customWidth="1"/>
    <col min="1808" max="1808" width="8.625" style="115" customWidth="1"/>
    <col min="1809" max="1809" width="12.875" style="115" customWidth="1"/>
    <col min="1810" max="1810" width="13.25" style="115" customWidth="1"/>
    <col min="1811" max="1811" width="13" style="115" bestFit="1" customWidth="1"/>
    <col min="1812" max="1812" width="10" style="115" bestFit="1" customWidth="1"/>
    <col min="1813" max="1813" width="17.5" style="115" bestFit="1" customWidth="1"/>
    <col min="1814" max="2052" width="7" style="115"/>
    <col min="2053" max="2053" width="4" style="115" bestFit="1" customWidth="1"/>
    <col min="2054" max="2054" width="4.625" style="115" bestFit="1" customWidth="1"/>
    <col min="2055" max="2055" width="25.125" style="115" customWidth="1"/>
    <col min="2056" max="2056" width="11.75" style="115" customWidth="1"/>
    <col min="2057" max="2057" width="7" style="115" bestFit="1" customWidth="1"/>
    <col min="2058" max="2058" width="9.125" style="115" customWidth="1"/>
    <col min="2059" max="2059" width="10" style="115" bestFit="1" customWidth="1"/>
    <col min="2060" max="2060" width="10.375" style="115" bestFit="1" customWidth="1"/>
    <col min="2061" max="2061" width="8.5" style="115" bestFit="1" customWidth="1"/>
    <col min="2062" max="2062" width="7.5" style="115" customWidth="1"/>
    <col min="2063" max="2063" width="6.5" style="115" customWidth="1"/>
    <col min="2064" max="2064" width="8.625" style="115" customWidth="1"/>
    <col min="2065" max="2065" width="12.875" style="115" customWidth="1"/>
    <col min="2066" max="2066" width="13.25" style="115" customWidth="1"/>
    <col min="2067" max="2067" width="13" style="115" bestFit="1" customWidth="1"/>
    <col min="2068" max="2068" width="10" style="115" bestFit="1" customWidth="1"/>
    <col min="2069" max="2069" width="17.5" style="115" bestFit="1" customWidth="1"/>
    <col min="2070" max="2308" width="7" style="115"/>
    <col min="2309" max="2309" width="4" style="115" bestFit="1" customWidth="1"/>
    <col min="2310" max="2310" width="4.625" style="115" bestFit="1" customWidth="1"/>
    <col min="2311" max="2311" width="25.125" style="115" customWidth="1"/>
    <col min="2312" max="2312" width="11.75" style="115" customWidth="1"/>
    <col min="2313" max="2313" width="7" style="115" bestFit="1" customWidth="1"/>
    <col min="2314" max="2314" width="9.125" style="115" customWidth="1"/>
    <col min="2315" max="2315" width="10" style="115" bestFit="1" customWidth="1"/>
    <col min="2316" max="2316" width="10.375" style="115" bestFit="1" customWidth="1"/>
    <col min="2317" max="2317" width="8.5" style="115" bestFit="1" customWidth="1"/>
    <col min="2318" max="2318" width="7.5" style="115" customWidth="1"/>
    <col min="2319" max="2319" width="6.5" style="115" customWidth="1"/>
    <col min="2320" max="2320" width="8.625" style="115" customWidth="1"/>
    <col min="2321" max="2321" width="12.875" style="115" customWidth="1"/>
    <col min="2322" max="2322" width="13.25" style="115" customWidth="1"/>
    <col min="2323" max="2323" width="13" style="115" bestFit="1" customWidth="1"/>
    <col min="2324" max="2324" width="10" style="115" bestFit="1" customWidth="1"/>
    <col min="2325" max="2325" width="17.5" style="115" bestFit="1" customWidth="1"/>
    <col min="2326" max="2564" width="7" style="115"/>
    <col min="2565" max="2565" width="4" style="115" bestFit="1" customWidth="1"/>
    <col min="2566" max="2566" width="4.625" style="115" bestFit="1" customWidth="1"/>
    <col min="2567" max="2567" width="25.125" style="115" customWidth="1"/>
    <col min="2568" max="2568" width="11.75" style="115" customWidth="1"/>
    <col min="2569" max="2569" width="7" style="115" bestFit="1" customWidth="1"/>
    <col min="2570" max="2570" width="9.125" style="115" customWidth="1"/>
    <col min="2571" max="2571" width="10" style="115" bestFit="1" customWidth="1"/>
    <col min="2572" max="2572" width="10.375" style="115" bestFit="1" customWidth="1"/>
    <col min="2573" max="2573" width="8.5" style="115" bestFit="1" customWidth="1"/>
    <col min="2574" max="2574" width="7.5" style="115" customWidth="1"/>
    <col min="2575" max="2575" width="6.5" style="115" customWidth="1"/>
    <col min="2576" max="2576" width="8.625" style="115" customWidth="1"/>
    <col min="2577" max="2577" width="12.875" style="115" customWidth="1"/>
    <col min="2578" max="2578" width="13.25" style="115" customWidth="1"/>
    <col min="2579" max="2579" width="13" style="115" bestFit="1" customWidth="1"/>
    <col min="2580" max="2580" width="10" style="115" bestFit="1" customWidth="1"/>
    <col min="2581" max="2581" width="17.5" style="115" bestFit="1" customWidth="1"/>
    <col min="2582" max="2820" width="7" style="115"/>
    <col min="2821" max="2821" width="4" style="115" bestFit="1" customWidth="1"/>
    <col min="2822" max="2822" width="4.625" style="115" bestFit="1" customWidth="1"/>
    <col min="2823" max="2823" width="25.125" style="115" customWidth="1"/>
    <col min="2824" max="2824" width="11.75" style="115" customWidth="1"/>
    <col min="2825" max="2825" width="7" style="115" bestFit="1" customWidth="1"/>
    <col min="2826" max="2826" width="9.125" style="115" customWidth="1"/>
    <col min="2827" max="2827" width="10" style="115" bestFit="1" customWidth="1"/>
    <col min="2828" max="2828" width="10.375" style="115" bestFit="1" customWidth="1"/>
    <col min="2829" max="2829" width="8.5" style="115" bestFit="1" customWidth="1"/>
    <col min="2830" max="2830" width="7.5" style="115" customWidth="1"/>
    <col min="2831" max="2831" width="6.5" style="115" customWidth="1"/>
    <col min="2832" max="2832" width="8.625" style="115" customWidth="1"/>
    <col min="2833" max="2833" width="12.875" style="115" customWidth="1"/>
    <col min="2834" max="2834" width="13.25" style="115" customWidth="1"/>
    <col min="2835" max="2835" width="13" style="115" bestFit="1" customWidth="1"/>
    <col min="2836" max="2836" width="10" style="115" bestFit="1" customWidth="1"/>
    <col min="2837" max="2837" width="17.5" style="115" bestFit="1" customWidth="1"/>
    <col min="2838" max="3076" width="7" style="115"/>
    <col min="3077" max="3077" width="4" style="115" bestFit="1" customWidth="1"/>
    <col min="3078" max="3078" width="4.625" style="115" bestFit="1" customWidth="1"/>
    <col min="3079" max="3079" width="25.125" style="115" customWidth="1"/>
    <col min="3080" max="3080" width="11.75" style="115" customWidth="1"/>
    <col min="3081" max="3081" width="7" style="115" bestFit="1" customWidth="1"/>
    <col min="3082" max="3082" width="9.125" style="115" customWidth="1"/>
    <col min="3083" max="3083" width="10" style="115" bestFit="1" customWidth="1"/>
    <col min="3084" max="3084" width="10.375" style="115" bestFit="1" customWidth="1"/>
    <col min="3085" max="3085" width="8.5" style="115" bestFit="1" customWidth="1"/>
    <col min="3086" max="3086" width="7.5" style="115" customWidth="1"/>
    <col min="3087" max="3087" width="6.5" style="115" customWidth="1"/>
    <col min="3088" max="3088" width="8.625" style="115" customWidth="1"/>
    <col min="3089" max="3089" width="12.875" style="115" customWidth="1"/>
    <col min="3090" max="3090" width="13.25" style="115" customWidth="1"/>
    <col min="3091" max="3091" width="13" style="115" bestFit="1" customWidth="1"/>
    <col min="3092" max="3092" width="10" style="115" bestFit="1" customWidth="1"/>
    <col min="3093" max="3093" width="17.5" style="115" bestFit="1" customWidth="1"/>
    <col min="3094" max="3332" width="7" style="115"/>
    <col min="3333" max="3333" width="4" style="115" bestFit="1" customWidth="1"/>
    <col min="3334" max="3334" width="4.625" style="115" bestFit="1" customWidth="1"/>
    <col min="3335" max="3335" width="25.125" style="115" customWidth="1"/>
    <col min="3336" max="3336" width="11.75" style="115" customWidth="1"/>
    <col min="3337" max="3337" width="7" style="115" bestFit="1" customWidth="1"/>
    <col min="3338" max="3338" width="9.125" style="115" customWidth="1"/>
    <col min="3339" max="3339" width="10" style="115" bestFit="1" customWidth="1"/>
    <col min="3340" max="3340" width="10.375" style="115" bestFit="1" customWidth="1"/>
    <col min="3341" max="3341" width="8.5" style="115" bestFit="1" customWidth="1"/>
    <col min="3342" max="3342" width="7.5" style="115" customWidth="1"/>
    <col min="3343" max="3343" width="6.5" style="115" customWidth="1"/>
    <col min="3344" max="3344" width="8.625" style="115" customWidth="1"/>
    <col min="3345" max="3345" width="12.875" style="115" customWidth="1"/>
    <col min="3346" max="3346" width="13.25" style="115" customWidth="1"/>
    <col min="3347" max="3347" width="13" style="115" bestFit="1" customWidth="1"/>
    <col min="3348" max="3348" width="10" style="115" bestFit="1" customWidth="1"/>
    <col min="3349" max="3349" width="17.5" style="115" bestFit="1" customWidth="1"/>
    <col min="3350" max="3588" width="7" style="115"/>
    <col min="3589" max="3589" width="4" style="115" bestFit="1" customWidth="1"/>
    <col min="3590" max="3590" width="4.625" style="115" bestFit="1" customWidth="1"/>
    <col min="3591" max="3591" width="25.125" style="115" customWidth="1"/>
    <col min="3592" max="3592" width="11.75" style="115" customWidth="1"/>
    <col min="3593" max="3593" width="7" style="115" bestFit="1" customWidth="1"/>
    <col min="3594" max="3594" width="9.125" style="115" customWidth="1"/>
    <col min="3595" max="3595" width="10" style="115" bestFit="1" customWidth="1"/>
    <col min="3596" max="3596" width="10.375" style="115" bestFit="1" customWidth="1"/>
    <col min="3597" max="3597" width="8.5" style="115" bestFit="1" customWidth="1"/>
    <col min="3598" max="3598" width="7.5" style="115" customWidth="1"/>
    <col min="3599" max="3599" width="6.5" style="115" customWidth="1"/>
    <col min="3600" max="3600" width="8.625" style="115" customWidth="1"/>
    <col min="3601" max="3601" width="12.875" style="115" customWidth="1"/>
    <col min="3602" max="3602" width="13.25" style="115" customWidth="1"/>
    <col min="3603" max="3603" width="13" style="115" bestFit="1" customWidth="1"/>
    <col min="3604" max="3604" width="10" style="115" bestFit="1" customWidth="1"/>
    <col min="3605" max="3605" width="17.5" style="115" bestFit="1" customWidth="1"/>
    <col min="3606" max="3844" width="7" style="115"/>
    <col min="3845" max="3845" width="4" style="115" bestFit="1" customWidth="1"/>
    <col min="3846" max="3846" width="4.625" style="115" bestFit="1" customWidth="1"/>
    <col min="3847" max="3847" width="25.125" style="115" customWidth="1"/>
    <col min="3848" max="3848" width="11.75" style="115" customWidth="1"/>
    <col min="3849" max="3849" width="7" style="115" bestFit="1" customWidth="1"/>
    <col min="3850" max="3850" width="9.125" style="115" customWidth="1"/>
    <col min="3851" max="3851" width="10" style="115" bestFit="1" customWidth="1"/>
    <col min="3852" max="3852" width="10.375" style="115" bestFit="1" customWidth="1"/>
    <col min="3853" max="3853" width="8.5" style="115" bestFit="1" customWidth="1"/>
    <col min="3854" max="3854" width="7.5" style="115" customWidth="1"/>
    <col min="3855" max="3855" width="6.5" style="115" customWidth="1"/>
    <col min="3856" max="3856" width="8.625" style="115" customWidth="1"/>
    <col min="3857" max="3857" width="12.875" style="115" customWidth="1"/>
    <col min="3858" max="3858" width="13.25" style="115" customWidth="1"/>
    <col min="3859" max="3859" width="13" style="115" bestFit="1" customWidth="1"/>
    <col min="3860" max="3860" width="10" style="115" bestFit="1" customWidth="1"/>
    <col min="3861" max="3861" width="17.5" style="115" bestFit="1" customWidth="1"/>
    <col min="3862" max="4100" width="7" style="115"/>
    <col min="4101" max="4101" width="4" style="115" bestFit="1" customWidth="1"/>
    <col min="4102" max="4102" width="4.625" style="115" bestFit="1" customWidth="1"/>
    <col min="4103" max="4103" width="25.125" style="115" customWidth="1"/>
    <col min="4104" max="4104" width="11.75" style="115" customWidth="1"/>
    <col min="4105" max="4105" width="7" style="115" bestFit="1" customWidth="1"/>
    <col min="4106" max="4106" width="9.125" style="115" customWidth="1"/>
    <col min="4107" max="4107" width="10" style="115" bestFit="1" customWidth="1"/>
    <col min="4108" max="4108" width="10.375" style="115" bestFit="1" customWidth="1"/>
    <col min="4109" max="4109" width="8.5" style="115" bestFit="1" customWidth="1"/>
    <col min="4110" max="4110" width="7.5" style="115" customWidth="1"/>
    <col min="4111" max="4111" width="6.5" style="115" customWidth="1"/>
    <col min="4112" max="4112" width="8.625" style="115" customWidth="1"/>
    <col min="4113" max="4113" width="12.875" style="115" customWidth="1"/>
    <col min="4114" max="4114" width="13.25" style="115" customWidth="1"/>
    <col min="4115" max="4115" width="13" style="115" bestFit="1" customWidth="1"/>
    <col min="4116" max="4116" width="10" style="115" bestFit="1" customWidth="1"/>
    <col min="4117" max="4117" width="17.5" style="115" bestFit="1" customWidth="1"/>
    <col min="4118" max="4356" width="7" style="115"/>
    <col min="4357" max="4357" width="4" style="115" bestFit="1" customWidth="1"/>
    <col min="4358" max="4358" width="4.625" style="115" bestFit="1" customWidth="1"/>
    <col min="4359" max="4359" width="25.125" style="115" customWidth="1"/>
    <col min="4360" max="4360" width="11.75" style="115" customWidth="1"/>
    <col min="4361" max="4361" width="7" style="115" bestFit="1" customWidth="1"/>
    <col min="4362" max="4362" width="9.125" style="115" customWidth="1"/>
    <col min="4363" max="4363" width="10" style="115" bestFit="1" customWidth="1"/>
    <col min="4364" max="4364" width="10.375" style="115" bestFit="1" customWidth="1"/>
    <col min="4365" max="4365" width="8.5" style="115" bestFit="1" customWidth="1"/>
    <col min="4366" max="4366" width="7.5" style="115" customWidth="1"/>
    <col min="4367" max="4367" width="6.5" style="115" customWidth="1"/>
    <col min="4368" max="4368" width="8.625" style="115" customWidth="1"/>
    <col min="4369" max="4369" width="12.875" style="115" customWidth="1"/>
    <col min="4370" max="4370" width="13.25" style="115" customWidth="1"/>
    <col min="4371" max="4371" width="13" style="115" bestFit="1" customWidth="1"/>
    <col min="4372" max="4372" width="10" style="115" bestFit="1" customWidth="1"/>
    <col min="4373" max="4373" width="17.5" style="115" bestFit="1" customWidth="1"/>
    <col min="4374" max="4612" width="7" style="115"/>
    <col min="4613" max="4613" width="4" style="115" bestFit="1" customWidth="1"/>
    <col min="4614" max="4614" width="4.625" style="115" bestFit="1" customWidth="1"/>
    <col min="4615" max="4615" width="25.125" style="115" customWidth="1"/>
    <col min="4616" max="4616" width="11.75" style="115" customWidth="1"/>
    <col min="4617" max="4617" width="7" style="115" bestFit="1" customWidth="1"/>
    <col min="4618" max="4618" width="9.125" style="115" customWidth="1"/>
    <col min="4619" max="4619" width="10" style="115" bestFit="1" customWidth="1"/>
    <col min="4620" max="4620" width="10.375" style="115" bestFit="1" customWidth="1"/>
    <col min="4621" max="4621" width="8.5" style="115" bestFit="1" customWidth="1"/>
    <col min="4622" max="4622" width="7.5" style="115" customWidth="1"/>
    <col min="4623" max="4623" width="6.5" style="115" customWidth="1"/>
    <col min="4624" max="4624" width="8.625" style="115" customWidth="1"/>
    <col min="4625" max="4625" width="12.875" style="115" customWidth="1"/>
    <col min="4626" max="4626" width="13.25" style="115" customWidth="1"/>
    <col min="4627" max="4627" width="13" style="115" bestFit="1" customWidth="1"/>
    <col min="4628" max="4628" width="10" style="115" bestFit="1" customWidth="1"/>
    <col min="4629" max="4629" width="17.5" style="115" bestFit="1" customWidth="1"/>
    <col min="4630" max="4868" width="7" style="115"/>
    <col min="4869" max="4869" width="4" style="115" bestFit="1" customWidth="1"/>
    <col min="4870" max="4870" width="4.625" style="115" bestFit="1" customWidth="1"/>
    <col min="4871" max="4871" width="25.125" style="115" customWidth="1"/>
    <col min="4872" max="4872" width="11.75" style="115" customWidth="1"/>
    <col min="4873" max="4873" width="7" style="115" bestFit="1" customWidth="1"/>
    <col min="4874" max="4874" width="9.125" style="115" customWidth="1"/>
    <col min="4875" max="4875" width="10" style="115" bestFit="1" customWidth="1"/>
    <col min="4876" max="4876" width="10.375" style="115" bestFit="1" customWidth="1"/>
    <col min="4877" max="4877" width="8.5" style="115" bestFit="1" customWidth="1"/>
    <col min="4878" max="4878" width="7.5" style="115" customWidth="1"/>
    <col min="4879" max="4879" width="6.5" style="115" customWidth="1"/>
    <col min="4880" max="4880" width="8.625" style="115" customWidth="1"/>
    <col min="4881" max="4881" width="12.875" style="115" customWidth="1"/>
    <col min="4882" max="4882" width="13.25" style="115" customWidth="1"/>
    <col min="4883" max="4883" width="13" style="115" bestFit="1" customWidth="1"/>
    <col min="4884" max="4884" width="10" style="115" bestFit="1" customWidth="1"/>
    <col min="4885" max="4885" width="17.5" style="115" bestFit="1" customWidth="1"/>
    <col min="4886" max="5124" width="7" style="115"/>
    <col min="5125" max="5125" width="4" style="115" bestFit="1" customWidth="1"/>
    <col min="5126" max="5126" width="4.625" style="115" bestFit="1" customWidth="1"/>
    <col min="5127" max="5127" width="25.125" style="115" customWidth="1"/>
    <col min="5128" max="5128" width="11.75" style="115" customWidth="1"/>
    <col min="5129" max="5129" width="7" style="115" bestFit="1" customWidth="1"/>
    <col min="5130" max="5130" width="9.125" style="115" customWidth="1"/>
    <col min="5131" max="5131" width="10" style="115" bestFit="1" customWidth="1"/>
    <col min="5132" max="5132" width="10.375" style="115" bestFit="1" customWidth="1"/>
    <col min="5133" max="5133" width="8.5" style="115" bestFit="1" customWidth="1"/>
    <col min="5134" max="5134" width="7.5" style="115" customWidth="1"/>
    <col min="5135" max="5135" width="6.5" style="115" customWidth="1"/>
    <col min="5136" max="5136" width="8.625" style="115" customWidth="1"/>
    <col min="5137" max="5137" width="12.875" style="115" customWidth="1"/>
    <col min="5138" max="5138" width="13.25" style="115" customWidth="1"/>
    <col min="5139" max="5139" width="13" style="115" bestFit="1" customWidth="1"/>
    <col min="5140" max="5140" width="10" style="115" bestFit="1" customWidth="1"/>
    <col min="5141" max="5141" width="17.5" style="115" bestFit="1" customWidth="1"/>
    <col min="5142" max="5380" width="7" style="115"/>
    <col min="5381" max="5381" width="4" style="115" bestFit="1" customWidth="1"/>
    <col min="5382" max="5382" width="4.625" style="115" bestFit="1" customWidth="1"/>
    <col min="5383" max="5383" width="25.125" style="115" customWidth="1"/>
    <col min="5384" max="5384" width="11.75" style="115" customWidth="1"/>
    <col min="5385" max="5385" width="7" style="115" bestFit="1" customWidth="1"/>
    <col min="5386" max="5386" width="9.125" style="115" customWidth="1"/>
    <col min="5387" max="5387" width="10" style="115" bestFit="1" customWidth="1"/>
    <col min="5388" max="5388" width="10.375" style="115" bestFit="1" customWidth="1"/>
    <col min="5389" max="5389" width="8.5" style="115" bestFit="1" customWidth="1"/>
    <col min="5390" max="5390" width="7.5" style="115" customWidth="1"/>
    <col min="5391" max="5391" width="6.5" style="115" customWidth="1"/>
    <col min="5392" max="5392" width="8.625" style="115" customWidth="1"/>
    <col min="5393" max="5393" width="12.875" style="115" customWidth="1"/>
    <col min="5394" max="5394" width="13.25" style="115" customWidth="1"/>
    <col min="5395" max="5395" width="13" style="115" bestFit="1" customWidth="1"/>
    <col min="5396" max="5396" width="10" style="115" bestFit="1" customWidth="1"/>
    <col min="5397" max="5397" width="17.5" style="115" bestFit="1" customWidth="1"/>
    <col min="5398" max="5636" width="7" style="115"/>
    <col min="5637" max="5637" width="4" style="115" bestFit="1" customWidth="1"/>
    <col min="5638" max="5638" width="4.625" style="115" bestFit="1" customWidth="1"/>
    <col min="5639" max="5639" width="25.125" style="115" customWidth="1"/>
    <col min="5640" max="5640" width="11.75" style="115" customWidth="1"/>
    <col min="5641" max="5641" width="7" style="115" bestFit="1" customWidth="1"/>
    <col min="5642" max="5642" width="9.125" style="115" customWidth="1"/>
    <col min="5643" max="5643" width="10" style="115" bestFit="1" customWidth="1"/>
    <col min="5644" max="5644" width="10.375" style="115" bestFit="1" customWidth="1"/>
    <col min="5645" max="5645" width="8.5" style="115" bestFit="1" customWidth="1"/>
    <col min="5646" max="5646" width="7.5" style="115" customWidth="1"/>
    <col min="5647" max="5647" width="6.5" style="115" customWidth="1"/>
    <col min="5648" max="5648" width="8.625" style="115" customWidth="1"/>
    <col min="5649" max="5649" width="12.875" style="115" customWidth="1"/>
    <col min="5650" max="5650" width="13.25" style="115" customWidth="1"/>
    <col min="5651" max="5651" width="13" style="115" bestFit="1" customWidth="1"/>
    <col min="5652" max="5652" width="10" style="115" bestFit="1" customWidth="1"/>
    <col min="5653" max="5653" width="17.5" style="115" bestFit="1" customWidth="1"/>
    <col min="5654" max="5892" width="7" style="115"/>
    <col min="5893" max="5893" width="4" style="115" bestFit="1" customWidth="1"/>
    <col min="5894" max="5894" width="4.625" style="115" bestFit="1" customWidth="1"/>
    <col min="5895" max="5895" width="25.125" style="115" customWidth="1"/>
    <col min="5896" max="5896" width="11.75" style="115" customWidth="1"/>
    <col min="5897" max="5897" width="7" style="115" bestFit="1" customWidth="1"/>
    <col min="5898" max="5898" width="9.125" style="115" customWidth="1"/>
    <col min="5899" max="5899" width="10" style="115" bestFit="1" customWidth="1"/>
    <col min="5900" max="5900" width="10.375" style="115" bestFit="1" customWidth="1"/>
    <col min="5901" max="5901" width="8.5" style="115" bestFit="1" customWidth="1"/>
    <col min="5902" max="5902" width="7.5" style="115" customWidth="1"/>
    <col min="5903" max="5903" width="6.5" style="115" customWidth="1"/>
    <col min="5904" max="5904" width="8.625" style="115" customWidth="1"/>
    <col min="5905" max="5905" width="12.875" style="115" customWidth="1"/>
    <col min="5906" max="5906" width="13.25" style="115" customWidth="1"/>
    <col min="5907" max="5907" width="13" style="115" bestFit="1" customWidth="1"/>
    <col min="5908" max="5908" width="10" style="115" bestFit="1" customWidth="1"/>
    <col min="5909" max="5909" width="17.5" style="115" bestFit="1" customWidth="1"/>
    <col min="5910" max="6148" width="7" style="115"/>
    <col min="6149" max="6149" width="4" style="115" bestFit="1" customWidth="1"/>
    <col min="6150" max="6150" width="4.625" style="115" bestFit="1" customWidth="1"/>
    <col min="6151" max="6151" width="25.125" style="115" customWidth="1"/>
    <col min="6152" max="6152" width="11.75" style="115" customWidth="1"/>
    <col min="6153" max="6153" width="7" style="115" bestFit="1" customWidth="1"/>
    <col min="6154" max="6154" width="9.125" style="115" customWidth="1"/>
    <col min="6155" max="6155" width="10" style="115" bestFit="1" customWidth="1"/>
    <col min="6156" max="6156" width="10.375" style="115" bestFit="1" customWidth="1"/>
    <col min="6157" max="6157" width="8.5" style="115" bestFit="1" customWidth="1"/>
    <col min="6158" max="6158" width="7.5" style="115" customWidth="1"/>
    <col min="6159" max="6159" width="6.5" style="115" customWidth="1"/>
    <col min="6160" max="6160" width="8.625" style="115" customWidth="1"/>
    <col min="6161" max="6161" width="12.875" style="115" customWidth="1"/>
    <col min="6162" max="6162" width="13.25" style="115" customWidth="1"/>
    <col min="6163" max="6163" width="13" style="115" bestFit="1" customWidth="1"/>
    <col min="6164" max="6164" width="10" style="115" bestFit="1" customWidth="1"/>
    <col min="6165" max="6165" width="17.5" style="115" bestFit="1" customWidth="1"/>
    <col min="6166" max="6404" width="7" style="115"/>
    <col min="6405" max="6405" width="4" style="115" bestFit="1" customWidth="1"/>
    <col min="6406" max="6406" width="4.625" style="115" bestFit="1" customWidth="1"/>
    <col min="6407" max="6407" width="25.125" style="115" customWidth="1"/>
    <col min="6408" max="6408" width="11.75" style="115" customWidth="1"/>
    <col min="6409" max="6409" width="7" style="115" bestFit="1" customWidth="1"/>
    <col min="6410" max="6410" width="9.125" style="115" customWidth="1"/>
    <col min="6411" max="6411" width="10" style="115" bestFit="1" customWidth="1"/>
    <col min="6412" max="6412" width="10.375" style="115" bestFit="1" customWidth="1"/>
    <col min="6413" max="6413" width="8.5" style="115" bestFit="1" customWidth="1"/>
    <col min="6414" max="6414" width="7.5" style="115" customWidth="1"/>
    <col min="6415" max="6415" width="6.5" style="115" customWidth="1"/>
    <col min="6416" max="6416" width="8.625" style="115" customWidth="1"/>
    <col min="6417" max="6417" width="12.875" style="115" customWidth="1"/>
    <col min="6418" max="6418" width="13.25" style="115" customWidth="1"/>
    <col min="6419" max="6419" width="13" style="115" bestFit="1" customWidth="1"/>
    <col min="6420" max="6420" width="10" style="115" bestFit="1" customWidth="1"/>
    <col min="6421" max="6421" width="17.5" style="115" bestFit="1" customWidth="1"/>
    <col min="6422" max="6660" width="7" style="115"/>
    <col min="6661" max="6661" width="4" style="115" bestFit="1" customWidth="1"/>
    <col min="6662" max="6662" width="4.625" style="115" bestFit="1" customWidth="1"/>
    <col min="6663" max="6663" width="25.125" style="115" customWidth="1"/>
    <col min="6664" max="6664" width="11.75" style="115" customWidth="1"/>
    <col min="6665" max="6665" width="7" style="115" bestFit="1" customWidth="1"/>
    <col min="6666" max="6666" width="9.125" style="115" customWidth="1"/>
    <col min="6667" max="6667" width="10" style="115" bestFit="1" customWidth="1"/>
    <col min="6668" max="6668" width="10.375" style="115" bestFit="1" customWidth="1"/>
    <col min="6669" max="6669" width="8.5" style="115" bestFit="1" customWidth="1"/>
    <col min="6670" max="6670" width="7.5" style="115" customWidth="1"/>
    <col min="6671" max="6671" width="6.5" style="115" customWidth="1"/>
    <col min="6672" max="6672" width="8.625" style="115" customWidth="1"/>
    <col min="6673" max="6673" width="12.875" style="115" customWidth="1"/>
    <col min="6674" max="6674" width="13.25" style="115" customWidth="1"/>
    <col min="6675" max="6675" width="13" style="115" bestFit="1" customWidth="1"/>
    <col min="6676" max="6676" width="10" style="115" bestFit="1" customWidth="1"/>
    <col min="6677" max="6677" width="17.5" style="115" bestFit="1" customWidth="1"/>
    <col min="6678" max="6916" width="7" style="115"/>
    <col min="6917" max="6917" width="4" style="115" bestFit="1" customWidth="1"/>
    <col min="6918" max="6918" width="4.625" style="115" bestFit="1" customWidth="1"/>
    <col min="6919" max="6919" width="25.125" style="115" customWidth="1"/>
    <col min="6920" max="6920" width="11.75" style="115" customWidth="1"/>
    <col min="6921" max="6921" width="7" style="115" bestFit="1" customWidth="1"/>
    <col min="6922" max="6922" width="9.125" style="115" customWidth="1"/>
    <col min="6923" max="6923" width="10" style="115" bestFit="1" customWidth="1"/>
    <col min="6924" max="6924" width="10.375" style="115" bestFit="1" customWidth="1"/>
    <col min="6925" max="6925" width="8.5" style="115" bestFit="1" customWidth="1"/>
    <col min="6926" max="6926" width="7.5" style="115" customWidth="1"/>
    <col min="6927" max="6927" width="6.5" style="115" customWidth="1"/>
    <col min="6928" max="6928" width="8.625" style="115" customWidth="1"/>
    <col min="6929" max="6929" width="12.875" style="115" customWidth="1"/>
    <col min="6930" max="6930" width="13.25" style="115" customWidth="1"/>
    <col min="6931" max="6931" width="13" style="115" bestFit="1" customWidth="1"/>
    <col min="6932" max="6932" width="10" style="115" bestFit="1" customWidth="1"/>
    <col min="6933" max="6933" width="17.5" style="115" bestFit="1" customWidth="1"/>
    <col min="6934" max="7172" width="7" style="115"/>
    <col min="7173" max="7173" width="4" style="115" bestFit="1" customWidth="1"/>
    <col min="7174" max="7174" width="4.625" style="115" bestFit="1" customWidth="1"/>
    <col min="7175" max="7175" width="25.125" style="115" customWidth="1"/>
    <col min="7176" max="7176" width="11.75" style="115" customWidth="1"/>
    <col min="7177" max="7177" width="7" style="115" bestFit="1" customWidth="1"/>
    <col min="7178" max="7178" width="9.125" style="115" customWidth="1"/>
    <col min="7179" max="7179" width="10" style="115" bestFit="1" customWidth="1"/>
    <col min="7180" max="7180" width="10.375" style="115" bestFit="1" customWidth="1"/>
    <col min="7181" max="7181" width="8.5" style="115" bestFit="1" customWidth="1"/>
    <col min="7182" max="7182" width="7.5" style="115" customWidth="1"/>
    <col min="7183" max="7183" width="6.5" style="115" customWidth="1"/>
    <col min="7184" max="7184" width="8.625" style="115" customWidth="1"/>
    <col min="7185" max="7185" width="12.875" style="115" customWidth="1"/>
    <col min="7186" max="7186" width="13.25" style="115" customWidth="1"/>
    <col min="7187" max="7187" width="13" style="115" bestFit="1" customWidth="1"/>
    <col min="7188" max="7188" width="10" style="115" bestFit="1" customWidth="1"/>
    <col min="7189" max="7189" width="17.5" style="115" bestFit="1" customWidth="1"/>
    <col min="7190" max="7428" width="7" style="115"/>
    <col min="7429" max="7429" width="4" style="115" bestFit="1" customWidth="1"/>
    <col min="7430" max="7430" width="4.625" style="115" bestFit="1" customWidth="1"/>
    <col min="7431" max="7431" width="25.125" style="115" customWidth="1"/>
    <col min="7432" max="7432" width="11.75" style="115" customWidth="1"/>
    <col min="7433" max="7433" width="7" style="115" bestFit="1" customWidth="1"/>
    <col min="7434" max="7434" width="9.125" style="115" customWidth="1"/>
    <col min="7435" max="7435" width="10" style="115" bestFit="1" customWidth="1"/>
    <col min="7436" max="7436" width="10.375" style="115" bestFit="1" customWidth="1"/>
    <col min="7437" max="7437" width="8.5" style="115" bestFit="1" customWidth="1"/>
    <col min="7438" max="7438" width="7.5" style="115" customWidth="1"/>
    <col min="7439" max="7439" width="6.5" style="115" customWidth="1"/>
    <col min="7440" max="7440" width="8.625" style="115" customWidth="1"/>
    <col min="7441" max="7441" width="12.875" style="115" customWidth="1"/>
    <col min="7442" max="7442" width="13.25" style="115" customWidth="1"/>
    <col min="7443" max="7443" width="13" style="115" bestFit="1" customWidth="1"/>
    <col min="7444" max="7444" width="10" style="115" bestFit="1" customWidth="1"/>
    <col min="7445" max="7445" width="17.5" style="115" bestFit="1" customWidth="1"/>
    <col min="7446" max="7684" width="7" style="115"/>
    <col min="7685" max="7685" width="4" style="115" bestFit="1" customWidth="1"/>
    <col min="7686" max="7686" width="4.625" style="115" bestFit="1" customWidth="1"/>
    <col min="7687" max="7687" width="25.125" style="115" customWidth="1"/>
    <col min="7688" max="7688" width="11.75" style="115" customWidth="1"/>
    <col min="7689" max="7689" width="7" style="115" bestFit="1" customWidth="1"/>
    <col min="7690" max="7690" width="9.125" style="115" customWidth="1"/>
    <col min="7691" max="7691" width="10" style="115" bestFit="1" customWidth="1"/>
    <col min="7692" max="7692" width="10.375" style="115" bestFit="1" customWidth="1"/>
    <col min="7693" max="7693" width="8.5" style="115" bestFit="1" customWidth="1"/>
    <col min="7694" max="7694" width="7.5" style="115" customWidth="1"/>
    <col min="7695" max="7695" width="6.5" style="115" customWidth="1"/>
    <col min="7696" max="7696" width="8.625" style="115" customWidth="1"/>
    <col min="7697" max="7697" width="12.875" style="115" customWidth="1"/>
    <col min="7698" max="7698" width="13.25" style="115" customWidth="1"/>
    <col min="7699" max="7699" width="13" style="115" bestFit="1" customWidth="1"/>
    <col min="7700" max="7700" width="10" style="115" bestFit="1" customWidth="1"/>
    <col min="7701" max="7701" width="17.5" style="115" bestFit="1" customWidth="1"/>
    <col min="7702" max="7940" width="7" style="115"/>
    <col min="7941" max="7941" width="4" style="115" bestFit="1" customWidth="1"/>
    <col min="7942" max="7942" width="4.625" style="115" bestFit="1" customWidth="1"/>
    <col min="7943" max="7943" width="25.125" style="115" customWidth="1"/>
    <col min="7944" max="7944" width="11.75" style="115" customWidth="1"/>
    <col min="7945" max="7945" width="7" style="115" bestFit="1" customWidth="1"/>
    <col min="7946" max="7946" width="9.125" style="115" customWidth="1"/>
    <col min="7947" max="7947" width="10" style="115" bestFit="1" customWidth="1"/>
    <col min="7948" max="7948" width="10.375" style="115" bestFit="1" customWidth="1"/>
    <col min="7949" max="7949" width="8.5" style="115" bestFit="1" customWidth="1"/>
    <col min="7950" max="7950" width="7.5" style="115" customWidth="1"/>
    <col min="7951" max="7951" width="6.5" style="115" customWidth="1"/>
    <col min="7952" max="7952" width="8.625" style="115" customWidth="1"/>
    <col min="7953" max="7953" width="12.875" style="115" customWidth="1"/>
    <col min="7954" max="7954" width="13.25" style="115" customWidth="1"/>
    <col min="7955" max="7955" width="13" style="115" bestFit="1" customWidth="1"/>
    <col min="7956" max="7956" width="10" style="115" bestFit="1" customWidth="1"/>
    <col min="7957" max="7957" width="17.5" style="115" bestFit="1" customWidth="1"/>
    <col min="7958" max="8196" width="7" style="115"/>
    <col min="8197" max="8197" width="4" style="115" bestFit="1" customWidth="1"/>
    <col min="8198" max="8198" width="4.625" style="115" bestFit="1" customWidth="1"/>
    <col min="8199" max="8199" width="25.125" style="115" customWidth="1"/>
    <col min="8200" max="8200" width="11.75" style="115" customWidth="1"/>
    <col min="8201" max="8201" width="7" style="115" bestFit="1" customWidth="1"/>
    <col min="8202" max="8202" width="9.125" style="115" customWidth="1"/>
    <col min="8203" max="8203" width="10" style="115" bestFit="1" customWidth="1"/>
    <col min="8204" max="8204" width="10.375" style="115" bestFit="1" customWidth="1"/>
    <col min="8205" max="8205" width="8.5" style="115" bestFit="1" customWidth="1"/>
    <col min="8206" max="8206" width="7.5" style="115" customWidth="1"/>
    <col min="8207" max="8207" width="6.5" style="115" customWidth="1"/>
    <col min="8208" max="8208" width="8.625" style="115" customWidth="1"/>
    <col min="8209" max="8209" width="12.875" style="115" customWidth="1"/>
    <col min="8210" max="8210" width="13.25" style="115" customWidth="1"/>
    <col min="8211" max="8211" width="13" style="115" bestFit="1" customWidth="1"/>
    <col min="8212" max="8212" width="10" style="115" bestFit="1" customWidth="1"/>
    <col min="8213" max="8213" width="17.5" style="115" bestFit="1" customWidth="1"/>
    <col min="8214" max="8452" width="7" style="115"/>
    <col min="8453" max="8453" width="4" style="115" bestFit="1" customWidth="1"/>
    <col min="8454" max="8454" width="4.625" style="115" bestFit="1" customWidth="1"/>
    <col min="8455" max="8455" width="25.125" style="115" customWidth="1"/>
    <col min="8456" max="8456" width="11.75" style="115" customWidth="1"/>
    <col min="8457" max="8457" width="7" style="115" bestFit="1" customWidth="1"/>
    <col min="8458" max="8458" width="9.125" style="115" customWidth="1"/>
    <col min="8459" max="8459" width="10" style="115" bestFit="1" customWidth="1"/>
    <col min="8460" max="8460" width="10.375" style="115" bestFit="1" customWidth="1"/>
    <col min="8461" max="8461" width="8.5" style="115" bestFit="1" customWidth="1"/>
    <col min="8462" max="8462" width="7.5" style="115" customWidth="1"/>
    <col min="8463" max="8463" width="6.5" style="115" customWidth="1"/>
    <col min="8464" max="8464" width="8.625" style="115" customWidth="1"/>
    <col min="8465" max="8465" width="12.875" style="115" customWidth="1"/>
    <col min="8466" max="8466" width="13.25" style="115" customWidth="1"/>
    <col min="8467" max="8467" width="13" style="115" bestFit="1" customWidth="1"/>
    <col min="8468" max="8468" width="10" style="115" bestFit="1" customWidth="1"/>
    <col min="8469" max="8469" width="17.5" style="115" bestFit="1" customWidth="1"/>
    <col min="8470" max="8708" width="7" style="115"/>
    <col min="8709" max="8709" width="4" style="115" bestFit="1" customWidth="1"/>
    <col min="8710" max="8710" width="4.625" style="115" bestFit="1" customWidth="1"/>
    <col min="8711" max="8711" width="25.125" style="115" customWidth="1"/>
    <col min="8712" max="8712" width="11.75" style="115" customWidth="1"/>
    <col min="8713" max="8713" width="7" style="115" bestFit="1" customWidth="1"/>
    <col min="8714" max="8714" width="9.125" style="115" customWidth="1"/>
    <col min="8715" max="8715" width="10" style="115" bestFit="1" customWidth="1"/>
    <col min="8716" max="8716" width="10.375" style="115" bestFit="1" customWidth="1"/>
    <col min="8717" max="8717" width="8.5" style="115" bestFit="1" customWidth="1"/>
    <col min="8718" max="8718" width="7.5" style="115" customWidth="1"/>
    <col min="8719" max="8719" width="6.5" style="115" customWidth="1"/>
    <col min="8720" max="8720" width="8.625" style="115" customWidth="1"/>
    <col min="8721" max="8721" width="12.875" style="115" customWidth="1"/>
    <col min="8722" max="8722" width="13.25" style="115" customWidth="1"/>
    <col min="8723" max="8723" width="13" style="115" bestFit="1" customWidth="1"/>
    <col min="8724" max="8724" width="10" style="115" bestFit="1" customWidth="1"/>
    <col min="8725" max="8725" width="17.5" style="115" bestFit="1" customWidth="1"/>
    <col min="8726" max="8964" width="7" style="115"/>
    <col min="8965" max="8965" width="4" style="115" bestFit="1" customWidth="1"/>
    <col min="8966" max="8966" width="4.625" style="115" bestFit="1" customWidth="1"/>
    <col min="8967" max="8967" width="25.125" style="115" customWidth="1"/>
    <col min="8968" max="8968" width="11.75" style="115" customWidth="1"/>
    <col min="8969" max="8969" width="7" style="115" bestFit="1" customWidth="1"/>
    <col min="8970" max="8970" width="9.125" style="115" customWidth="1"/>
    <col min="8971" max="8971" width="10" style="115" bestFit="1" customWidth="1"/>
    <col min="8972" max="8972" width="10.375" style="115" bestFit="1" customWidth="1"/>
    <col min="8973" max="8973" width="8.5" style="115" bestFit="1" customWidth="1"/>
    <col min="8974" max="8974" width="7.5" style="115" customWidth="1"/>
    <col min="8975" max="8975" width="6.5" style="115" customWidth="1"/>
    <col min="8976" max="8976" width="8.625" style="115" customWidth="1"/>
    <col min="8977" max="8977" width="12.875" style="115" customWidth="1"/>
    <col min="8978" max="8978" width="13.25" style="115" customWidth="1"/>
    <col min="8979" max="8979" width="13" style="115" bestFit="1" customWidth="1"/>
    <col min="8980" max="8980" width="10" style="115" bestFit="1" customWidth="1"/>
    <col min="8981" max="8981" width="17.5" style="115" bestFit="1" customWidth="1"/>
    <col min="8982" max="9220" width="7" style="115"/>
    <col min="9221" max="9221" width="4" style="115" bestFit="1" customWidth="1"/>
    <col min="9222" max="9222" width="4.625" style="115" bestFit="1" customWidth="1"/>
    <col min="9223" max="9223" width="25.125" style="115" customWidth="1"/>
    <col min="9224" max="9224" width="11.75" style="115" customWidth="1"/>
    <col min="9225" max="9225" width="7" style="115" bestFit="1" customWidth="1"/>
    <col min="9226" max="9226" width="9.125" style="115" customWidth="1"/>
    <col min="9227" max="9227" width="10" style="115" bestFit="1" customWidth="1"/>
    <col min="9228" max="9228" width="10.375" style="115" bestFit="1" customWidth="1"/>
    <col min="9229" max="9229" width="8.5" style="115" bestFit="1" customWidth="1"/>
    <col min="9230" max="9230" width="7.5" style="115" customWidth="1"/>
    <col min="9231" max="9231" width="6.5" style="115" customWidth="1"/>
    <col min="9232" max="9232" width="8.625" style="115" customWidth="1"/>
    <col min="9233" max="9233" width="12.875" style="115" customWidth="1"/>
    <col min="9234" max="9234" width="13.25" style="115" customWidth="1"/>
    <col min="9235" max="9235" width="13" style="115" bestFit="1" customWidth="1"/>
    <col min="9236" max="9236" width="10" style="115" bestFit="1" customWidth="1"/>
    <col min="9237" max="9237" width="17.5" style="115" bestFit="1" customWidth="1"/>
    <col min="9238" max="9476" width="7" style="115"/>
    <col min="9477" max="9477" width="4" style="115" bestFit="1" customWidth="1"/>
    <col min="9478" max="9478" width="4.625" style="115" bestFit="1" customWidth="1"/>
    <col min="9479" max="9479" width="25.125" style="115" customWidth="1"/>
    <col min="9480" max="9480" width="11.75" style="115" customWidth="1"/>
    <col min="9481" max="9481" width="7" style="115" bestFit="1" customWidth="1"/>
    <col min="9482" max="9482" width="9.125" style="115" customWidth="1"/>
    <col min="9483" max="9483" width="10" style="115" bestFit="1" customWidth="1"/>
    <col min="9484" max="9484" width="10.375" style="115" bestFit="1" customWidth="1"/>
    <col min="9485" max="9485" width="8.5" style="115" bestFit="1" customWidth="1"/>
    <col min="9486" max="9486" width="7.5" style="115" customWidth="1"/>
    <col min="9487" max="9487" width="6.5" style="115" customWidth="1"/>
    <col min="9488" max="9488" width="8.625" style="115" customWidth="1"/>
    <col min="9489" max="9489" width="12.875" style="115" customWidth="1"/>
    <col min="9490" max="9490" width="13.25" style="115" customWidth="1"/>
    <col min="9491" max="9491" width="13" style="115" bestFit="1" customWidth="1"/>
    <col min="9492" max="9492" width="10" style="115" bestFit="1" customWidth="1"/>
    <col min="9493" max="9493" width="17.5" style="115" bestFit="1" customWidth="1"/>
    <col min="9494" max="9732" width="7" style="115"/>
    <col min="9733" max="9733" width="4" style="115" bestFit="1" customWidth="1"/>
    <col min="9734" max="9734" width="4.625" style="115" bestFit="1" customWidth="1"/>
    <col min="9735" max="9735" width="25.125" style="115" customWidth="1"/>
    <col min="9736" max="9736" width="11.75" style="115" customWidth="1"/>
    <col min="9737" max="9737" width="7" style="115" bestFit="1" customWidth="1"/>
    <col min="9738" max="9738" width="9.125" style="115" customWidth="1"/>
    <col min="9739" max="9739" width="10" style="115" bestFit="1" customWidth="1"/>
    <col min="9740" max="9740" width="10.375" style="115" bestFit="1" customWidth="1"/>
    <col min="9741" max="9741" width="8.5" style="115" bestFit="1" customWidth="1"/>
    <col min="9742" max="9742" width="7.5" style="115" customWidth="1"/>
    <col min="9743" max="9743" width="6.5" style="115" customWidth="1"/>
    <col min="9744" max="9744" width="8.625" style="115" customWidth="1"/>
    <col min="9745" max="9745" width="12.875" style="115" customWidth="1"/>
    <col min="9746" max="9746" width="13.25" style="115" customWidth="1"/>
    <col min="9747" max="9747" width="13" style="115" bestFit="1" customWidth="1"/>
    <col min="9748" max="9748" width="10" style="115" bestFit="1" customWidth="1"/>
    <col min="9749" max="9749" width="17.5" style="115" bestFit="1" customWidth="1"/>
    <col min="9750" max="9988" width="7" style="115"/>
    <col min="9989" max="9989" width="4" style="115" bestFit="1" customWidth="1"/>
    <col min="9990" max="9990" width="4.625" style="115" bestFit="1" customWidth="1"/>
    <col min="9991" max="9991" width="25.125" style="115" customWidth="1"/>
    <col min="9992" max="9992" width="11.75" style="115" customWidth="1"/>
    <col min="9993" max="9993" width="7" style="115" bestFit="1" customWidth="1"/>
    <col min="9994" max="9994" width="9.125" style="115" customWidth="1"/>
    <col min="9995" max="9995" width="10" style="115" bestFit="1" customWidth="1"/>
    <col min="9996" max="9996" width="10.375" style="115" bestFit="1" customWidth="1"/>
    <col min="9997" max="9997" width="8.5" style="115" bestFit="1" customWidth="1"/>
    <col min="9998" max="9998" width="7.5" style="115" customWidth="1"/>
    <col min="9999" max="9999" width="6.5" style="115" customWidth="1"/>
    <col min="10000" max="10000" width="8.625" style="115" customWidth="1"/>
    <col min="10001" max="10001" width="12.875" style="115" customWidth="1"/>
    <col min="10002" max="10002" width="13.25" style="115" customWidth="1"/>
    <col min="10003" max="10003" width="13" style="115" bestFit="1" customWidth="1"/>
    <col min="10004" max="10004" width="10" style="115" bestFit="1" customWidth="1"/>
    <col min="10005" max="10005" width="17.5" style="115" bestFit="1" customWidth="1"/>
    <col min="10006" max="10244" width="7" style="115"/>
    <col min="10245" max="10245" width="4" style="115" bestFit="1" customWidth="1"/>
    <col min="10246" max="10246" width="4.625" style="115" bestFit="1" customWidth="1"/>
    <col min="10247" max="10247" width="25.125" style="115" customWidth="1"/>
    <col min="10248" max="10248" width="11.75" style="115" customWidth="1"/>
    <col min="10249" max="10249" width="7" style="115" bestFit="1" customWidth="1"/>
    <col min="10250" max="10250" width="9.125" style="115" customWidth="1"/>
    <col min="10251" max="10251" width="10" style="115" bestFit="1" customWidth="1"/>
    <col min="10252" max="10252" width="10.375" style="115" bestFit="1" customWidth="1"/>
    <col min="10253" max="10253" width="8.5" style="115" bestFit="1" customWidth="1"/>
    <col min="10254" max="10254" width="7.5" style="115" customWidth="1"/>
    <col min="10255" max="10255" width="6.5" style="115" customWidth="1"/>
    <col min="10256" max="10256" width="8.625" style="115" customWidth="1"/>
    <col min="10257" max="10257" width="12.875" style="115" customWidth="1"/>
    <col min="10258" max="10258" width="13.25" style="115" customWidth="1"/>
    <col min="10259" max="10259" width="13" style="115" bestFit="1" customWidth="1"/>
    <col min="10260" max="10260" width="10" style="115" bestFit="1" customWidth="1"/>
    <col min="10261" max="10261" width="17.5" style="115" bestFit="1" customWidth="1"/>
    <col min="10262" max="10500" width="7" style="115"/>
    <col min="10501" max="10501" width="4" style="115" bestFit="1" customWidth="1"/>
    <col min="10502" max="10502" width="4.625" style="115" bestFit="1" customWidth="1"/>
    <col min="10503" max="10503" width="25.125" style="115" customWidth="1"/>
    <col min="10504" max="10504" width="11.75" style="115" customWidth="1"/>
    <col min="10505" max="10505" width="7" style="115" bestFit="1" customWidth="1"/>
    <col min="10506" max="10506" width="9.125" style="115" customWidth="1"/>
    <col min="10507" max="10507" width="10" style="115" bestFit="1" customWidth="1"/>
    <col min="10508" max="10508" width="10.375" style="115" bestFit="1" customWidth="1"/>
    <col min="10509" max="10509" width="8.5" style="115" bestFit="1" customWidth="1"/>
    <col min="10510" max="10510" width="7.5" style="115" customWidth="1"/>
    <col min="10511" max="10511" width="6.5" style="115" customWidth="1"/>
    <col min="10512" max="10512" width="8.625" style="115" customWidth="1"/>
    <col min="10513" max="10513" width="12.875" style="115" customWidth="1"/>
    <col min="10514" max="10514" width="13.25" style="115" customWidth="1"/>
    <col min="10515" max="10515" width="13" style="115" bestFit="1" customWidth="1"/>
    <col min="10516" max="10516" width="10" style="115" bestFit="1" customWidth="1"/>
    <col min="10517" max="10517" width="17.5" style="115" bestFit="1" customWidth="1"/>
    <col min="10518" max="10756" width="7" style="115"/>
    <col min="10757" max="10757" width="4" style="115" bestFit="1" customWidth="1"/>
    <col min="10758" max="10758" width="4.625" style="115" bestFit="1" customWidth="1"/>
    <col min="10759" max="10759" width="25.125" style="115" customWidth="1"/>
    <col min="10760" max="10760" width="11.75" style="115" customWidth="1"/>
    <col min="10761" max="10761" width="7" style="115" bestFit="1" customWidth="1"/>
    <col min="10762" max="10762" width="9.125" style="115" customWidth="1"/>
    <col min="10763" max="10763" width="10" style="115" bestFit="1" customWidth="1"/>
    <col min="10764" max="10764" width="10.375" style="115" bestFit="1" customWidth="1"/>
    <col min="10765" max="10765" width="8.5" style="115" bestFit="1" customWidth="1"/>
    <col min="10766" max="10766" width="7.5" style="115" customWidth="1"/>
    <col min="10767" max="10767" width="6.5" style="115" customWidth="1"/>
    <col min="10768" max="10768" width="8.625" style="115" customWidth="1"/>
    <col min="10769" max="10769" width="12.875" style="115" customWidth="1"/>
    <col min="10770" max="10770" width="13.25" style="115" customWidth="1"/>
    <col min="10771" max="10771" width="13" style="115" bestFit="1" customWidth="1"/>
    <col min="10772" max="10772" width="10" style="115" bestFit="1" customWidth="1"/>
    <col min="10773" max="10773" width="17.5" style="115" bestFit="1" customWidth="1"/>
    <col min="10774" max="11012" width="7" style="115"/>
    <col min="11013" max="11013" width="4" style="115" bestFit="1" customWidth="1"/>
    <col min="11014" max="11014" width="4.625" style="115" bestFit="1" customWidth="1"/>
    <col min="11015" max="11015" width="25.125" style="115" customWidth="1"/>
    <col min="11016" max="11016" width="11.75" style="115" customWidth="1"/>
    <col min="11017" max="11017" width="7" style="115" bestFit="1" customWidth="1"/>
    <col min="11018" max="11018" width="9.125" style="115" customWidth="1"/>
    <col min="11019" max="11019" width="10" style="115" bestFit="1" customWidth="1"/>
    <col min="11020" max="11020" width="10.375" style="115" bestFit="1" customWidth="1"/>
    <col min="11021" max="11021" width="8.5" style="115" bestFit="1" customWidth="1"/>
    <col min="11022" max="11022" width="7.5" style="115" customWidth="1"/>
    <col min="11023" max="11023" width="6.5" style="115" customWidth="1"/>
    <col min="11024" max="11024" width="8.625" style="115" customWidth="1"/>
    <col min="11025" max="11025" width="12.875" style="115" customWidth="1"/>
    <col min="11026" max="11026" width="13.25" style="115" customWidth="1"/>
    <col min="11027" max="11027" width="13" style="115" bestFit="1" customWidth="1"/>
    <col min="11028" max="11028" width="10" style="115" bestFit="1" customWidth="1"/>
    <col min="11029" max="11029" width="17.5" style="115" bestFit="1" customWidth="1"/>
    <col min="11030" max="11268" width="7" style="115"/>
    <col min="11269" max="11269" width="4" style="115" bestFit="1" customWidth="1"/>
    <col min="11270" max="11270" width="4.625" style="115" bestFit="1" customWidth="1"/>
    <col min="11271" max="11271" width="25.125" style="115" customWidth="1"/>
    <col min="11272" max="11272" width="11.75" style="115" customWidth="1"/>
    <col min="11273" max="11273" width="7" style="115" bestFit="1" customWidth="1"/>
    <col min="11274" max="11274" width="9.125" style="115" customWidth="1"/>
    <col min="11275" max="11275" width="10" style="115" bestFit="1" customWidth="1"/>
    <col min="11276" max="11276" width="10.375" style="115" bestFit="1" customWidth="1"/>
    <col min="11277" max="11277" width="8.5" style="115" bestFit="1" customWidth="1"/>
    <col min="11278" max="11278" width="7.5" style="115" customWidth="1"/>
    <col min="11279" max="11279" width="6.5" style="115" customWidth="1"/>
    <col min="11280" max="11280" width="8.625" style="115" customWidth="1"/>
    <col min="11281" max="11281" width="12.875" style="115" customWidth="1"/>
    <col min="11282" max="11282" width="13.25" style="115" customWidth="1"/>
    <col min="11283" max="11283" width="13" style="115" bestFit="1" customWidth="1"/>
    <col min="11284" max="11284" width="10" style="115" bestFit="1" customWidth="1"/>
    <col min="11285" max="11285" width="17.5" style="115" bestFit="1" customWidth="1"/>
    <col min="11286" max="11524" width="7" style="115"/>
    <col min="11525" max="11525" width="4" style="115" bestFit="1" customWidth="1"/>
    <col min="11526" max="11526" width="4.625" style="115" bestFit="1" customWidth="1"/>
    <col min="11527" max="11527" width="25.125" style="115" customWidth="1"/>
    <col min="11528" max="11528" width="11.75" style="115" customWidth="1"/>
    <col min="11529" max="11529" width="7" style="115" bestFit="1" customWidth="1"/>
    <col min="11530" max="11530" width="9.125" style="115" customWidth="1"/>
    <col min="11531" max="11531" width="10" style="115" bestFit="1" customWidth="1"/>
    <col min="11532" max="11532" width="10.375" style="115" bestFit="1" customWidth="1"/>
    <col min="11533" max="11533" width="8.5" style="115" bestFit="1" customWidth="1"/>
    <col min="11534" max="11534" width="7.5" style="115" customWidth="1"/>
    <col min="11535" max="11535" width="6.5" style="115" customWidth="1"/>
    <col min="11536" max="11536" width="8.625" style="115" customWidth="1"/>
    <col min="11537" max="11537" width="12.875" style="115" customWidth="1"/>
    <col min="11538" max="11538" width="13.25" style="115" customWidth="1"/>
    <col min="11539" max="11539" width="13" style="115" bestFit="1" customWidth="1"/>
    <col min="11540" max="11540" width="10" style="115" bestFit="1" customWidth="1"/>
    <col min="11541" max="11541" width="17.5" style="115" bestFit="1" customWidth="1"/>
    <col min="11542" max="11780" width="7" style="115"/>
    <col min="11781" max="11781" width="4" style="115" bestFit="1" customWidth="1"/>
    <col min="11782" max="11782" width="4.625" style="115" bestFit="1" customWidth="1"/>
    <col min="11783" max="11783" width="25.125" style="115" customWidth="1"/>
    <col min="11784" max="11784" width="11.75" style="115" customWidth="1"/>
    <col min="11785" max="11785" width="7" style="115" bestFit="1" customWidth="1"/>
    <col min="11786" max="11786" width="9.125" style="115" customWidth="1"/>
    <col min="11787" max="11787" width="10" style="115" bestFit="1" customWidth="1"/>
    <col min="11788" max="11788" width="10.375" style="115" bestFit="1" customWidth="1"/>
    <col min="11789" max="11789" width="8.5" style="115" bestFit="1" customWidth="1"/>
    <col min="11790" max="11790" width="7.5" style="115" customWidth="1"/>
    <col min="11791" max="11791" width="6.5" style="115" customWidth="1"/>
    <col min="11792" max="11792" width="8.625" style="115" customWidth="1"/>
    <col min="11793" max="11793" width="12.875" style="115" customWidth="1"/>
    <col min="11794" max="11794" width="13.25" style="115" customWidth="1"/>
    <col min="11795" max="11795" width="13" style="115" bestFit="1" customWidth="1"/>
    <col min="11796" max="11796" width="10" style="115" bestFit="1" customWidth="1"/>
    <col min="11797" max="11797" width="17.5" style="115" bestFit="1" customWidth="1"/>
    <col min="11798" max="12036" width="7" style="115"/>
    <col min="12037" max="12037" width="4" style="115" bestFit="1" customWidth="1"/>
    <col min="12038" max="12038" width="4.625" style="115" bestFit="1" customWidth="1"/>
    <col min="12039" max="12039" width="25.125" style="115" customWidth="1"/>
    <col min="12040" max="12040" width="11.75" style="115" customWidth="1"/>
    <col min="12041" max="12041" width="7" style="115" bestFit="1" customWidth="1"/>
    <col min="12042" max="12042" width="9.125" style="115" customWidth="1"/>
    <col min="12043" max="12043" width="10" style="115" bestFit="1" customWidth="1"/>
    <col min="12044" max="12044" width="10.375" style="115" bestFit="1" customWidth="1"/>
    <col min="12045" max="12045" width="8.5" style="115" bestFit="1" customWidth="1"/>
    <col min="12046" max="12046" width="7.5" style="115" customWidth="1"/>
    <col min="12047" max="12047" width="6.5" style="115" customWidth="1"/>
    <col min="12048" max="12048" width="8.625" style="115" customWidth="1"/>
    <col min="12049" max="12049" width="12.875" style="115" customWidth="1"/>
    <col min="12050" max="12050" width="13.25" style="115" customWidth="1"/>
    <col min="12051" max="12051" width="13" style="115" bestFit="1" customWidth="1"/>
    <col min="12052" max="12052" width="10" style="115" bestFit="1" customWidth="1"/>
    <col min="12053" max="12053" width="17.5" style="115" bestFit="1" customWidth="1"/>
    <col min="12054" max="12292" width="7" style="115"/>
    <col min="12293" max="12293" width="4" style="115" bestFit="1" customWidth="1"/>
    <col min="12294" max="12294" width="4.625" style="115" bestFit="1" customWidth="1"/>
    <col min="12295" max="12295" width="25.125" style="115" customWidth="1"/>
    <col min="12296" max="12296" width="11.75" style="115" customWidth="1"/>
    <col min="12297" max="12297" width="7" style="115" bestFit="1" customWidth="1"/>
    <col min="12298" max="12298" width="9.125" style="115" customWidth="1"/>
    <col min="12299" max="12299" width="10" style="115" bestFit="1" customWidth="1"/>
    <col min="12300" max="12300" width="10.375" style="115" bestFit="1" customWidth="1"/>
    <col min="12301" max="12301" width="8.5" style="115" bestFit="1" customWidth="1"/>
    <col min="12302" max="12302" width="7.5" style="115" customWidth="1"/>
    <col min="12303" max="12303" width="6.5" style="115" customWidth="1"/>
    <col min="12304" max="12304" width="8.625" style="115" customWidth="1"/>
    <col min="12305" max="12305" width="12.875" style="115" customWidth="1"/>
    <col min="12306" max="12306" width="13.25" style="115" customWidth="1"/>
    <col min="12307" max="12307" width="13" style="115" bestFit="1" customWidth="1"/>
    <col min="12308" max="12308" width="10" style="115" bestFit="1" customWidth="1"/>
    <col min="12309" max="12309" width="17.5" style="115" bestFit="1" customWidth="1"/>
    <col min="12310" max="12548" width="7" style="115"/>
    <col min="12549" max="12549" width="4" style="115" bestFit="1" customWidth="1"/>
    <col min="12550" max="12550" width="4.625" style="115" bestFit="1" customWidth="1"/>
    <col min="12551" max="12551" width="25.125" style="115" customWidth="1"/>
    <col min="12552" max="12552" width="11.75" style="115" customWidth="1"/>
    <col min="12553" max="12553" width="7" style="115" bestFit="1" customWidth="1"/>
    <col min="12554" max="12554" width="9.125" style="115" customWidth="1"/>
    <col min="12555" max="12555" width="10" style="115" bestFit="1" customWidth="1"/>
    <col min="12556" max="12556" width="10.375" style="115" bestFit="1" customWidth="1"/>
    <col min="12557" max="12557" width="8.5" style="115" bestFit="1" customWidth="1"/>
    <col min="12558" max="12558" width="7.5" style="115" customWidth="1"/>
    <col min="12559" max="12559" width="6.5" style="115" customWidth="1"/>
    <col min="12560" max="12560" width="8.625" style="115" customWidth="1"/>
    <col min="12561" max="12561" width="12.875" style="115" customWidth="1"/>
    <col min="12562" max="12562" width="13.25" style="115" customWidth="1"/>
    <col min="12563" max="12563" width="13" style="115" bestFit="1" customWidth="1"/>
    <col min="12564" max="12564" width="10" style="115" bestFit="1" customWidth="1"/>
    <col min="12565" max="12565" width="17.5" style="115" bestFit="1" customWidth="1"/>
    <col min="12566" max="12804" width="7" style="115"/>
    <col min="12805" max="12805" width="4" style="115" bestFit="1" customWidth="1"/>
    <col min="12806" max="12806" width="4.625" style="115" bestFit="1" customWidth="1"/>
    <col min="12807" max="12807" width="25.125" style="115" customWidth="1"/>
    <col min="12808" max="12808" width="11.75" style="115" customWidth="1"/>
    <col min="12809" max="12809" width="7" style="115" bestFit="1" customWidth="1"/>
    <col min="12810" max="12810" width="9.125" style="115" customWidth="1"/>
    <col min="12811" max="12811" width="10" style="115" bestFit="1" customWidth="1"/>
    <col min="12812" max="12812" width="10.375" style="115" bestFit="1" customWidth="1"/>
    <col min="12813" max="12813" width="8.5" style="115" bestFit="1" customWidth="1"/>
    <col min="12814" max="12814" width="7.5" style="115" customWidth="1"/>
    <col min="12815" max="12815" width="6.5" style="115" customWidth="1"/>
    <col min="12816" max="12816" width="8.625" style="115" customWidth="1"/>
    <col min="12817" max="12817" width="12.875" style="115" customWidth="1"/>
    <col min="12818" max="12818" width="13.25" style="115" customWidth="1"/>
    <col min="12819" max="12819" width="13" style="115" bestFit="1" customWidth="1"/>
    <col min="12820" max="12820" width="10" style="115" bestFit="1" customWidth="1"/>
    <col min="12821" max="12821" width="17.5" style="115" bestFit="1" customWidth="1"/>
    <col min="12822" max="13060" width="7" style="115"/>
    <col min="13061" max="13061" width="4" style="115" bestFit="1" customWidth="1"/>
    <col min="13062" max="13062" width="4.625" style="115" bestFit="1" customWidth="1"/>
    <col min="13063" max="13063" width="25.125" style="115" customWidth="1"/>
    <col min="13064" max="13064" width="11.75" style="115" customWidth="1"/>
    <col min="13065" max="13065" width="7" style="115" bestFit="1" customWidth="1"/>
    <col min="13066" max="13066" width="9.125" style="115" customWidth="1"/>
    <col min="13067" max="13067" width="10" style="115" bestFit="1" customWidth="1"/>
    <col min="13068" max="13068" width="10.375" style="115" bestFit="1" customWidth="1"/>
    <col min="13069" max="13069" width="8.5" style="115" bestFit="1" customWidth="1"/>
    <col min="13070" max="13070" width="7.5" style="115" customWidth="1"/>
    <col min="13071" max="13071" width="6.5" style="115" customWidth="1"/>
    <col min="13072" max="13072" width="8.625" style="115" customWidth="1"/>
    <col min="13073" max="13073" width="12.875" style="115" customWidth="1"/>
    <col min="13074" max="13074" width="13.25" style="115" customWidth="1"/>
    <col min="13075" max="13075" width="13" style="115" bestFit="1" customWidth="1"/>
    <col min="13076" max="13076" width="10" style="115" bestFit="1" customWidth="1"/>
    <col min="13077" max="13077" width="17.5" style="115" bestFit="1" customWidth="1"/>
    <col min="13078" max="13316" width="7" style="115"/>
    <col min="13317" max="13317" width="4" style="115" bestFit="1" customWidth="1"/>
    <col min="13318" max="13318" width="4.625" style="115" bestFit="1" customWidth="1"/>
    <col min="13319" max="13319" width="25.125" style="115" customWidth="1"/>
    <col min="13320" max="13320" width="11.75" style="115" customWidth="1"/>
    <col min="13321" max="13321" width="7" style="115" bestFit="1" customWidth="1"/>
    <col min="13322" max="13322" width="9.125" style="115" customWidth="1"/>
    <col min="13323" max="13323" width="10" style="115" bestFit="1" customWidth="1"/>
    <col min="13324" max="13324" width="10.375" style="115" bestFit="1" customWidth="1"/>
    <col min="13325" max="13325" width="8.5" style="115" bestFit="1" customWidth="1"/>
    <col min="13326" max="13326" width="7.5" style="115" customWidth="1"/>
    <col min="13327" max="13327" width="6.5" style="115" customWidth="1"/>
    <col min="13328" max="13328" width="8.625" style="115" customWidth="1"/>
    <col min="13329" max="13329" width="12.875" style="115" customWidth="1"/>
    <col min="13330" max="13330" width="13.25" style="115" customWidth="1"/>
    <col min="13331" max="13331" width="13" style="115" bestFit="1" customWidth="1"/>
    <col min="13332" max="13332" width="10" style="115" bestFit="1" customWidth="1"/>
    <col min="13333" max="13333" width="17.5" style="115" bestFit="1" customWidth="1"/>
    <col min="13334" max="13572" width="7" style="115"/>
    <col min="13573" max="13573" width="4" style="115" bestFit="1" customWidth="1"/>
    <col min="13574" max="13574" width="4.625" style="115" bestFit="1" customWidth="1"/>
    <col min="13575" max="13575" width="25.125" style="115" customWidth="1"/>
    <col min="13576" max="13576" width="11.75" style="115" customWidth="1"/>
    <col min="13577" max="13577" width="7" style="115" bestFit="1" customWidth="1"/>
    <col min="13578" max="13578" width="9.125" style="115" customWidth="1"/>
    <col min="13579" max="13579" width="10" style="115" bestFit="1" customWidth="1"/>
    <col min="13580" max="13580" width="10.375" style="115" bestFit="1" customWidth="1"/>
    <col min="13581" max="13581" width="8.5" style="115" bestFit="1" customWidth="1"/>
    <col min="13582" max="13582" width="7.5" style="115" customWidth="1"/>
    <col min="13583" max="13583" width="6.5" style="115" customWidth="1"/>
    <col min="13584" max="13584" width="8.625" style="115" customWidth="1"/>
    <col min="13585" max="13585" width="12.875" style="115" customWidth="1"/>
    <col min="13586" max="13586" width="13.25" style="115" customWidth="1"/>
    <col min="13587" max="13587" width="13" style="115" bestFit="1" customWidth="1"/>
    <col min="13588" max="13588" width="10" style="115" bestFit="1" customWidth="1"/>
    <col min="13589" max="13589" width="17.5" style="115" bestFit="1" customWidth="1"/>
    <col min="13590" max="13828" width="7" style="115"/>
    <col min="13829" max="13829" width="4" style="115" bestFit="1" customWidth="1"/>
    <col min="13830" max="13830" width="4.625" style="115" bestFit="1" customWidth="1"/>
    <col min="13831" max="13831" width="25.125" style="115" customWidth="1"/>
    <col min="13832" max="13832" width="11.75" style="115" customWidth="1"/>
    <col min="13833" max="13833" width="7" style="115" bestFit="1" customWidth="1"/>
    <col min="13834" max="13834" width="9.125" style="115" customWidth="1"/>
    <col min="13835" max="13835" width="10" style="115" bestFit="1" customWidth="1"/>
    <col min="13836" max="13836" width="10.375" style="115" bestFit="1" customWidth="1"/>
    <col min="13837" max="13837" width="8.5" style="115" bestFit="1" customWidth="1"/>
    <col min="13838" max="13838" width="7.5" style="115" customWidth="1"/>
    <col min="13839" max="13839" width="6.5" style="115" customWidth="1"/>
    <col min="13840" max="13840" width="8.625" style="115" customWidth="1"/>
    <col min="13841" max="13841" width="12.875" style="115" customWidth="1"/>
    <col min="13842" max="13842" width="13.25" style="115" customWidth="1"/>
    <col min="13843" max="13843" width="13" style="115" bestFit="1" customWidth="1"/>
    <col min="13844" max="13844" width="10" style="115" bestFit="1" customWidth="1"/>
    <col min="13845" max="13845" width="17.5" style="115" bestFit="1" customWidth="1"/>
    <col min="13846" max="14084" width="7" style="115"/>
    <col min="14085" max="14085" width="4" style="115" bestFit="1" customWidth="1"/>
    <col min="14086" max="14086" width="4.625" style="115" bestFit="1" customWidth="1"/>
    <col min="14087" max="14087" width="25.125" style="115" customWidth="1"/>
    <col min="14088" max="14088" width="11.75" style="115" customWidth="1"/>
    <col min="14089" max="14089" width="7" style="115" bestFit="1" customWidth="1"/>
    <col min="14090" max="14090" width="9.125" style="115" customWidth="1"/>
    <col min="14091" max="14091" width="10" style="115" bestFit="1" customWidth="1"/>
    <col min="14092" max="14092" width="10.375" style="115" bestFit="1" customWidth="1"/>
    <col min="14093" max="14093" width="8.5" style="115" bestFit="1" customWidth="1"/>
    <col min="14094" max="14094" width="7.5" style="115" customWidth="1"/>
    <col min="14095" max="14095" width="6.5" style="115" customWidth="1"/>
    <col min="14096" max="14096" width="8.625" style="115" customWidth="1"/>
    <col min="14097" max="14097" width="12.875" style="115" customWidth="1"/>
    <col min="14098" max="14098" width="13.25" style="115" customWidth="1"/>
    <col min="14099" max="14099" width="13" style="115" bestFit="1" customWidth="1"/>
    <col min="14100" max="14100" width="10" style="115" bestFit="1" customWidth="1"/>
    <col min="14101" max="14101" width="17.5" style="115" bestFit="1" customWidth="1"/>
    <col min="14102" max="14340" width="7" style="115"/>
    <col min="14341" max="14341" width="4" style="115" bestFit="1" customWidth="1"/>
    <col min="14342" max="14342" width="4.625" style="115" bestFit="1" customWidth="1"/>
    <col min="14343" max="14343" width="25.125" style="115" customWidth="1"/>
    <col min="14344" max="14344" width="11.75" style="115" customWidth="1"/>
    <col min="14345" max="14345" width="7" style="115" bestFit="1" customWidth="1"/>
    <col min="14346" max="14346" width="9.125" style="115" customWidth="1"/>
    <col min="14347" max="14347" width="10" style="115" bestFit="1" customWidth="1"/>
    <col min="14348" max="14348" width="10.375" style="115" bestFit="1" customWidth="1"/>
    <col min="14349" max="14349" width="8.5" style="115" bestFit="1" customWidth="1"/>
    <col min="14350" max="14350" width="7.5" style="115" customWidth="1"/>
    <col min="14351" max="14351" width="6.5" style="115" customWidth="1"/>
    <col min="14352" max="14352" width="8.625" style="115" customWidth="1"/>
    <col min="14353" max="14353" width="12.875" style="115" customWidth="1"/>
    <col min="14354" max="14354" width="13.25" style="115" customWidth="1"/>
    <col min="14355" max="14355" width="13" style="115" bestFit="1" customWidth="1"/>
    <col min="14356" max="14356" width="10" style="115" bestFit="1" customWidth="1"/>
    <col min="14357" max="14357" width="17.5" style="115" bestFit="1" customWidth="1"/>
    <col min="14358" max="14596" width="7" style="115"/>
    <col min="14597" max="14597" width="4" style="115" bestFit="1" customWidth="1"/>
    <col min="14598" max="14598" width="4.625" style="115" bestFit="1" customWidth="1"/>
    <col min="14599" max="14599" width="25.125" style="115" customWidth="1"/>
    <col min="14600" max="14600" width="11.75" style="115" customWidth="1"/>
    <col min="14601" max="14601" width="7" style="115" bestFit="1" customWidth="1"/>
    <col min="14602" max="14602" width="9.125" style="115" customWidth="1"/>
    <col min="14603" max="14603" width="10" style="115" bestFit="1" customWidth="1"/>
    <col min="14604" max="14604" width="10.375" style="115" bestFit="1" customWidth="1"/>
    <col min="14605" max="14605" width="8.5" style="115" bestFit="1" customWidth="1"/>
    <col min="14606" max="14606" width="7.5" style="115" customWidth="1"/>
    <col min="14607" max="14607" width="6.5" style="115" customWidth="1"/>
    <col min="14608" max="14608" width="8.625" style="115" customWidth="1"/>
    <col min="14609" max="14609" width="12.875" style="115" customWidth="1"/>
    <col min="14610" max="14610" width="13.25" style="115" customWidth="1"/>
    <col min="14611" max="14611" width="13" style="115" bestFit="1" customWidth="1"/>
    <col min="14612" max="14612" width="10" style="115" bestFit="1" customWidth="1"/>
    <col min="14613" max="14613" width="17.5" style="115" bestFit="1" customWidth="1"/>
    <col min="14614" max="14852" width="7" style="115"/>
    <col min="14853" max="14853" width="4" style="115" bestFit="1" customWidth="1"/>
    <col min="14854" max="14854" width="4.625" style="115" bestFit="1" customWidth="1"/>
    <col min="14855" max="14855" width="25.125" style="115" customWidth="1"/>
    <col min="14856" max="14856" width="11.75" style="115" customWidth="1"/>
    <col min="14857" max="14857" width="7" style="115" bestFit="1" customWidth="1"/>
    <col min="14858" max="14858" width="9.125" style="115" customWidth="1"/>
    <col min="14859" max="14859" width="10" style="115" bestFit="1" customWidth="1"/>
    <col min="14860" max="14860" width="10.375" style="115" bestFit="1" customWidth="1"/>
    <col min="14861" max="14861" width="8.5" style="115" bestFit="1" customWidth="1"/>
    <col min="14862" max="14862" width="7.5" style="115" customWidth="1"/>
    <col min="14863" max="14863" width="6.5" style="115" customWidth="1"/>
    <col min="14864" max="14864" width="8.625" style="115" customWidth="1"/>
    <col min="14865" max="14865" width="12.875" style="115" customWidth="1"/>
    <col min="14866" max="14866" width="13.25" style="115" customWidth="1"/>
    <col min="14867" max="14867" width="13" style="115" bestFit="1" customWidth="1"/>
    <col min="14868" max="14868" width="10" style="115" bestFit="1" customWidth="1"/>
    <col min="14869" max="14869" width="17.5" style="115" bestFit="1" customWidth="1"/>
    <col min="14870" max="15108" width="7" style="115"/>
    <col min="15109" max="15109" width="4" style="115" bestFit="1" customWidth="1"/>
    <col min="15110" max="15110" width="4.625" style="115" bestFit="1" customWidth="1"/>
    <col min="15111" max="15111" width="25.125" style="115" customWidth="1"/>
    <col min="15112" max="15112" width="11.75" style="115" customWidth="1"/>
    <col min="15113" max="15113" width="7" style="115" bestFit="1" customWidth="1"/>
    <col min="15114" max="15114" width="9.125" style="115" customWidth="1"/>
    <col min="15115" max="15115" width="10" style="115" bestFit="1" customWidth="1"/>
    <col min="15116" max="15116" width="10.375" style="115" bestFit="1" customWidth="1"/>
    <col min="15117" max="15117" width="8.5" style="115" bestFit="1" customWidth="1"/>
    <col min="15118" max="15118" width="7.5" style="115" customWidth="1"/>
    <col min="15119" max="15119" width="6.5" style="115" customWidth="1"/>
    <col min="15120" max="15120" width="8.625" style="115" customWidth="1"/>
    <col min="15121" max="15121" width="12.875" style="115" customWidth="1"/>
    <col min="15122" max="15122" width="13.25" style="115" customWidth="1"/>
    <col min="15123" max="15123" width="13" style="115" bestFit="1" customWidth="1"/>
    <col min="15124" max="15124" width="10" style="115" bestFit="1" customWidth="1"/>
    <col min="15125" max="15125" width="17.5" style="115" bestFit="1" customWidth="1"/>
    <col min="15126" max="15364" width="7" style="115"/>
    <col min="15365" max="15365" width="4" style="115" bestFit="1" customWidth="1"/>
    <col min="15366" max="15366" width="4.625" style="115" bestFit="1" customWidth="1"/>
    <col min="15367" max="15367" width="25.125" style="115" customWidth="1"/>
    <col min="15368" max="15368" width="11.75" style="115" customWidth="1"/>
    <col min="15369" max="15369" width="7" style="115" bestFit="1" customWidth="1"/>
    <col min="15370" max="15370" width="9.125" style="115" customWidth="1"/>
    <col min="15371" max="15371" width="10" style="115" bestFit="1" customWidth="1"/>
    <col min="15372" max="15372" width="10.375" style="115" bestFit="1" customWidth="1"/>
    <col min="15373" max="15373" width="8.5" style="115" bestFit="1" customWidth="1"/>
    <col min="15374" max="15374" width="7.5" style="115" customWidth="1"/>
    <col min="15375" max="15375" width="6.5" style="115" customWidth="1"/>
    <col min="15376" max="15376" width="8.625" style="115" customWidth="1"/>
    <col min="15377" max="15377" width="12.875" style="115" customWidth="1"/>
    <col min="15378" max="15378" width="13.25" style="115" customWidth="1"/>
    <col min="15379" max="15379" width="13" style="115" bestFit="1" customWidth="1"/>
    <col min="15380" max="15380" width="10" style="115" bestFit="1" customWidth="1"/>
    <col min="15381" max="15381" width="17.5" style="115" bestFit="1" customWidth="1"/>
    <col min="15382" max="15620" width="7" style="115"/>
    <col min="15621" max="15621" width="4" style="115" bestFit="1" customWidth="1"/>
    <col min="15622" max="15622" width="4.625" style="115" bestFit="1" customWidth="1"/>
    <col min="15623" max="15623" width="25.125" style="115" customWidth="1"/>
    <col min="15624" max="15624" width="11.75" style="115" customWidth="1"/>
    <col min="15625" max="15625" width="7" style="115" bestFit="1" customWidth="1"/>
    <col min="15626" max="15626" width="9.125" style="115" customWidth="1"/>
    <col min="15627" max="15627" width="10" style="115" bestFit="1" customWidth="1"/>
    <col min="15628" max="15628" width="10.375" style="115" bestFit="1" customWidth="1"/>
    <col min="15629" max="15629" width="8.5" style="115" bestFit="1" customWidth="1"/>
    <col min="15630" max="15630" width="7.5" style="115" customWidth="1"/>
    <col min="15631" max="15631" width="6.5" style="115" customWidth="1"/>
    <col min="15632" max="15632" width="8.625" style="115" customWidth="1"/>
    <col min="15633" max="15633" width="12.875" style="115" customWidth="1"/>
    <col min="15634" max="15634" width="13.25" style="115" customWidth="1"/>
    <col min="15635" max="15635" width="13" style="115" bestFit="1" customWidth="1"/>
    <col min="15636" max="15636" width="10" style="115" bestFit="1" customWidth="1"/>
    <col min="15637" max="15637" width="17.5" style="115" bestFit="1" customWidth="1"/>
    <col min="15638" max="15876" width="7" style="115"/>
    <col min="15877" max="15877" width="4" style="115" bestFit="1" customWidth="1"/>
    <col min="15878" max="15878" width="4.625" style="115" bestFit="1" customWidth="1"/>
    <col min="15879" max="15879" width="25.125" style="115" customWidth="1"/>
    <col min="15880" max="15880" width="11.75" style="115" customWidth="1"/>
    <col min="15881" max="15881" width="7" style="115" bestFit="1" customWidth="1"/>
    <col min="15882" max="15882" width="9.125" style="115" customWidth="1"/>
    <col min="15883" max="15883" width="10" style="115" bestFit="1" customWidth="1"/>
    <col min="15884" max="15884" width="10.375" style="115" bestFit="1" customWidth="1"/>
    <col min="15885" max="15885" width="8.5" style="115" bestFit="1" customWidth="1"/>
    <col min="15886" max="15886" width="7.5" style="115" customWidth="1"/>
    <col min="15887" max="15887" width="6.5" style="115" customWidth="1"/>
    <col min="15888" max="15888" width="8.625" style="115" customWidth="1"/>
    <col min="15889" max="15889" width="12.875" style="115" customWidth="1"/>
    <col min="15890" max="15890" width="13.25" style="115" customWidth="1"/>
    <col min="15891" max="15891" width="13" style="115" bestFit="1" customWidth="1"/>
    <col min="15892" max="15892" width="10" style="115" bestFit="1" customWidth="1"/>
    <col min="15893" max="15893" width="17.5" style="115" bestFit="1" customWidth="1"/>
    <col min="15894" max="16132" width="7" style="115"/>
    <col min="16133" max="16133" width="4" style="115" bestFit="1" customWidth="1"/>
    <col min="16134" max="16134" width="4.625" style="115" bestFit="1" customWidth="1"/>
    <col min="16135" max="16135" width="25.125" style="115" customWidth="1"/>
    <col min="16136" max="16136" width="11.75" style="115" customWidth="1"/>
    <col min="16137" max="16137" width="7" style="115" bestFit="1" customWidth="1"/>
    <col min="16138" max="16138" width="9.125" style="115" customWidth="1"/>
    <col min="16139" max="16139" width="10" style="115" bestFit="1" customWidth="1"/>
    <col min="16140" max="16140" width="10.375" style="115" bestFit="1" customWidth="1"/>
    <col min="16141" max="16141" width="8.5" style="115" bestFit="1" customWidth="1"/>
    <col min="16142" max="16142" width="7.5" style="115" customWidth="1"/>
    <col min="16143" max="16143" width="6.5" style="115" customWidth="1"/>
    <col min="16144" max="16144" width="8.625" style="115" customWidth="1"/>
    <col min="16145" max="16145" width="12.875" style="115" customWidth="1"/>
    <col min="16146" max="16146" width="13.25" style="115" customWidth="1"/>
    <col min="16147" max="16147" width="13" style="115" bestFit="1" customWidth="1"/>
    <col min="16148" max="16148" width="10" style="115" bestFit="1" customWidth="1"/>
    <col min="16149" max="16149" width="17.5" style="115" bestFit="1" customWidth="1"/>
    <col min="16150" max="16384" width="7" style="115"/>
  </cols>
  <sheetData>
    <row r="1" spans="1:24">
      <c r="A1" s="1428" t="s">
        <v>131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15"/>
      <c r="T1" s="115"/>
      <c r="U1" s="115"/>
    </row>
    <row r="2" spans="1:24">
      <c r="A2" s="1428" t="s">
        <v>132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  <c r="N2" s="1428"/>
      <c r="O2" s="1428"/>
      <c r="P2" s="1428"/>
      <c r="Q2" s="1428"/>
      <c r="R2" s="1428"/>
      <c r="S2" s="116" t="s">
        <v>133</v>
      </c>
      <c r="T2" s="116"/>
      <c r="U2" s="116"/>
    </row>
    <row r="3" spans="1:24">
      <c r="A3" s="1429" t="s">
        <v>445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  <c r="M3" s="1429"/>
      <c r="N3" s="1429"/>
      <c r="O3" s="1429"/>
      <c r="P3" s="1429"/>
      <c r="Q3" s="1429"/>
      <c r="R3" s="1429"/>
      <c r="S3" s="117"/>
      <c r="T3" s="117"/>
      <c r="U3" s="117"/>
    </row>
    <row r="4" spans="1:24">
      <c r="A4" s="118"/>
      <c r="B4" s="118"/>
      <c r="C4" s="119" t="s">
        <v>134</v>
      </c>
      <c r="D4" s="120"/>
      <c r="E4" s="118"/>
      <c r="F4" s="118"/>
      <c r="G4" s="118"/>
      <c r="H4" s="118"/>
      <c r="I4" s="118"/>
      <c r="J4" s="118"/>
      <c r="K4" s="118"/>
      <c r="L4" s="628"/>
      <c r="M4" s="118"/>
      <c r="N4" s="118"/>
      <c r="O4" s="118"/>
      <c r="P4" s="121"/>
      <c r="Q4" s="118"/>
      <c r="R4" s="118"/>
      <c r="S4" s="122" t="s">
        <v>135</v>
      </c>
      <c r="T4" s="122"/>
      <c r="U4" s="122"/>
    </row>
    <row r="5" spans="1:24">
      <c r="A5" s="1362" t="s">
        <v>136</v>
      </c>
      <c r="B5" s="1362" t="s">
        <v>37</v>
      </c>
      <c r="C5" s="1362" t="s">
        <v>39</v>
      </c>
      <c r="D5" s="1430" t="s">
        <v>137</v>
      </c>
      <c r="E5" s="1432" t="s">
        <v>138</v>
      </c>
      <c r="F5" s="1368" t="s">
        <v>139</v>
      </c>
      <c r="G5" s="1368" t="s">
        <v>140</v>
      </c>
      <c r="H5" s="1368" t="s">
        <v>141</v>
      </c>
      <c r="I5" s="1368" t="s">
        <v>142</v>
      </c>
      <c r="J5" s="1368" t="s">
        <v>143</v>
      </c>
      <c r="K5" s="1368" t="s">
        <v>144</v>
      </c>
      <c r="L5" s="1425" t="s">
        <v>145</v>
      </c>
      <c r="M5" s="1362" t="s">
        <v>146</v>
      </c>
      <c r="N5" s="1362" t="s">
        <v>147</v>
      </c>
      <c r="O5" s="1362" t="s">
        <v>43</v>
      </c>
      <c r="P5" s="1362" t="s">
        <v>148</v>
      </c>
      <c r="Q5" s="1362" t="s">
        <v>149</v>
      </c>
      <c r="R5" s="1370" t="s">
        <v>150</v>
      </c>
      <c r="S5" s="1371"/>
      <c r="T5" s="1371"/>
      <c r="U5" s="1372"/>
    </row>
    <row r="6" spans="1:24" ht="56.25">
      <c r="A6" s="1363"/>
      <c r="B6" s="1363"/>
      <c r="C6" s="1363"/>
      <c r="D6" s="1431"/>
      <c r="E6" s="1433"/>
      <c r="F6" s="1369"/>
      <c r="G6" s="1369"/>
      <c r="H6" s="1369"/>
      <c r="I6" s="1369"/>
      <c r="J6" s="1369"/>
      <c r="K6" s="1369"/>
      <c r="L6" s="1426"/>
      <c r="M6" s="1363"/>
      <c r="N6" s="1363"/>
      <c r="O6" s="1363"/>
      <c r="P6" s="1363"/>
      <c r="Q6" s="1363"/>
      <c r="R6" s="123" t="s">
        <v>151</v>
      </c>
      <c r="S6" s="124" t="s">
        <v>152</v>
      </c>
      <c r="T6" s="124" t="s">
        <v>153</v>
      </c>
      <c r="U6" s="124" t="s">
        <v>154</v>
      </c>
      <c r="V6" s="125" t="s">
        <v>155</v>
      </c>
    </row>
    <row r="7" spans="1:24">
      <c r="A7" s="126"/>
      <c r="B7" s="126"/>
      <c r="C7" s="127" t="s">
        <v>144</v>
      </c>
      <c r="D7" s="128"/>
      <c r="E7" s="128"/>
      <c r="F7" s="128"/>
      <c r="G7" s="128"/>
      <c r="H7" s="128"/>
      <c r="I7" s="128"/>
      <c r="J7" s="128"/>
      <c r="K7" s="128"/>
      <c r="L7" s="629"/>
      <c r="M7" s="126"/>
      <c r="N7" s="126"/>
      <c r="O7" s="126"/>
      <c r="P7" s="126"/>
      <c r="Q7" s="126"/>
      <c r="R7" s="126"/>
      <c r="S7" s="126"/>
      <c r="T7" s="126"/>
      <c r="U7" s="126"/>
      <c r="V7" s="129"/>
      <c r="W7" s="130"/>
      <c r="X7" s="130"/>
    </row>
    <row r="8" spans="1:24" s="141" customFormat="1">
      <c r="A8" s="131"/>
      <c r="B8" s="132"/>
      <c r="C8" s="133" t="s">
        <v>156</v>
      </c>
      <c r="D8" s="134"/>
      <c r="E8" s="135"/>
      <c r="F8" s="132"/>
      <c r="G8" s="135"/>
      <c r="H8" s="135"/>
      <c r="I8" s="132"/>
      <c r="J8" s="135"/>
      <c r="K8" s="132"/>
      <c r="L8" s="630"/>
      <c r="M8" s="136"/>
      <c r="N8" s="137"/>
      <c r="O8" s="137"/>
      <c r="P8" s="138"/>
      <c r="Q8" s="139"/>
      <c r="R8" s="139"/>
      <c r="S8" s="139"/>
      <c r="T8" s="139"/>
      <c r="U8" s="140"/>
      <c r="V8" s="129"/>
      <c r="W8" s="130"/>
      <c r="X8" s="130"/>
    </row>
    <row r="9" spans="1:24" s="141" customFormat="1" ht="75">
      <c r="A9" s="142">
        <v>6</v>
      </c>
      <c r="B9" s="170">
        <v>1</v>
      </c>
      <c r="C9" s="140" t="s">
        <v>178</v>
      </c>
      <c r="D9" s="171">
        <v>790000</v>
      </c>
      <c r="E9" s="135">
        <v>1</v>
      </c>
      <c r="F9" s="172">
        <v>790000</v>
      </c>
      <c r="G9" s="135"/>
      <c r="H9" s="135"/>
      <c r="I9" s="132"/>
      <c r="J9" s="135"/>
      <c r="K9" s="177">
        <f t="shared" ref="K9:K49" si="0">SUM(F9:J9)</f>
        <v>790000</v>
      </c>
      <c r="L9" s="763" t="s">
        <v>179</v>
      </c>
      <c r="M9" s="134" t="s">
        <v>180</v>
      </c>
      <c r="N9" s="173" t="s">
        <v>180</v>
      </c>
      <c r="O9" s="139" t="s">
        <v>17</v>
      </c>
      <c r="P9" s="132" t="s">
        <v>181</v>
      </c>
      <c r="Q9" s="138" t="s">
        <v>182</v>
      </c>
      <c r="R9" s="143"/>
      <c r="S9" s="143"/>
      <c r="T9" s="143"/>
      <c r="U9" s="140"/>
      <c r="V9" s="130"/>
      <c r="W9" s="130"/>
      <c r="X9" s="130"/>
    </row>
    <row r="10" spans="1:24" s="178" customFormat="1" ht="37.5">
      <c r="A10" s="142">
        <v>6</v>
      </c>
      <c r="B10" s="170">
        <v>2</v>
      </c>
      <c r="C10" s="174" t="s">
        <v>183</v>
      </c>
      <c r="D10" s="175">
        <v>2000000</v>
      </c>
      <c r="E10" s="175">
        <v>1</v>
      </c>
      <c r="F10" s="175">
        <v>2000000</v>
      </c>
      <c r="G10" s="176"/>
      <c r="H10" s="176"/>
      <c r="I10" s="141"/>
      <c r="J10" s="177">
        <v>2000000</v>
      </c>
      <c r="K10" s="177">
        <f t="shared" si="0"/>
        <v>4000000</v>
      </c>
      <c r="L10" s="763" t="s">
        <v>184</v>
      </c>
      <c r="M10" s="134" t="s">
        <v>185</v>
      </c>
      <c r="N10" s="173" t="s">
        <v>185</v>
      </c>
      <c r="O10" s="139" t="s">
        <v>17</v>
      </c>
      <c r="P10" s="132" t="s">
        <v>181</v>
      </c>
      <c r="Q10" s="138" t="s">
        <v>186</v>
      </c>
      <c r="R10" s="142"/>
      <c r="S10" s="142"/>
      <c r="T10" s="142"/>
      <c r="U10" s="133"/>
    </row>
    <row r="11" spans="1:24" s="178" customFormat="1" ht="37.5">
      <c r="A11" s="142">
        <v>6</v>
      </c>
      <c r="B11" s="170">
        <v>3</v>
      </c>
      <c r="C11" s="174" t="s">
        <v>183</v>
      </c>
      <c r="D11" s="175">
        <v>2000000</v>
      </c>
      <c r="E11" s="175">
        <v>1</v>
      </c>
      <c r="F11" s="175">
        <v>2000000</v>
      </c>
      <c r="G11" s="177"/>
      <c r="H11" s="177"/>
      <c r="I11" s="177"/>
      <c r="J11" s="175"/>
      <c r="K11" s="177">
        <f t="shared" si="0"/>
        <v>2000000</v>
      </c>
      <c r="L11" s="763" t="s">
        <v>179</v>
      </c>
      <c r="M11" s="134" t="s">
        <v>180</v>
      </c>
      <c r="N11" s="173" t="s">
        <v>180</v>
      </c>
      <c r="O11" s="139" t="s">
        <v>17</v>
      </c>
      <c r="P11" s="132" t="s">
        <v>181</v>
      </c>
      <c r="Q11" s="138" t="s">
        <v>186</v>
      </c>
      <c r="R11" s="142"/>
      <c r="S11" s="142"/>
      <c r="T11" s="142"/>
      <c r="U11" s="133"/>
    </row>
    <row r="12" spans="1:24" s="178" customFormat="1" ht="37.5">
      <c r="A12" s="142">
        <v>6</v>
      </c>
      <c r="B12" s="170">
        <v>4</v>
      </c>
      <c r="C12" s="174" t="s">
        <v>183</v>
      </c>
      <c r="D12" s="175">
        <v>2000000</v>
      </c>
      <c r="E12" s="175">
        <v>1</v>
      </c>
      <c r="F12" s="177">
        <v>2000000</v>
      </c>
      <c r="G12" s="176"/>
      <c r="H12" s="176"/>
      <c r="I12" s="141"/>
      <c r="J12" s="177">
        <v>2000000</v>
      </c>
      <c r="K12" s="177">
        <f t="shared" si="0"/>
        <v>4000000</v>
      </c>
      <c r="L12" s="763" t="s">
        <v>187</v>
      </c>
      <c r="M12" s="134" t="s">
        <v>188</v>
      </c>
      <c r="N12" s="173" t="s">
        <v>189</v>
      </c>
      <c r="O12" s="139" t="s">
        <v>17</v>
      </c>
      <c r="P12" s="132" t="s">
        <v>173</v>
      </c>
      <c r="Q12" s="138" t="s">
        <v>186</v>
      </c>
      <c r="R12" s="142"/>
      <c r="S12" s="142"/>
      <c r="T12" s="142"/>
      <c r="U12" s="133"/>
    </row>
    <row r="13" spans="1:24" s="178" customFormat="1" ht="56.25">
      <c r="A13" s="142">
        <v>6</v>
      </c>
      <c r="B13" s="170">
        <v>5</v>
      </c>
      <c r="C13" s="179" t="s">
        <v>190</v>
      </c>
      <c r="D13" s="175">
        <v>1000000</v>
      </c>
      <c r="E13" s="175">
        <v>1</v>
      </c>
      <c r="F13" s="177">
        <v>1000000</v>
      </c>
      <c r="G13" s="176"/>
      <c r="H13" s="177"/>
      <c r="I13" s="177"/>
      <c r="J13" s="177"/>
      <c r="K13" s="177">
        <f t="shared" si="0"/>
        <v>1000000</v>
      </c>
      <c r="L13" s="763" t="s">
        <v>191</v>
      </c>
      <c r="M13" s="134" t="s">
        <v>192</v>
      </c>
      <c r="N13" s="173" t="s">
        <v>193</v>
      </c>
      <c r="O13" s="139" t="s">
        <v>17</v>
      </c>
      <c r="P13" s="132" t="s">
        <v>10</v>
      </c>
      <c r="Q13" s="138" t="s">
        <v>186</v>
      </c>
      <c r="R13" s="142"/>
      <c r="S13" s="142"/>
      <c r="T13" s="142"/>
      <c r="U13" s="133"/>
    </row>
    <row r="14" spans="1:24" s="178" customFormat="1" ht="56.25">
      <c r="A14" s="142">
        <v>6</v>
      </c>
      <c r="B14" s="170">
        <v>6</v>
      </c>
      <c r="C14" s="179" t="s">
        <v>190</v>
      </c>
      <c r="D14" s="175">
        <v>1000000</v>
      </c>
      <c r="E14" s="175">
        <v>1</v>
      </c>
      <c r="F14" s="177">
        <v>1000000</v>
      </c>
      <c r="G14" s="176"/>
      <c r="H14" s="177"/>
      <c r="I14" s="177"/>
      <c r="J14" s="177"/>
      <c r="K14" s="177">
        <f t="shared" si="0"/>
        <v>1000000</v>
      </c>
      <c r="L14" s="763" t="s">
        <v>194</v>
      </c>
      <c r="M14" s="134" t="s">
        <v>192</v>
      </c>
      <c r="N14" s="173" t="s">
        <v>193</v>
      </c>
      <c r="O14" s="139" t="s">
        <v>17</v>
      </c>
      <c r="P14" s="132" t="s">
        <v>10</v>
      </c>
      <c r="Q14" s="138" t="s">
        <v>186</v>
      </c>
      <c r="R14" s="142"/>
      <c r="S14" s="142"/>
      <c r="T14" s="142"/>
      <c r="U14" s="133"/>
    </row>
    <row r="15" spans="1:24" ht="37.5">
      <c r="A15" s="142">
        <v>6</v>
      </c>
      <c r="B15" s="170">
        <v>7</v>
      </c>
      <c r="C15" s="180" t="s">
        <v>195</v>
      </c>
      <c r="D15" s="181">
        <v>2000000</v>
      </c>
      <c r="E15" s="182">
        <v>2</v>
      </c>
      <c r="F15" s="182"/>
      <c r="G15" s="182"/>
      <c r="I15" s="182">
        <v>2000000</v>
      </c>
      <c r="J15" s="182"/>
      <c r="K15" s="177">
        <f t="shared" si="0"/>
        <v>2000000</v>
      </c>
      <c r="L15" s="779" t="s">
        <v>196</v>
      </c>
      <c r="M15" s="184" t="s">
        <v>159</v>
      </c>
      <c r="N15" s="184" t="s">
        <v>197</v>
      </c>
      <c r="O15" s="184" t="s">
        <v>17</v>
      </c>
      <c r="P15" s="184" t="s">
        <v>2</v>
      </c>
      <c r="Q15" s="185" t="s">
        <v>46</v>
      </c>
      <c r="V15" s="187"/>
    </row>
    <row r="16" spans="1:24" ht="75">
      <c r="A16" s="142">
        <v>6</v>
      </c>
      <c r="B16" s="170">
        <v>8</v>
      </c>
      <c r="C16" s="188" t="s">
        <v>198</v>
      </c>
      <c r="D16" s="189">
        <v>2000000</v>
      </c>
      <c r="E16" s="182">
        <v>1</v>
      </c>
      <c r="F16" s="182">
        <v>2000000</v>
      </c>
      <c r="G16" s="182"/>
      <c r="H16" s="182"/>
      <c r="I16" s="182"/>
      <c r="J16" s="182"/>
      <c r="K16" s="177">
        <f t="shared" si="0"/>
        <v>2000000</v>
      </c>
      <c r="L16" s="777" t="s">
        <v>196</v>
      </c>
      <c r="M16" s="184" t="s">
        <v>159</v>
      </c>
      <c r="N16" s="184" t="s">
        <v>197</v>
      </c>
      <c r="O16" s="184" t="s">
        <v>17</v>
      </c>
      <c r="P16" s="184" t="s">
        <v>2</v>
      </c>
      <c r="Q16" s="190" t="s">
        <v>35</v>
      </c>
    </row>
    <row r="17" spans="1:24" ht="37.5">
      <c r="A17" s="142">
        <v>6</v>
      </c>
      <c r="B17" s="170">
        <v>9</v>
      </c>
      <c r="C17" s="152" t="s">
        <v>199</v>
      </c>
      <c r="D17" s="191">
        <v>3090000</v>
      </c>
      <c r="E17" s="182">
        <v>1</v>
      </c>
      <c r="F17" s="182">
        <v>3090000</v>
      </c>
      <c r="G17" s="182"/>
      <c r="H17" s="182"/>
      <c r="I17" s="182"/>
      <c r="J17" s="182"/>
      <c r="K17" s="177">
        <f t="shared" si="0"/>
        <v>3090000</v>
      </c>
      <c r="L17" s="777" t="s">
        <v>196</v>
      </c>
      <c r="M17" s="184" t="s">
        <v>159</v>
      </c>
      <c r="N17" s="184" t="s">
        <v>197</v>
      </c>
      <c r="O17" s="184" t="s">
        <v>17</v>
      </c>
      <c r="P17" s="184" t="s">
        <v>2</v>
      </c>
      <c r="Q17" s="190" t="s">
        <v>48</v>
      </c>
    </row>
    <row r="18" spans="1:24" ht="37.5">
      <c r="A18" s="142">
        <v>6</v>
      </c>
      <c r="B18" s="170">
        <v>10</v>
      </c>
      <c r="C18" s="188" t="s">
        <v>200</v>
      </c>
      <c r="D18" s="192">
        <v>1400000</v>
      </c>
      <c r="E18" s="182">
        <v>2</v>
      </c>
      <c r="F18" s="182">
        <v>1400000</v>
      </c>
      <c r="G18" s="182">
        <v>1400000</v>
      </c>
      <c r="H18" s="182"/>
      <c r="I18" s="182"/>
      <c r="J18" s="182"/>
      <c r="K18" s="177">
        <f t="shared" si="0"/>
        <v>2800000</v>
      </c>
      <c r="L18" s="777" t="s">
        <v>196</v>
      </c>
      <c r="M18" s="184" t="s">
        <v>159</v>
      </c>
      <c r="N18" s="184" t="s">
        <v>197</v>
      </c>
      <c r="O18" s="184" t="s">
        <v>17</v>
      </c>
      <c r="P18" s="184" t="s">
        <v>2</v>
      </c>
      <c r="Q18" s="190" t="s">
        <v>35</v>
      </c>
    </row>
    <row r="19" spans="1:24">
      <c r="A19" s="142">
        <v>6</v>
      </c>
      <c r="B19" s="170">
        <v>11</v>
      </c>
      <c r="C19" s="152" t="s">
        <v>78</v>
      </c>
      <c r="D19" s="193">
        <v>550000</v>
      </c>
      <c r="E19" s="182">
        <v>2</v>
      </c>
      <c r="F19" s="182">
        <v>550000</v>
      </c>
      <c r="G19" s="182">
        <v>550000</v>
      </c>
      <c r="H19" s="182"/>
      <c r="I19" s="182"/>
      <c r="J19" s="182"/>
      <c r="K19" s="177">
        <f t="shared" si="0"/>
        <v>1100000</v>
      </c>
      <c r="L19" s="777" t="s">
        <v>196</v>
      </c>
      <c r="M19" s="184" t="s">
        <v>159</v>
      </c>
      <c r="N19" s="184" t="s">
        <v>197</v>
      </c>
      <c r="O19" s="184" t="s">
        <v>17</v>
      </c>
      <c r="P19" s="184" t="s">
        <v>2</v>
      </c>
      <c r="Q19" s="190" t="s">
        <v>35</v>
      </c>
    </row>
    <row r="20" spans="1:24" ht="37.5">
      <c r="A20" s="142">
        <v>6</v>
      </c>
      <c r="B20" s="170">
        <v>12</v>
      </c>
      <c r="C20" s="152" t="s">
        <v>201</v>
      </c>
      <c r="D20" s="193">
        <v>370000</v>
      </c>
      <c r="E20" s="182">
        <v>1</v>
      </c>
      <c r="F20" s="182">
        <v>370000</v>
      </c>
      <c r="G20" s="182"/>
      <c r="H20" s="182"/>
      <c r="I20" s="182"/>
      <c r="J20" s="182"/>
      <c r="K20" s="177">
        <f t="shared" si="0"/>
        <v>370000</v>
      </c>
      <c r="L20" s="777" t="s">
        <v>202</v>
      </c>
      <c r="M20" s="134" t="s">
        <v>203</v>
      </c>
      <c r="N20" s="173" t="s">
        <v>204</v>
      </c>
      <c r="O20" s="139" t="s">
        <v>17</v>
      </c>
      <c r="P20" s="132" t="s">
        <v>181</v>
      </c>
      <c r="Q20" s="190" t="s">
        <v>35</v>
      </c>
    </row>
    <row r="21" spans="1:24" ht="37.5">
      <c r="A21" s="142">
        <v>6</v>
      </c>
      <c r="B21" s="170">
        <v>13</v>
      </c>
      <c r="C21" s="152" t="s">
        <v>114</v>
      </c>
      <c r="D21" s="193">
        <v>3090000</v>
      </c>
      <c r="E21" s="182">
        <v>1</v>
      </c>
      <c r="F21" s="182">
        <v>3090000</v>
      </c>
      <c r="G21" s="182"/>
      <c r="H21" s="182"/>
      <c r="I21" s="182"/>
      <c r="J21" s="182"/>
      <c r="K21" s="177">
        <f t="shared" si="0"/>
        <v>3090000</v>
      </c>
      <c r="L21" s="777" t="s">
        <v>196</v>
      </c>
      <c r="M21" s="184" t="s">
        <v>159</v>
      </c>
      <c r="N21" s="184" t="s">
        <v>197</v>
      </c>
      <c r="O21" s="184" t="s">
        <v>17</v>
      </c>
      <c r="P21" s="184" t="s">
        <v>2</v>
      </c>
      <c r="Q21" s="190" t="s">
        <v>35</v>
      </c>
    </row>
    <row r="22" spans="1:24">
      <c r="A22" s="142">
        <v>6</v>
      </c>
      <c r="B22" s="170">
        <v>14</v>
      </c>
      <c r="C22" s="152" t="s">
        <v>205</v>
      </c>
      <c r="D22" s="193">
        <v>535000</v>
      </c>
      <c r="E22" s="182">
        <v>1</v>
      </c>
      <c r="G22" s="182">
        <v>535000</v>
      </c>
      <c r="H22" s="182"/>
      <c r="I22" s="182"/>
      <c r="J22" s="182"/>
      <c r="K22" s="177">
        <f t="shared" si="0"/>
        <v>535000</v>
      </c>
      <c r="L22" s="777" t="s">
        <v>196</v>
      </c>
      <c r="M22" s="184" t="s">
        <v>159</v>
      </c>
      <c r="N22" s="184" t="s">
        <v>197</v>
      </c>
      <c r="O22" s="184" t="s">
        <v>17</v>
      </c>
      <c r="P22" s="184" t="s">
        <v>2</v>
      </c>
      <c r="Q22" s="190" t="s">
        <v>48</v>
      </c>
    </row>
    <row r="23" spans="1:24">
      <c r="A23" s="142">
        <v>6</v>
      </c>
      <c r="B23" s="170">
        <v>15</v>
      </c>
      <c r="C23" s="152" t="s">
        <v>206</v>
      </c>
      <c r="D23" s="193">
        <v>1550000</v>
      </c>
      <c r="E23" s="182">
        <v>3</v>
      </c>
      <c r="F23" s="182">
        <v>1550000</v>
      </c>
      <c r="G23" s="182">
        <v>1550000</v>
      </c>
      <c r="H23" s="182">
        <v>1550000</v>
      </c>
      <c r="I23" s="182"/>
      <c r="J23" s="182"/>
      <c r="K23" s="177">
        <f t="shared" si="0"/>
        <v>4650000</v>
      </c>
      <c r="L23" s="777" t="s">
        <v>196</v>
      </c>
      <c r="M23" s="184" t="s">
        <v>159</v>
      </c>
      <c r="N23" s="184" t="s">
        <v>197</v>
      </c>
      <c r="O23" s="184" t="s">
        <v>17</v>
      </c>
      <c r="P23" s="184" t="s">
        <v>2</v>
      </c>
      <c r="Q23" s="190" t="s">
        <v>35</v>
      </c>
    </row>
    <row r="24" spans="1:24" s="178" customFormat="1" ht="37.5">
      <c r="A24" s="142">
        <v>6</v>
      </c>
      <c r="B24" s="170">
        <v>16</v>
      </c>
      <c r="C24" s="174" t="s">
        <v>183</v>
      </c>
      <c r="D24" s="175">
        <v>2000000</v>
      </c>
      <c r="E24" s="175">
        <v>1</v>
      </c>
      <c r="F24" s="175"/>
      <c r="G24" s="175">
        <v>2000000</v>
      </c>
      <c r="H24" s="175"/>
      <c r="I24" s="175"/>
      <c r="J24" s="175"/>
      <c r="K24" s="177">
        <f t="shared" si="0"/>
        <v>2000000</v>
      </c>
      <c r="L24" s="763" t="s">
        <v>207</v>
      </c>
      <c r="M24" s="134" t="s">
        <v>192</v>
      </c>
      <c r="N24" s="173" t="s">
        <v>192</v>
      </c>
      <c r="O24" s="139" t="s">
        <v>17</v>
      </c>
      <c r="P24" s="132" t="s">
        <v>173</v>
      </c>
      <c r="Q24" s="138" t="s">
        <v>186</v>
      </c>
      <c r="R24" s="142"/>
      <c r="S24" s="142"/>
      <c r="T24" s="142"/>
      <c r="U24" s="133"/>
    </row>
    <row r="25" spans="1:24" s="178" customFormat="1" ht="37.5">
      <c r="A25" s="142">
        <v>6</v>
      </c>
      <c r="B25" s="170">
        <v>17</v>
      </c>
      <c r="C25" s="174" t="s">
        <v>183</v>
      </c>
      <c r="D25" s="175">
        <v>2000000</v>
      </c>
      <c r="E25" s="175">
        <v>1</v>
      </c>
      <c r="F25" s="175"/>
      <c r="G25" s="177">
        <v>2000000</v>
      </c>
      <c r="H25" s="177"/>
      <c r="I25" s="177"/>
      <c r="J25" s="175"/>
      <c r="K25" s="177">
        <f t="shared" si="0"/>
        <v>2000000</v>
      </c>
      <c r="L25" s="763" t="s">
        <v>208</v>
      </c>
      <c r="M25" s="134" t="s">
        <v>209</v>
      </c>
      <c r="N25" s="173" t="s">
        <v>210</v>
      </c>
      <c r="O25" s="139" t="s">
        <v>17</v>
      </c>
      <c r="P25" s="132" t="s">
        <v>173</v>
      </c>
      <c r="Q25" s="138" t="s">
        <v>186</v>
      </c>
      <c r="R25" s="142"/>
      <c r="S25" s="142"/>
      <c r="T25" s="142"/>
      <c r="U25" s="133"/>
    </row>
    <row r="26" spans="1:24" s="178" customFormat="1" ht="37.5">
      <c r="A26" s="142">
        <v>6</v>
      </c>
      <c r="B26" s="170">
        <v>18</v>
      </c>
      <c r="C26" s="174" t="s">
        <v>183</v>
      </c>
      <c r="D26" s="175">
        <v>2000000</v>
      </c>
      <c r="E26" s="175">
        <v>1</v>
      </c>
      <c r="F26" s="175"/>
      <c r="G26" s="194"/>
      <c r="H26" s="177"/>
      <c r="I26" s="177">
        <v>2000000</v>
      </c>
      <c r="J26" s="175"/>
      <c r="K26" s="177">
        <f t="shared" si="0"/>
        <v>2000000</v>
      </c>
      <c r="L26" s="763" t="s">
        <v>211</v>
      </c>
      <c r="M26" s="134" t="s">
        <v>212</v>
      </c>
      <c r="N26" s="173" t="s">
        <v>213</v>
      </c>
      <c r="O26" s="139" t="s">
        <v>17</v>
      </c>
      <c r="P26" s="132" t="s">
        <v>173</v>
      </c>
      <c r="Q26" s="138" t="s">
        <v>186</v>
      </c>
      <c r="R26" s="142"/>
      <c r="S26" s="142"/>
      <c r="T26" s="142"/>
      <c r="U26" s="133"/>
    </row>
    <row r="27" spans="1:24" s="178" customFormat="1" ht="37.5">
      <c r="A27" s="142">
        <v>6</v>
      </c>
      <c r="B27" s="170">
        <v>19</v>
      </c>
      <c r="C27" s="174" t="s">
        <v>183</v>
      </c>
      <c r="D27" s="175">
        <v>2000000</v>
      </c>
      <c r="E27" s="175">
        <v>1</v>
      </c>
      <c r="F27" s="175"/>
      <c r="G27" s="194"/>
      <c r="H27" s="177">
        <v>2000000</v>
      </c>
      <c r="I27" s="177"/>
      <c r="J27" s="175"/>
      <c r="K27" s="177">
        <f t="shared" si="0"/>
        <v>2000000</v>
      </c>
      <c r="L27" s="763" t="s">
        <v>214</v>
      </c>
      <c r="M27" s="134" t="s">
        <v>212</v>
      </c>
      <c r="N27" s="173" t="s">
        <v>212</v>
      </c>
      <c r="O27" s="139" t="s">
        <v>17</v>
      </c>
      <c r="P27" s="132" t="s">
        <v>173</v>
      </c>
      <c r="Q27" s="138" t="s">
        <v>186</v>
      </c>
      <c r="R27" s="142"/>
      <c r="S27" s="142"/>
      <c r="T27" s="142"/>
      <c r="U27" s="133"/>
    </row>
    <row r="28" spans="1:24" ht="37.5">
      <c r="A28" s="142">
        <v>6</v>
      </c>
      <c r="B28" s="170">
        <v>20</v>
      </c>
      <c r="C28" s="152" t="s">
        <v>215</v>
      </c>
      <c r="D28" s="193">
        <v>4640000</v>
      </c>
      <c r="E28" s="182">
        <v>1</v>
      </c>
      <c r="F28" s="182"/>
      <c r="G28" s="182">
        <v>4640000</v>
      </c>
      <c r="H28" s="182"/>
      <c r="I28" s="182"/>
      <c r="J28" s="182"/>
      <c r="K28" s="177">
        <f t="shared" si="0"/>
        <v>4640000</v>
      </c>
      <c r="L28" s="777" t="s">
        <v>196</v>
      </c>
      <c r="M28" s="184" t="s">
        <v>159</v>
      </c>
      <c r="N28" s="184" t="s">
        <v>197</v>
      </c>
      <c r="O28" s="184" t="s">
        <v>17</v>
      </c>
      <c r="P28" s="184" t="s">
        <v>2</v>
      </c>
      <c r="Q28" s="190" t="s">
        <v>35</v>
      </c>
    </row>
    <row r="29" spans="1:24" ht="37.5">
      <c r="A29" s="142">
        <v>6</v>
      </c>
      <c r="B29" s="170">
        <v>21</v>
      </c>
      <c r="C29" s="188" t="s">
        <v>216</v>
      </c>
      <c r="D29" s="191">
        <v>245000</v>
      </c>
      <c r="E29" s="182">
        <v>1</v>
      </c>
      <c r="F29" s="182"/>
      <c r="G29" s="182">
        <v>245000</v>
      </c>
      <c r="H29" s="182"/>
      <c r="I29" s="182"/>
      <c r="J29" s="182"/>
      <c r="K29" s="177">
        <f t="shared" si="0"/>
        <v>245000</v>
      </c>
      <c r="L29" s="777" t="s">
        <v>196</v>
      </c>
      <c r="M29" s="184" t="s">
        <v>159</v>
      </c>
      <c r="N29" s="184" t="s">
        <v>197</v>
      </c>
      <c r="O29" s="184" t="s">
        <v>17</v>
      </c>
      <c r="P29" s="184" t="s">
        <v>2</v>
      </c>
      <c r="Q29" s="190" t="s">
        <v>48</v>
      </c>
    </row>
    <row r="30" spans="1:24" ht="37.5">
      <c r="A30" s="142">
        <v>6</v>
      </c>
      <c r="B30" s="170">
        <v>22</v>
      </c>
      <c r="C30" s="188" t="s">
        <v>217</v>
      </c>
      <c r="D30" s="191">
        <v>5000000</v>
      </c>
      <c r="E30" s="182">
        <v>1</v>
      </c>
      <c r="F30" s="182"/>
      <c r="G30" s="182">
        <v>5000000</v>
      </c>
      <c r="H30" s="182"/>
      <c r="I30" s="182"/>
      <c r="J30" s="182"/>
      <c r="K30" s="177">
        <f t="shared" si="0"/>
        <v>5000000</v>
      </c>
      <c r="L30" s="777" t="s">
        <v>196</v>
      </c>
      <c r="M30" s="184" t="s">
        <v>159</v>
      </c>
      <c r="N30" s="184" t="s">
        <v>197</v>
      </c>
      <c r="O30" s="184" t="s">
        <v>17</v>
      </c>
      <c r="P30" s="184" t="s">
        <v>2</v>
      </c>
      <c r="Q30" s="190" t="s">
        <v>48</v>
      </c>
    </row>
    <row r="31" spans="1:24" ht="63">
      <c r="A31" s="142">
        <v>6</v>
      </c>
      <c r="B31" s="170">
        <v>23</v>
      </c>
      <c r="C31" s="195" t="s">
        <v>218</v>
      </c>
      <c r="D31" s="196">
        <v>2500000</v>
      </c>
      <c r="E31" s="182">
        <v>1</v>
      </c>
      <c r="F31" s="182"/>
      <c r="G31" s="182">
        <v>2500000</v>
      </c>
      <c r="H31" s="182"/>
      <c r="I31" s="182"/>
      <c r="J31" s="182"/>
      <c r="K31" s="177">
        <f t="shared" si="0"/>
        <v>2500000</v>
      </c>
      <c r="L31" s="777" t="s">
        <v>196</v>
      </c>
      <c r="M31" s="184" t="s">
        <v>159</v>
      </c>
      <c r="N31" s="184" t="s">
        <v>197</v>
      </c>
      <c r="O31" s="184" t="s">
        <v>17</v>
      </c>
      <c r="P31" s="184" t="s">
        <v>2</v>
      </c>
      <c r="Q31" s="190" t="s">
        <v>48</v>
      </c>
    </row>
    <row r="32" spans="1:24" s="141" customFormat="1" ht="56.25">
      <c r="A32" s="142">
        <v>6</v>
      </c>
      <c r="B32" s="170">
        <v>24</v>
      </c>
      <c r="C32" s="140" t="s">
        <v>157</v>
      </c>
      <c r="D32" s="171">
        <v>4200000</v>
      </c>
      <c r="E32" s="135">
        <v>1</v>
      </c>
      <c r="F32" s="176"/>
      <c r="H32" s="172">
        <v>4200000</v>
      </c>
      <c r="I32" s="132"/>
      <c r="J32" s="135"/>
      <c r="K32" s="177">
        <f t="shared" si="0"/>
        <v>4200000</v>
      </c>
      <c r="L32" s="763" t="s">
        <v>202</v>
      </c>
      <c r="M32" s="134" t="s">
        <v>203</v>
      </c>
      <c r="N32" s="173" t="s">
        <v>204</v>
      </c>
      <c r="O32" s="138" t="s">
        <v>17</v>
      </c>
      <c r="P32" s="132" t="s">
        <v>181</v>
      </c>
      <c r="Q32" s="138" t="s">
        <v>182</v>
      </c>
      <c r="R32" s="143"/>
      <c r="S32" s="143"/>
      <c r="T32" s="143"/>
      <c r="U32" s="140"/>
      <c r="V32" s="130"/>
      <c r="W32" s="130"/>
      <c r="X32" s="130"/>
    </row>
    <row r="33" spans="1:24" s="141" customFormat="1" ht="75">
      <c r="A33" s="142">
        <v>6</v>
      </c>
      <c r="B33" s="170">
        <v>25</v>
      </c>
      <c r="C33" s="140" t="s">
        <v>219</v>
      </c>
      <c r="D33" s="171">
        <v>2500000</v>
      </c>
      <c r="E33" s="135">
        <v>1</v>
      </c>
      <c r="F33" s="176"/>
      <c r="G33" s="135"/>
      <c r="H33" s="172">
        <v>2500000</v>
      </c>
      <c r="I33" s="132"/>
      <c r="J33" s="135"/>
      <c r="K33" s="177">
        <f t="shared" si="0"/>
        <v>2500000</v>
      </c>
      <c r="L33" s="763" t="s">
        <v>202</v>
      </c>
      <c r="M33" s="134" t="s">
        <v>203</v>
      </c>
      <c r="N33" s="173" t="s">
        <v>204</v>
      </c>
      <c r="O33" s="139" t="s">
        <v>17</v>
      </c>
      <c r="P33" s="132" t="s">
        <v>181</v>
      </c>
      <c r="Q33" s="138" t="s">
        <v>182</v>
      </c>
      <c r="R33" s="143"/>
      <c r="S33" s="143"/>
      <c r="T33" s="143"/>
      <c r="U33" s="140"/>
      <c r="V33" s="130"/>
      <c r="W33" s="130"/>
      <c r="X33" s="130"/>
    </row>
    <row r="34" spans="1:24" s="141" customFormat="1" ht="37.5">
      <c r="A34" s="142">
        <v>6</v>
      </c>
      <c r="B34" s="170">
        <v>26</v>
      </c>
      <c r="C34" s="140" t="s">
        <v>220</v>
      </c>
      <c r="D34" s="171">
        <v>1340000</v>
      </c>
      <c r="E34" s="135">
        <v>1</v>
      </c>
      <c r="F34" s="176"/>
      <c r="G34" s="135"/>
      <c r="H34" s="172">
        <v>1340000</v>
      </c>
      <c r="I34" s="132"/>
      <c r="J34" s="135"/>
      <c r="K34" s="177">
        <f t="shared" si="0"/>
        <v>1340000</v>
      </c>
      <c r="L34" s="763" t="s">
        <v>202</v>
      </c>
      <c r="M34" s="134" t="s">
        <v>203</v>
      </c>
      <c r="N34" s="173" t="s">
        <v>204</v>
      </c>
      <c r="O34" s="139" t="s">
        <v>17</v>
      </c>
      <c r="P34" s="132" t="s">
        <v>181</v>
      </c>
      <c r="Q34" s="138" t="s">
        <v>182</v>
      </c>
      <c r="R34" s="143"/>
      <c r="S34" s="143"/>
      <c r="T34" s="143"/>
      <c r="U34" s="140"/>
      <c r="V34" s="178"/>
      <c r="W34" s="178"/>
      <c r="X34" s="178"/>
    </row>
    <row r="35" spans="1:24" s="141" customFormat="1" ht="56.25">
      <c r="A35" s="142">
        <v>6</v>
      </c>
      <c r="B35" s="170">
        <v>27</v>
      </c>
      <c r="C35" s="140" t="s">
        <v>221</v>
      </c>
      <c r="D35" s="171">
        <v>850000</v>
      </c>
      <c r="E35" s="135">
        <v>6</v>
      </c>
      <c r="F35" s="176"/>
      <c r="G35" s="176"/>
      <c r="H35" s="197">
        <v>5100000</v>
      </c>
      <c r="I35" s="132"/>
      <c r="J35" s="135"/>
      <c r="K35" s="177">
        <f t="shared" si="0"/>
        <v>5100000</v>
      </c>
      <c r="L35" s="763" t="s">
        <v>202</v>
      </c>
      <c r="M35" s="134" t="s">
        <v>203</v>
      </c>
      <c r="N35" s="173" t="s">
        <v>204</v>
      </c>
      <c r="O35" s="139" t="s">
        <v>17</v>
      </c>
      <c r="P35" s="132" t="s">
        <v>181</v>
      </c>
      <c r="Q35" s="138" t="s">
        <v>182</v>
      </c>
      <c r="R35" s="143"/>
      <c r="S35" s="143"/>
      <c r="T35" s="143"/>
      <c r="U35" s="140"/>
      <c r="V35" s="178"/>
      <c r="W35" s="178"/>
      <c r="X35" s="178"/>
    </row>
    <row r="36" spans="1:24" s="141" customFormat="1" ht="37.5">
      <c r="A36" s="142">
        <v>6</v>
      </c>
      <c r="B36" s="170">
        <v>28</v>
      </c>
      <c r="C36" s="140" t="s">
        <v>222</v>
      </c>
      <c r="D36" s="171">
        <v>130000</v>
      </c>
      <c r="E36" s="135">
        <v>6</v>
      </c>
      <c r="F36" s="176"/>
      <c r="G36" s="176"/>
      <c r="H36" s="197">
        <v>780000</v>
      </c>
      <c r="I36" s="132"/>
      <c r="J36" s="135"/>
      <c r="K36" s="177">
        <f t="shared" si="0"/>
        <v>780000</v>
      </c>
      <c r="L36" s="763" t="s">
        <v>202</v>
      </c>
      <c r="M36" s="134" t="s">
        <v>203</v>
      </c>
      <c r="N36" s="173" t="s">
        <v>204</v>
      </c>
      <c r="O36" s="139" t="s">
        <v>17</v>
      </c>
      <c r="P36" s="132" t="s">
        <v>181</v>
      </c>
      <c r="Q36" s="138" t="s">
        <v>182</v>
      </c>
      <c r="R36" s="143"/>
      <c r="S36" s="143"/>
      <c r="T36" s="143"/>
      <c r="U36" s="140"/>
      <c r="V36" s="178"/>
      <c r="W36" s="178"/>
      <c r="X36" s="178"/>
    </row>
    <row r="37" spans="1:24" ht="37.5">
      <c r="A37" s="142">
        <v>6</v>
      </c>
      <c r="B37" s="170">
        <v>29</v>
      </c>
      <c r="C37" s="198" t="s">
        <v>223</v>
      </c>
      <c r="D37" s="193">
        <v>800000</v>
      </c>
      <c r="E37" s="182">
        <v>2</v>
      </c>
      <c r="F37" s="182"/>
      <c r="G37" s="182"/>
      <c r="H37" s="182">
        <v>800000</v>
      </c>
      <c r="I37" s="182">
        <v>800000</v>
      </c>
      <c r="K37" s="177">
        <f t="shared" si="0"/>
        <v>1600000</v>
      </c>
      <c r="L37" s="777" t="s">
        <v>202</v>
      </c>
      <c r="M37" s="134" t="s">
        <v>203</v>
      </c>
      <c r="N37" s="173" t="s">
        <v>204</v>
      </c>
      <c r="O37" s="139" t="s">
        <v>17</v>
      </c>
      <c r="P37" s="132" t="s">
        <v>181</v>
      </c>
      <c r="Q37" s="190" t="s">
        <v>35</v>
      </c>
    </row>
    <row r="38" spans="1:24">
      <c r="A38" s="142">
        <v>6</v>
      </c>
      <c r="B38" s="170">
        <v>30</v>
      </c>
      <c r="C38" s="152" t="s">
        <v>224</v>
      </c>
      <c r="D38" s="193">
        <v>1550000</v>
      </c>
      <c r="E38" s="182">
        <v>1</v>
      </c>
      <c r="F38" s="182"/>
      <c r="G38" s="182"/>
      <c r="H38" s="182">
        <v>1550000</v>
      </c>
      <c r="I38" s="182"/>
      <c r="J38" s="182"/>
      <c r="K38" s="177">
        <f t="shared" si="0"/>
        <v>1550000</v>
      </c>
      <c r="L38" s="777" t="s">
        <v>196</v>
      </c>
      <c r="M38" s="184" t="s">
        <v>159</v>
      </c>
      <c r="N38" s="184" t="s">
        <v>197</v>
      </c>
      <c r="O38" s="184" t="s">
        <v>17</v>
      </c>
      <c r="P38" s="184" t="s">
        <v>2</v>
      </c>
      <c r="Q38" s="190" t="s">
        <v>48</v>
      </c>
    </row>
    <row r="39" spans="1:24">
      <c r="A39" s="142">
        <v>6</v>
      </c>
      <c r="B39" s="170">
        <v>31</v>
      </c>
      <c r="C39" s="152" t="s">
        <v>225</v>
      </c>
      <c r="D39" s="191">
        <v>11770000</v>
      </c>
      <c r="E39" s="182">
        <v>1</v>
      </c>
      <c r="F39" s="182"/>
      <c r="G39" s="182"/>
      <c r="I39" s="182">
        <v>11770000</v>
      </c>
      <c r="J39" s="182"/>
      <c r="K39" s="177">
        <f t="shared" si="0"/>
        <v>11770000</v>
      </c>
      <c r="L39" s="777" t="s">
        <v>196</v>
      </c>
      <c r="M39" s="184" t="s">
        <v>159</v>
      </c>
      <c r="N39" s="184" t="s">
        <v>197</v>
      </c>
      <c r="O39" s="184" t="s">
        <v>17</v>
      </c>
      <c r="P39" s="184" t="s">
        <v>2</v>
      </c>
      <c r="Q39" s="190" t="s">
        <v>48</v>
      </c>
    </row>
    <row r="40" spans="1:24" s="178" customFormat="1" ht="56.25">
      <c r="A40" s="142">
        <v>6</v>
      </c>
      <c r="B40" s="170">
        <v>32</v>
      </c>
      <c r="C40" s="199" t="s">
        <v>226</v>
      </c>
      <c r="D40" s="200">
        <v>1294000</v>
      </c>
      <c r="E40" s="175">
        <v>1</v>
      </c>
      <c r="F40" s="200"/>
      <c r="G40" s="176"/>
      <c r="H40" s="176"/>
      <c r="I40" s="194"/>
      <c r="J40" s="200">
        <v>1294000</v>
      </c>
      <c r="K40" s="177">
        <f t="shared" si="0"/>
        <v>1294000</v>
      </c>
      <c r="L40" s="763" t="s">
        <v>227</v>
      </c>
      <c r="M40" s="134" t="s">
        <v>228</v>
      </c>
      <c r="N40" s="173" t="s">
        <v>228</v>
      </c>
      <c r="O40" s="139" t="s">
        <v>17</v>
      </c>
      <c r="P40" s="132" t="s">
        <v>181</v>
      </c>
      <c r="Q40" s="138" t="s">
        <v>186</v>
      </c>
      <c r="R40" s="142"/>
      <c r="S40" s="142"/>
      <c r="T40" s="142"/>
      <c r="U40" s="133"/>
    </row>
    <row r="41" spans="1:24" s="178" customFormat="1" ht="56.25">
      <c r="A41" s="142">
        <v>6</v>
      </c>
      <c r="B41" s="170">
        <v>33</v>
      </c>
      <c r="C41" s="199" t="s">
        <v>226</v>
      </c>
      <c r="D41" s="200">
        <v>1294000</v>
      </c>
      <c r="E41" s="175">
        <v>1</v>
      </c>
      <c r="F41" s="200"/>
      <c r="G41" s="176"/>
      <c r="H41" s="176"/>
      <c r="I41" s="194"/>
      <c r="J41" s="200">
        <v>1294000</v>
      </c>
      <c r="K41" s="177">
        <f t="shared" si="0"/>
        <v>1294000</v>
      </c>
      <c r="L41" s="763" t="s">
        <v>179</v>
      </c>
      <c r="M41" s="134" t="s">
        <v>180</v>
      </c>
      <c r="N41" s="173" t="s">
        <v>180</v>
      </c>
      <c r="O41" s="139" t="s">
        <v>17</v>
      </c>
      <c r="P41" s="132" t="s">
        <v>181</v>
      </c>
      <c r="Q41" s="138" t="s">
        <v>186</v>
      </c>
      <c r="R41" s="142"/>
      <c r="S41" s="142"/>
      <c r="T41" s="142"/>
      <c r="U41" s="133"/>
    </row>
    <row r="42" spans="1:24" s="178" customFormat="1" ht="56.25">
      <c r="A42" s="142">
        <v>6</v>
      </c>
      <c r="B42" s="170">
        <v>34</v>
      </c>
      <c r="C42" s="199" t="s">
        <v>226</v>
      </c>
      <c r="D42" s="200">
        <v>1294000</v>
      </c>
      <c r="E42" s="175">
        <v>1</v>
      </c>
      <c r="F42" s="200"/>
      <c r="G42" s="176"/>
      <c r="H42" s="176"/>
      <c r="I42" s="194"/>
      <c r="J42" s="200">
        <v>1294000</v>
      </c>
      <c r="K42" s="177">
        <f t="shared" si="0"/>
        <v>1294000</v>
      </c>
      <c r="L42" s="763" t="s">
        <v>184</v>
      </c>
      <c r="M42" s="134" t="s">
        <v>185</v>
      </c>
      <c r="N42" s="173" t="s">
        <v>185</v>
      </c>
      <c r="O42" s="139" t="s">
        <v>17</v>
      </c>
      <c r="P42" s="132" t="s">
        <v>181</v>
      </c>
      <c r="Q42" s="138" t="s">
        <v>186</v>
      </c>
      <c r="R42" s="142"/>
      <c r="S42" s="142"/>
      <c r="T42" s="142"/>
      <c r="U42" s="133"/>
    </row>
    <row r="43" spans="1:24" s="178" customFormat="1" ht="56.25">
      <c r="A43" s="142">
        <v>6</v>
      </c>
      <c r="B43" s="170">
        <v>35</v>
      </c>
      <c r="C43" s="199" t="s">
        <v>226</v>
      </c>
      <c r="D43" s="200">
        <v>1294000</v>
      </c>
      <c r="E43" s="175">
        <v>1</v>
      </c>
      <c r="F43" s="200"/>
      <c r="G43" s="176"/>
      <c r="H43" s="176"/>
      <c r="I43" s="194"/>
      <c r="J43" s="200">
        <v>1294000</v>
      </c>
      <c r="K43" s="177">
        <f t="shared" si="0"/>
        <v>1294000</v>
      </c>
      <c r="L43" s="763" t="s">
        <v>229</v>
      </c>
      <c r="M43" s="134" t="s">
        <v>212</v>
      </c>
      <c r="N43" s="173" t="s">
        <v>230</v>
      </c>
      <c r="O43" s="139" t="s">
        <v>17</v>
      </c>
      <c r="P43" s="132" t="s">
        <v>173</v>
      </c>
      <c r="Q43" s="138" t="s">
        <v>186</v>
      </c>
      <c r="R43" s="142"/>
      <c r="S43" s="142"/>
      <c r="T43" s="142"/>
      <c r="U43" s="133"/>
    </row>
    <row r="44" spans="1:24" s="178" customFormat="1" ht="56.25">
      <c r="A44" s="142">
        <v>6</v>
      </c>
      <c r="B44" s="170">
        <v>36</v>
      </c>
      <c r="C44" s="199" t="s">
        <v>226</v>
      </c>
      <c r="D44" s="200">
        <v>1294000</v>
      </c>
      <c r="E44" s="175">
        <v>1</v>
      </c>
      <c r="F44" s="175"/>
      <c r="G44" s="200"/>
      <c r="H44" s="176"/>
      <c r="I44" s="194"/>
      <c r="J44" s="200">
        <v>1294000</v>
      </c>
      <c r="K44" s="177">
        <f t="shared" si="0"/>
        <v>1294000</v>
      </c>
      <c r="L44" s="763" t="s">
        <v>231</v>
      </c>
      <c r="M44" s="134" t="s">
        <v>232</v>
      </c>
      <c r="N44" s="173" t="s">
        <v>233</v>
      </c>
      <c r="O44" s="139" t="s">
        <v>17</v>
      </c>
      <c r="P44" s="132" t="s">
        <v>173</v>
      </c>
      <c r="Q44" s="138" t="s">
        <v>186</v>
      </c>
      <c r="R44" s="142"/>
      <c r="S44" s="142"/>
      <c r="T44" s="142"/>
      <c r="U44" s="133"/>
    </row>
    <row r="45" spans="1:24" s="178" customFormat="1" ht="56.25">
      <c r="A45" s="142">
        <v>6</v>
      </c>
      <c r="B45" s="170">
        <v>37</v>
      </c>
      <c r="C45" s="199" t="s">
        <v>226</v>
      </c>
      <c r="D45" s="200">
        <v>1294000</v>
      </c>
      <c r="E45" s="175">
        <v>1</v>
      </c>
      <c r="F45" s="175"/>
      <c r="G45" s="200"/>
      <c r="H45" s="176"/>
      <c r="I45" s="194"/>
      <c r="J45" s="200">
        <v>1294000</v>
      </c>
      <c r="K45" s="177">
        <f t="shared" si="0"/>
        <v>1294000</v>
      </c>
      <c r="L45" s="763" t="s">
        <v>187</v>
      </c>
      <c r="M45" s="134" t="s">
        <v>188</v>
      </c>
      <c r="N45" s="173" t="s">
        <v>189</v>
      </c>
      <c r="O45" s="139" t="s">
        <v>17</v>
      </c>
      <c r="P45" s="132" t="s">
        <v>173</v>
      </c>
      <c r="Q45" s="138" t="s">
        <v>186</v>
      </c>
      <c r="R45" s="142"/>
      <c r="S45" s="142"/>
      <c r="T45" s="142"/>
      <c r="U45" s="133"/>
    </row>
    <row r="46" spans="1:24" s="178" customFormat="1" ht="56.25">
      <c r="A46" s="142">
        <v>6</v>
      </c>
      <c r="B46" s="170">
        <v>38</v>
      </c>
      <c r="C46" s="199" t="s">
        <v>226</v>
      </c>
      <c r="D46" s="200">
        <v>1294000</v>
      </c>
      <c r="E46" s="175">
        <v>1</v>
      </c>
      <c r="F46" s="175"/>
      <c r="G46" s="176"/>
      <c r="H46" s="176"/>
      <c r="I46" s="194"/>
      <c r="J46" s="200">
        <v>1294000</v>
      </c>
      <c r="K46" s="177">
        <f t="shared" si="0"/>
        <v>1294000</v>
      </c>
      <c r="L46" s="763" t="s">
        <v>211</v>
      </c>
      <c r="M46" s="134" t="s">
        <v>212</v>
      </c>
      <c r="N46" s="173" t="s">
        <v>213</v>
      </c>
      <c r="O46" s="139" t="s">
        <v>17</v>
      </c>
      <c r="P46" s="132" t="s">
        <v>173</v>
      </c>
      <c r="Q46" s="138" t="s">
        <v>186</v>
      </c>
      <c r="R46" s="142"/>
      <c r="S46" s="142"/>
      <c r="T46" s="142"/>
      <c r="U46" s="133"/>
    </row>
    <row r="47" spans="1:24" s="178" customFormat="1" ht="56.25">
      <c r="A47" s="142">
        <v>6</v>
      </c>
      <c r="B47" s="170">
        <v>39</v>
      </c>
      <c r="C47" s="199" t="s">
        <v>226</v>
      </c>
      <c r="D47" s="200">
        <v>1294000</v>
      </c>
      <c r="E47" s="175">
        <v>1</v>
      </c>
      <c r="F47" s="175"/>
      <c r="G47" s="176"/>
      <c r="H47" s="176"/>
      <c r="I47" s="194"/>
      <c r="J47" s="200">
        <v>1294000</v>
      </c>
      <c r="K47" s="177">
        <f t="shared" si="0"/>
        <v>1294000</v>
      </c>
      <c r="L47" s="763" t="s">
        <v>207</v>
      </c>
      <c r="M47" s="134" t="s">
        <v>192</v>
      </c>
      <c r="N47" s="173" t="s">
        <v>192</v>
      </c>
      <c r="O47" s="139" t="s">
        <v>17</v>
      </c>
      <c r="P47" s="132" t="s">
        <v>173</v>
      </c>
      <c r="Q47" s="138" t="s">
        <v>186</v>
      </c>
      <c r="R47" s="142"/>
      <c r="S47" s="142"/>
      <c r="T47" s="142"/>
      <c r="U47" s="133"/>
    </row>
    <row r="48" spans="1:24" s="178" customFormat="1" ht="56.25">
      <c r="A48" s="142">
        <v>6</v>
      </c>
      <c r="B48" s="170">
        <v>40</v>
      </c>
      <c r="C48" s="199" t="s">
        <v>226</v>
      </c>
      <c r="D48" s="200">
        <v>1294000</v>
      </c>
      <c r="E48" s="175">
        <v>1</v>
      </c>
      <c r="F48" s="175"/>
      <c r="G48" s="176"/>
      <c r="H48" s="176"/>
      <c r="I48" s="194"/>
      <c r="J48" s="200">
        <v>1294000</v>
      </c>
      <c r="K48" s="177">
        <f t="shared" si="0"/>
        <v>1294000</v>
      </c>
      <c r="L48" s="763" t="s">
        <v>202</v>
      </c>
      <c r="M48" s="134" t="s">
        <v>203</v>
      </c>
      <c r="N48" s="173" t="s">
        <v>204</v>
      </c>
      <c r="O48" s="139" t="s">
        <v>17</v>
      </c>
      <c r="P48" s="132" t="s">
        <v>181</v>
      </c>
      <c r="Q48" s="138" t="s">
        <v>186</v>
      </c>
      <c r="R48" s="142"/>
      <c r="S48" s="142"/>
      <c r="T48" s="142"/>
      <c r="U48" s="133"/>
    </row>
    <row r="49" spans="1:24" ht="56.25">
      <c r="A49" s="142">
        <v>6</v>
      </c>
      <c r="B49" s="170">
        <v>41</v>
      </c>
      <c r="C49" s="188" t="s">
        <v>234</v>
      </c>
      <c r="D49" s="193">
        <v>4200000</v>
      </c>
      <c r="E49" s="182">
        <v>1</v>
      </c>
      <c r="F49" s="182"/>
      <c r="G49" s="182"/>
      <c r="H49" s="182"/>
      <c r="I49" s="182">
        <v>4200000</v>
      </c>
      <c r="J49" s="182"/>
      <c r="K49" s="177">
        <f t="shared" si="0"/>
        <v>4200000</v>
      </c>
      <c r="L49" s="777" t="s">
        <v>196</v>
      </c>
      <c r="M49" s="184" t="s">
        <v>159</v>
      </c>
      <c r="N49" s="184" t="s">
        <v>197</v>
      </c>
      <c r="O49" s="184" t="s">
        <v>17</v>
      </c>
      <c r="P49" s="184" t="s">
        <v>2</v>
      </c>
      <c r="Q49" s="190" t="s">
        <v>48</v>
      </c>
    </row>
    <row r="50" spans="1:24" s="178" customFormat="1" ht="78" customHeight="1">
      <c r="A50" s="142">
        <v>6</v>
      </c>
      <c r="B50" s="170">
        <v>42</v>
      </c>
      <c r="C50" s="199" t="s">
        <v>235</v>
      </c>
      <c r="D50" s="200">
        <v>5570500</v>
      </c>
      <c r="E50" s="175">
        <v>1</v>
      </c>
      <c r="F50" s="175"/>
      <c r="G50" s="176"/>
      <c r="H50" s="176"/>
      <c r="I50" s="176"/>
      <c r="J50" s="200">
        <v>5570500</v>
      </c>
      <c r="K50" s="177">
        <f>SUM(F50:J50)</f>
        <v>5570500</v>
      </c>
      <c r="L50" s="763" t="s">
        <v>202</v>
      </c>
      <c r="M50" s="134" t="s">
        <v>203</v>
      </c>
      <c r="N50" s="173" t="s">
        <v>204</v>
      </c>
      <c r="O50" s="139" t="s">
        <v>17</v>
      </c>
      <c r="P50" s="132" t="s">
        <v>181</v>
      </c>
      <c r="Q50" s="138" t="s">
        <v>182</v>
      </c>
      <c r="R50" s="142"/>
      <c r="S50" s="142"/>
      <c r="T50" s="142"/>
      <c r="U50" s="133"/>
    </row>
    <row r="51" spans="1:24" s="209" customFormat="1" ht="18.75" customHeight="1">
      <c r="A51" s="1427" t="s">
        <v>236</v>
      </c>
      <c r="B51" s="1427"/>
      <c r="C51" s="1427"/>
      <c r="D51" s="1427"/>
      <c r="E51" s="1427"/>
      <c r="F51" s="201">
        <f>SUM(F9:F50)</f>
        <v>20840000</v>
      </c>
      <c r="G51" s="201">
        <f t="shared" ref="G51:K51" si="1">SUM(G9:G50)</f>
        <v>20420000</v>
      </c>
      <c r="H51" s="201">
        <f t="shared" si="1"/>
        <v>19820000</v>
      </c>
      <c r="I51" s="201">
        <f t="shared" si="1"/>
        <v>20770000</v>
      </c>
      <c r="J51" s="201">
        <f t="shared" si="1"/>
        <v>21216500</v>
      </c>
      <c r="K51" s="201">
        <f t="shared" si="1"/>
        <v>103066500</v>
      </c>
      <c r="L51" s="780"/>
      <c r="M51" s="202"/>
      <c r="N51" s="203"/>
      <c r="O51" s="204"/>
      <c r="P51" s="205"/>
      <c r="Q51" s="206"/>
      <c r="R51" s="207"/>
      <c r="S51" s="207"/>
      <c r="T51" s="207"/>
      <c r="U51" s="208"/>
    </row>
    <row r="52" spans="1:24" s="537" customFormat="1" ht="56.25">
      <c r="A52" s="522"/>
      <c r="B52" s="523"/>
      <c r="C52" s="524" t="s">
        <v>157</v>
      </c>
      <c r="D52" s="525">
        <v>4200000</v>
      </c>
      <c r="E52" s="526">
        <v>1</v>
      </c>
      <c r="F52" s="527">
        <v>4200000</v>
      </c>
      <c r="G52" s="528">
        <v>0</v>
      </c>
      <c r="H52" s="528">
        <v>0</v>
      </c>
      <c r="I52" s="528">
        <v>0</v>
      </c>
      <c r="J52" s="528">
        <v>0</v>
      </c>
      <c r="K52" s="529">
        <f>SUM(F52:J52)</f>
        <v>4200000</v>
      </c>
      <c r="L52" s="1041" t="s">
        <v>158</v>
      </c>
      <c r="M52" s="530" t="s">
        <v>159</v>
      </c>
      <c r="N52" s="530" t="s">
        <v>160</v>
      </c>
      <c r="O52" s="531" t="s">
        <v>19</v>
      </c>
      <c r="P52" s="531" t="s">
        <v>2</v>
      </c>
      <c r="Q52" s="532" t="s">
        <v>48</v>
      </c>
      <c r="R52" s="533"/>
      <c r="S52" s="533"/>
      <c r="T52" s="533"/>
      <c r="U52" s="534"/>
      <c r="V52" s="535"/>
      <c r="W52" s="536"/>
      <c r="X52" s="536"/>
    </row>
    <row r="53" spans="1:24" s="537" customFormat="1" ht="56.25">
      <c r="A53" s="522"/>
      <c r="B53" s="523"/>
      <c r="C53" s="524" t="s">
        <v>157</v>
      </c>
      <c r="D53" s="525">
        <v>4200000</v>
      </c>
      <c r="E53" s="526">
        <v>1</v>
      </c>
      <c r="F53" s="528">
        <v>0</v>
      </c>
      <c r="G53" s="528">
        <v>4200000</v>
      </c>
      <c r="H53" s="528">
        <v>0</v>
      </c>
      <c r="I53" s="528">
        <v>0</v>
      </c>
      <c r="J53" s="528">
        <v>0</v>
      </c>
      <c r="K53" s="529">
        <f t="shared" ref="K53:K92" si="2">SUM(F53:J53)</f>
        <v>4200000</v>
      </c>
      <c r="L53" s="1041" t="s">
        <v>158</v>
      </c>
      <c r="M53" s="530" t="s">
        <v>159</v>
      </c>
      <c r="N53" s="530" t="s">
        <v>160</v>
      </c>
      <c r="O53" s="531" t="s">
        <v>19</v>
      </c>
      <c r="P53" s="531" t="s">
        <v>2</v>
      </c>
      <c r="Q53" s="532" t="s">
        <v>48</v>
      </c>
      <c r="R53" s="533"/>
      <c r="S53" s="533"/>
      <c r="T53" s="533"/>
      <c r="U53" s="534"/>
      <c r="V53" s="535"/>
      <c r="W53" s="536"/>
      <c r="X53" s="536"/>
    </row>
    <row r="54" spans="1:24" s="537" customFormat="1" ht="63">
      <c r="A54" s="522"/>
      <c r="B54" s="523"/>
      <c r="C54" s="538" t="s">
        <v>165</v>
      </c>
      <c r="D54" s="539">
        <v>5000000</v>
      </c>
      <c r="E54" s="526">
        <v>1</v>
      </c>
      <c r="F54" s="540">
        <v>5000000</v>
      </c>
      <c r="G54" s="528">
        <v>0</v>
      </c>
      <c r="H54" s="528">
        <v>0</v>
      </c>
      <c r="I54" s="528">
        <v>0</v>
      </c>
      <c r="J54" s="528">
        <v>0</v>
      </c>
      <c r="K54" s="529">
        <f>SUM(F54:J54)</f>
        <v>5000000</v>
      </c>
      <c r="L54" s="1041" t="s">
        <v>162</v>
      </c>
      <c r="M54" s="530" t="s">
        <v>163</v>
      </c>
      <c r="N54" s="530" t="s">
        <v>164</v>
      </c>
      <c r="O54" s="531" t="s">
        <v>19</v>
      </c>
      <c r="P54" s="531" t="s">
        <v>3</v>
      </c>
      <c r="Q54" s="532" t="s">
        <v>48</v>
      </c>
      <c r="R54" s="533"/>
      <c r="S54" s="533"/>
      <c r="T54" s="533"/>
      <c r="U54" s="534"/>
      <c r="V54" s="535"/>
      <c r="W54" s="536"/>
      <c r="X54" s="536"/>
    </row>
    <row r="55" spans="1:24" s="537" customFormat="1" ht="84">
      <c r="A55" s="522"/>
      <c r="B55" s="523"/>
      <c r="C55" s="538" t="s">
        <v>161</v>
      </c>
      <c r="D55" s="539">
        <v>5180000</v>
      </c>
      <c r="E55" s="526">
        <v>1</v>
      </c>
      <c r="F55" s="528">
        <v>0</v>
      </c>
      <c r="G55" s="540">
        <v>5180000</v>
      </c>
      <c r="H55" s="528">
        <v>0</v>
      </c>
      <c r="I55" s="528">
        <v>0</v>
      </c>
      <c r="J55" s="528">
        <v>0</v>
      </c>
      <c r="K55" s="529">
        <f t="shared" si="2"/>
        <v>5180000</v>
      </c>
      <c r="L55" s="1041" t="s">
        <v>162</v>
      </c>
      <c r="M55" s="530" t="s">
        <v>163</v>
      </c>
      <c r="N55" s="530" t="s">
        <v>164</v>
      </c>
      <c r="O55" s="531" t="s">
        <v>19</v>
      </c>
      <c r="P55" s="531" t="s">
        <v>3</v>
      </c>
      <c r="Q55" s="532" t="s">
        <v>46</v>
      </c>
      <c r="R55" s="533"/>
      <c r="S55" s="533"/>
      <c r="T55" s="533"/>
      <c r="U55" s="534"/>
      <c r="V55" s="535"/>
      <c r="W55" s="536"/>
      <c r="X55" s="536"/>
    </row>
    <row r="56" spans="1:24" s="537" customFormat="1" ht="63">
      <c r="A56" s="522"/>
      <c r="B56" s="523"/>
      <c r="C56" s="538" t="s">
        <v>166</v>
      </c>
      <c r="D56" s="539">
        <v>9630000</v>
      </c>
      <c r="E56" s="526">
        <v>1</v>
      </c>
      <c r="F56" s="528">
        <v>0</v>
      </c>
      <c r="G56" s="528">
        <v>0</v>
      </c>
      <c r="H56" s="540">
        <v>9630000</v>
      </c>
      <c r="I56" s="528">
        <v>0</v>
      </c>
      <c r="J56" s="528">
        <v>0</v>
      </c>
      <c r="K56" s="529">
        <f t="shared" si="2"/>
        <v>9630000</v>
      </c>
      <c r="L56" s="1041" t="s">
        <v>162</v>
      </c>
      <c r="M56" s="530" t="s">
        <v>163</v>
      </c>
      <c r="N56" s="530" t="s">
        <v>164</v>
      </c>
      <c r="O56" s="531" t="s">
        <v>19</v>
      </c>
      <c r="P56" s="531" t="s">
        <v>3</v>
      </c>
      <c r="Q56" s="532" t="s">
        <v>48</v>
      </c>
      <c r="R56" s="533"/>
      <c r="S56" s="533"/>
      <c r="T56" s="533"/>
      <c r="U56" s="534"/>
      <c r="V56" s="535"/>
      <c r="W56" s="536"/>
      <c r="X56" s="536"/>
    </row>
    <row r="57" spans="1:24" s="537" customFormat="1" ht="42">
      <c r="A57" s="522"/>
      <c r="B57" s="523"/>
      <c r="C57" s="538" t="s">
        <v>167</v>
      </c>
      <c r="D57" s="539">
        <v>3600000</v>
      </c>
      <c r="E57" s="526">
        <v>1</v>
      </c>
      <c r="F57" s="528">
        <v>0</v>
      </c>
      <c r="G57" s="528">
        <v>0</v>
      </c>
      <c r="H57" s="528">
        <v>0</v>
      </c>
      <c r="I57" s="540">
        <v>3600000</v>
      </c>
      <c r="J57" s="528">
        <v>0</v>
      </c>
      <c r="K57" s="529">
        <f t="shared" si="2"/>
        <v>3600000</v>
      </c>
      <c r="L57" s="1041" t="s">
        <v>162</v>
      </c>
      <c r="M57" s="530" t="s">
        <v>163</v>
      </c>
      <c r="N57" s="530" t="s">
        <v>164</v>
      </c>
      <c r="O57" s="531" t="s">
        <v>19</v>
      </c>
      <c r="P57" s="531" t="s">
        <v>3</v>
      </c>
      <c r="Q57" s="532" t="s">
        <v>35</v>
      </c>
      <c r="R57" s="533"/>
      <c r="S57" s="533"/>
      <c r="T57" s="533"/>
      <c r="U57" s="534"/>
      <c r="V57" s="535"/>
      <c r="W57" s="536"/>
      <c r="X57" s="536"/>
    </row>
    <row r="58" spans="1:24" s="537" customFormat="1" ht="42">
      <c r="A58" s="522"/>
      <c r="B58" s="523"/>
      <c r="C58" s="538" t="s">
        <v>168</v>
      </c>
      <c r="D58" s="539">
        <v>3000000</v>
      </c>
      <c r="E58" s="526">
        <v>1</v>
      </c>
      <c r="F58" s="528">
        <v>0</v>
      </c>
      <c r="G58" s="528">
        <v>0</v>
      </c>
      <c r="H58" s="528">
        <v>0</v>
      </c>
      <c r="I58" s="540">
        <v>3000000</v>
      </c>
      <c r="J58" s="528">
        <v>0</v>
      </c>
      <c r="K58" s="529">
        <f t="shared" si="2"/>
        <v>3000000</v>
      </c>
      <c r="L58" s="1041" t="s">
        <v>162</v>
      </c>
      <c r="M58" s="530" t="s">
        <v>163</v>
      </c>
      <c r="N58" s="530" t="s">
        <v>164</v>
      </c>
      <c r="O58" s="531" t="s">
        <v>19</v>
      </c>
      <c r="P58" s="531" t="s">
        <v>3</v>
      </c>
      <c r="Q58" s="532" t="s">
        <v>35</v>
      </c>
      <c r="R58" s="533"/>
      <c r="S58" s="533"/>
      <c r="T58" s="533"/>
      <c r="U58" s="534"/>
      <c r="V58" s="535"/>
      <c r="W58" s="536"/>
      <c r="X58" s="536"/>
    </row>
    <row r="59" spans="1:24" s="537" customFormat="1" ht="42">
      <c r="A59" s="522"/>
      <c r="B59" s="523"/>
      <c r="C59" s="538" t="s">
        <v>169</v>
      </c>
      <c r="D59" s="539">
        <v>10165000</v>
      </c>
      <c r="E59" s="526">
        <v>1</v>
      </c>
      <c r="F59" s="528">
        <v>0</v>
      </c>
      <c r="G59" s="528">
        <v>0</v>
      </c>
      <c r="H59" s="528">
        <v>0</v>
      </c>
      <c r="I59" s="528">
        <v>0</v>
      </c>
      <c r="J59" s="540">
        <v>10165000</v>
      </c>
      <c r="K59" s="529">
        <f t="shared" si="2"/>
        <v>10165000</v>
      </c>
      <c r="L59" s="1041" t="s">
        <v>162</v>
      </c>
      <c r="M59" s="530" t="s">
        <v>163</v>
      </c>
      <c r="N59" s="530" t="s">
        <v>164</v>
      </c>
      <c r="O59" s="531" t="s">
        <v>19</v>
      </c>
      <c r="P59" s="531" t="s">
        <v>3</v>
      </c>
      <c r="Q59" s="532" t="s">
        <v>48</v>
      </c>
      <c r="R59" s="533"/>
      <c r="S59" s="533"/>
      <c r="T59" s="533"/>
      <c r="U59" s="534"/>
      <c r="V59" s="535"/>
      <c r="W59" s="536"/>
      <c r="X59" s="536"/>
    </row>
    <row r="60" spans="1:24" s="537" customFormat="1" ht="37.5">
      <c r="A60" s="522"/>
      <c r="B60" s="523"/>
      <c r="C60" s="541" t="s">
        <v>468</v>
      </c>
      <c r="D60" s="542">
        <v>700000</v>
      </c>
      <c r="E60" s="470">
        <v>1</v>
      </c>
      <c r="F60" s="528">
        <v>700000</v>
      </c>
      <c r="G60" s="528"/>
      <c r="H60" s="528"/>
      <c r="I60" s="528"/>
      <c r="J60" s="528"/>
      <c r="K60" s="529">
        <f t="shared" si="2"/>
        <v>700000</v>
      </c>
      <c r="L60" s="470" t="s">
        <v>469</v>
      </c>
      <c r="M60" s="543" t="s">
        <v>470</v>
      </c>
      <c r="N60" s="543" t="s">
        <v>471</v>
      </c>
      <c r="O60" s="543" t="s">
        <v>19</v>
      </c>
      <c r="P60" s="531" t="s">
        <v>5</v>
      </c>
      <c r="Q60" s="532"/>
      <c r="R60" s="533"/>
      <c r="S60" s="533"/>
      <c r="T60" s="533"/>
      <c r="U60" s="534"/>
      <c r="V60" s="535"/>
      <c r="W60" s="536"/>
      <c r="X60" s="536"/>
    </row>
    <row r="61" spans="1:24" s="537" customFormat="1" ht="79.5" customHeight="1">
      <c r="A61" s="522"/>
      <c r="B61" s="523"/>
      <c r="C61" s="544" t="s">
        <v>472</v>
      </c>
      <c r="D61" s="545">
        <v>3090000</v>
      </c>
      <c r="E61" s="470">
        <v>1</v>
      </c>
      <c r="F61" s="528">
        <v>3090000</v>
      </c>
      <c r="G61" s="528"/>
      <c r="H61" s="528"/>
      <c r="I61" s="528"/>
      <c r="J61" s="528"/>
      <c r="K61" s="529">
        <f t="shared" si="2"/>
        <v>3090000</v>
      </c>
      <c r="L61" s="470" t="s">
        <v>469</v>
      </c>
      <c r="M61" s="543" t="s">
        <v>470</v>
      </c>
      <c r="N61" s="543" t="s">
        <v>471</v>
      </c>
      <c r="O61" s="543" t="s">
        <v>19</v>
      </c>
      <c r="P61" s="531" t="s">
        <v>5</v>
      </c>
      <c r="Q61" s="532"/>
      <c r="R61" s="533"/>
      <c r="S61" s="533"/>
      <c r="T61" s="533"/>
      <c r="U61" s="534"/>
      <c r="V61" s="535"/>
      <c r="W61" s="536"/>
      <c r="X61" s="536"/>
    </row>
    <row r="62" spans="1:24" s="537" customFormat="1" ht="56.25">
      <c r="A62" s="522"/>
      <c r="B62" s="523"/>
      <c r="C62" s="546" t="s">
        <v>473</v>
      </c>
      <c r="D62" s="547">
        <v>1450000</v>
      </c>
      <c r="E62" s="470">
        <v>2</v>
      </c>
      <c r="F62" s="528">
        <f>1450000*2</f>
        <v>2900000</v>
      </c>
      <c r="G62" s="528"/>
      <c r="H62" s="528"/>
      <c r="I62" s="528"/>
      <c r="J62" s="528"/>
      <c r="K62" s="529">
        <f t="shared" si="2"/>
        <v>2900000</v>
      </c>
      <c r="L62" s="470" t="s">
        <v>469</v>
      </c>
      <c r="M62" s="543" t="s">
        <v>470</v>
      </c>
      <c r="N62" s="543" t="s">
        <v>471</v>
      </c>
      <c r="O62" s="543" t="s">
        <v>19</v>
      </c>
      <c r="P62" s="531" t="s">
        <v>5</v>
      </c>
      <c r="Q62" s="532"/>
      <c r="R62" s="533"/>
      <c r="S62" s="533"/>
      <c r="T62" s="533"/>
      <c r="U62" s="534"/>
      <c r="V62" s="535"/>
      <c r="W62" s="536"/>
      <c r="X62" s="536"/>
    </row>
    <row r="63" spans="1:24" s="537" customFormat="1" ht="48" customHeight="1">
      <c r="A63" s="522"/>
      <c r="B63" s="523"/>
      <c r="C63" s="546" t="s">
        <v>474</v>
      </c>
      <c r="D63" s="547">
        <v>1760000</v>
      </c>
      <c r="E63" s="470">
        <v>1</v>
      </c>
      <c r="F63" s="528">
        <v>1760000</v>
      </c>
      <c r="G63" s="528"/>
      <c r="H63" s="528"/>
      <c r="I63" s="528"/>
      <c r="J63" s="528"/>
      <c r="K63" s="529">
        <f t="shared" si="2"/>
        <v>1760000</v>
      </c>
      <c r="L63" s="470" t="s">
        <v>469</v>
      </c>
      <c r="M63" s="543" t="s">
        <v>470</v>
      </c>
      <c r="N63" s="543" t="s">
        <v>471</v>
      </c>
      <c r="O63" s="543" t="s">
        <v>19</v>
      </c>
      <c r="P63" s="531" t="s">
        <v>5</v>
      </c>
      <c r="Q63" s="532"/>
      <c r="R63" s="533"/>
      <c r="S63" s="533"/>
      <c r="T63" s="533"/>
      <c r="U63" s="534"/>
      <c r="V63" s="535"/>
      <c r="W63" s="536"/>
      <c r="X63" s="536"/>
    </row>
    <row r="64" spans="1:24" s="537" customFormat="1" ht="48" customHeight="1">
      <c r="A64" s="522"/>
      <c r="B64" s="523"/>
      <c r="C64" s="546" t="s">
        <v>265</v>
      </c>
      <c r="D64" s="547">
        <v>555000</v>
      </c>
      <c r="E64" s="470">
        <v>3</v>
      </c>
      <c r="F64" s="528">
        <v>555000</v>
      </c>
      <c r="G64" s="528">
        <v>555000</v>
      </c>
      <c r="H64" s="528">
        <v>555000</v>
      </c>
      <c r="I64" s="528"/>
      <c r="J64" s="528"/>
      <c r="K64" s="529">
        <f t="shared" si="2"/>
        <v>1665000</v>
      </c>
      <c r="L64" s="470" t="s">
        <v>469</v>
      </c>
      <c r="M64" s="543" t="s">
        <v>470</v>
      </c>
      <c r="N64" s="543" t="s">
        <v>471</v>
      </c>
      <c r="O64" s="543" t="s">
        <v>19</v>
      </c>
      <c r="P64" s="531" t="s">
        <v>5</v>
      </c>
      <c r="Q64" s="532"/>
      <c r="R64" s="533"/>
      <c r="S64" s="533"/>
      <c r="T64" s="533"/>
      <c r="U64" s="534"/>
      <c r="V64" s="535"/>
      <c r="W64" s="536"/>
      <c r="X64" s="536"/>
    </row>
    <row r="65" spans="1:24" s="537" customFormat="1" ht="64.5" customHeight="1">
      <c r="A65" s="522"/>
      <c r="B65" s="523"/>
      <c r="C65" s="548" t="s">
        <v>475</v>
      </c>
      <c r="D65" s="549">
        <v>850000</v>
      </c>
      <c r="E65" s="550">
        <v>2</v>
      </c>
      <c r="F65" s="528">
        <f>850000*2</f>
        <v>1700000</v>
      </c>
      <c r="G65" s="528"/>
      <c r="H65" s="528"/>
      <c r="I65" s="528"/>
      <c r="J65" s="528"/>
      <c r="K65" s="529">
        <f t="shared" si="2"/>
        <v>1700000</v>
      </c>
      <c r="L65" s="543" t="s">
        <v>476</v>
      </c>
      <c r="M65" s="543" t="s">
        <v>476</v>
      </c>
      <c r="N65" s="543" t="s">
        <v>477</v>
      </c>
      <c r="O65" s="543" t="s">
        <v>19</v>
      </c>
      <c r="P65" s="531" t="s">
        <v>5</v>
      </c>
      <c r="Q65" s="532"/>
      <c r="R65" s="533"/>
      <c r="S65" s="533"/>
      <c r="T65" s="533"/>
      <c r="U65" s="534"/>
      <c r="V65" s="535"/>
      <c r="W65" s="536"/>
      <c r="X65" s="536"/>
    </row>
    <row r="66" spans="1:24" s="537" customFormat="1" ht="42">
      <c r="A66" s="522"/>
      <c r="B66" s="523"/>
      <c r="C66" s="551" t="s">
        <v>478</v>
      </c>
      <c r="D66" s="552">
        <v>850000</v>
      </c>
      <c r="E66" s="550">
        <v>1</v>
      </c>
      <c r="F66" s="552">
        <v>850000</v>
      </c>
      <c r="G66" s="528"/>
      <c r="H66" s="528"/>
      <c r="I66" s="528"/>
      <c r="J66" s="528"/>
      <c r="K66" s="529">
        <f t="shared" si="2"/>
        <v>850000</v>
      </c>
      <c r="L66" s="543" t="s">
        <v>476</v>
      </c>
      <c r="M66" s="543" t="s">
        <v>476</v>
      </c>
      <c r="N66" s="543" t="s">
        <v>477</v>
      </c>
      <c r="O66" s="543" t="s">
        <v>19</v>
      </c>
      <c r="P66" s="531" t="s">
        <v>5</v>
      </c>
      <c r="Q66" s="532"/>
      <c r="R66" s="533"/>
      <c r="S66" s="533"/>
      <c r="T66" s="533"/>
      <c r="U66" s="534"/>
      <c r="V66" s="535"/>
      <c r="W66" s="536"/>
      <c r="X66" s="536"/>
    </row>
    <row r="67" spans="1:24" s="537" customFormat="1" ht="56.25">
      <c r="A67" s="522"/>
      <c r="B67" s="523"/>
      <c r="C67" s="548" t="s">
        <v>479</v>
      </c>
      <c r="D67" s="553">
        <v>4200000</v>
      </c>
      <c r="E67" s="550">
        <v>1</v>
      </c>
      <c r="F67" s="553">
        <v>4200000</v>
      </c>
      <c r="G67" s="528"/>
      <c r="H67" s="528"/>
      <c r="I67" s="528"/>
      <c r="J67" s="528"/>
      <c r="K67" s="529">
        <f t="shared" si="2"/>
        <v>4200000</v>
      </c>
      <c r="L67" s="543" t="s">
        <v>476</v>
      </c>
      <c r="M67" s="543" t="s">
        <v>476</v>
      </c>
      <c r="N67" s="543" t="s">
        <v>477</v>
      </c>
      <c r="O67" s="543" t="s">
        <v>19</v>
      </c>
      <c r="P67" s="531" t="s">
        <v>5</v>
      </c>
      <c r="Q67" s="532"/>
      <c r="R67" s="533"/>
      <c r="S67" s="533"/>
      <c r="T67" s="533"/>
      <c r="U67" s="534"/>
      <c r="V67" s="535"/>
      <c r="W67" s="536"/>
      <c r="X67" s="536"/>
    </row>
    <row r="68" spans="1:24" s="537" customFormat="1">
      <c r="A68" s="522"/>
      <c r="B68" s="523"/>
      <c r="C68" s="548" t="s">
        <v>480</v>
      </c>
      <c r="D68" s="553">
        <v>550000</v>
      </c>
      <c r="E68" s="550">
        <v>2</v>
      </c>
      <c r="F68" s="553">
        <f>550000*2</f>
        <v>1100000</v>
      </c>
      <c r="G68" s="528"/>
      <c r="H68" s="528"/>
      <c r="I68" s="528"/>
      <c r="J68" s="528"/>
      <c r="K68" s="529">
        <f t="shared" si="2"/>
        <v>1100000</v>
      </c>
      <c r="L68" s="543" t="s">
        <v>476</v>
      </c>
      <c r="M68" s="543" t="s">
        <v>476</v>
      </c>
      <c r="N68" s="543" t="s">
        <v>477</v>
      </c>
      <c r="O68" s="543" t="s">
        <v>19</v>
      </c>
      <c r="P68" s="531" t="s">
        <v>5</v>
      </c>
      <c r="Q68" s="532"/>
      <c r="R68" s="533"/>
      <c r="S68" s="533"/>
      <c r="T68" s="533"/>
      <c r="U68" s="534"/>
      <c r="V68" s="535"/>
      <c r="W68" s="536"/>
      <c r="X68" s="536"/>
    </row>
    <row r="69" spans="1:24" s="537" customFormat="1" ht="56.25">
      <c r="A69" s="522"/>
      <c r="B69" s="523"/>
      <c r="C69" s="548" t="s">
        <v>481</v>
      </c>
      <c r="D69" s="553">
        <v>160000</v>
      </c>
      <c r="E69" s="550">
        <v>3</v>
      </c>
      <c r="F69" s="528">
        <v>160000</v>
      </c>
      <c r="G69" s="528">
        <v>160000</v>
      </c>
      <c r="H69" s="528">
        <v>160000</v>
      </c>
      <c r="I69" s="528"/>
      <c r="J69" s="528"/>
      <c r="K69" s="529">
        <f t="shared" si="2"/>
        <v>480000</v>
      </c>
      <c r="L69" s="543" t="s">
        <v>476</v>
      </c>
      <c r="M69" s="543" t="s">
        <v>476</v>
      </c>
      <c r="N69" s="543" t="s">
        <v>477</v>
      </c>
      <c r="O69" s="543" t="s">
        <v>19</v>
      </c>
      <c r="P69" s="531" t="s">
        <v>5</v>
      </c>
      <c r="Q69" s="532"/>
      <c r="R69" s="533"/>
      <c r="S69" s="533"/>
      <c r="T69" s="533"/>
      <c r="U69" s="534"/>
      <c r="V69" s="535"/>
      <c r="W69" s="536"/>
      <c r="X69" s="536"/>
    </row>
    <row r="70" spans="1:24" s="537" customFormat="1" ht="56.25">
      <c r="A70" s="522"/>
      <c r="B70" s="523"/>
      <c r="C70" s="548" t="s">
        <v>482</v>
      </c>
      <c r="D70" s="549">
        <v>1000000</v>
      </c>
      <c r="E70" s="550">
        <v>1</v>
      </c>
      <c r="F70" s="549">
        <v>1000000</v>
      </c>
      <c r="G70" s="528"/>
      <c r="H70" s="528"/>
      <c r="I70" s="528"/>
      <c r="J70" s="528"/>
      <c r="K70" s="529">
        <f t="shared" si="2"/>
        <v>1000000</v>
      </c>
      <c r="L70" s="543" t="s">
        <v>476</v>
      </c>
      <c r="M70" s="543" t="s">
        <v>476</v>
      </c>
      <c r="N70" s="543" t="s">
        <v>477</v>
      </c>
      <c r="O70" s="543" t="s">
        <v>19</v>
      </c>
      <c r="P70" s="531" t="s">
        <v>5</v>
      </c>
      <c r="Q70" s="532"/>
      <c r="R70" s="533"/>
      <c r="S70" s="533"/>
      <c r="T70" s="533"/>
      <c r="U70" s="534"/>
      <c r="V70" s="535"/>
      <c r="W70" s="536"/>
      <c r="X70" s="536"/>
    </row>
    <row r="71" spans="1:24" s="537" customFormat="1" ht="84">
      <c r="A71" s="522"/>
      <c r="B71" s="523"/>
      <c r="C71" s="551" t="s">
        <v>483</v>
      </c>
      <c r="D71" s="554">
        <v>400000</v>
      </c>
      <c r="E71" s="550">
        <v>2</v>
      </c>
      <c r="F71" s="528">
        <v>400000</v>
      </c>
      <c r="G71" s="528">
        <v>400000</v>
      </c>
      <c r="H71" s="528"/>
      <c r="I71" s="528"/>
      <c r="J71" s="528"/>
      <c r="K71" s="529">
        <f t="shared" si="2"/>
        <v>800000</v>
      </c>
      <c r="L71" s="543" t="s">
        <v>476</v>
      </c>
      <c r="M71" s="543" t="s">
        <v>476</v>
      </c>
      <c r="N71" s="543" t="s">
        <v>477</v>
      </c>
      <c r="O71" s="543" t="s">
        <v>19</v>
      </c>
      <c r="P71" s="531" t="s">
        <v>5</v>
      </c>
      <c r="Q71" s="532"/>
      <c r="R71" s="533"/>
      <c r="S71" s="533"/>
      <c r="T71" s="533"/>
      <c r="U71" s="534"/>
      <c r="V71" s="535"/>
      <c r="W71" s="536"/>
      <c r="X71" s="536"/>
    </row>
    <row r="72" spans="1:24" s="537" customFormat="1" ht="37.5">
      <c r="A72" s="522"/>
      <c r="B72" s="523"/>
      <c r="C72" s="548" t="s">
        <v>484</v>
      </c>
      <c r="D72" s="553">
        <v>100000</v>
      </c>
      <c r="E72" s="550">
        <v>1</v>
      </c>
      <c r="F72" s="553">
        <v>100000</v>
      </c>
      <c r="G72" s="528"/>
      <c r="H72" s="528"/>
      <c r="I72" s="528"/>
      <c r="J72" s="528"/>
      <c r="K72" s="529">
        <f t="shared" si="2"/>
        <v>100000</v>
      </c>
      <c r="L72" s="543" t="s">
        <v>476</v>
      </c>
      <c r="M72" s="543" t="s">
        <v>476</v>
      </c>
      <c r="N72" s="543" t="s">
        <v>477</v>
      </c>
      <c r="O72" s="543" t="s">
        <v>19</v>
      </c>
      <c r="P72" s="531" t="s">
        <v>5</v>
      </c>
      <c r="Q72" s="532"/>
      <c r="R72" s="533"/>
      <c r="S72" s="533"/>
      <c r="T72" s="533"/>
      <c r="U72" s="534"/>
      <c r="V72" s="535"/>
      <c r="W72" s="536"/>
      <c r="X72" s="536"/>
    </row>
    <row r="73" spans="1:24" s="537" customFormat="1" ht="37.5">
      <c r="A73" s="522"/>
      <c r="B73" s="523"/>
      <c r="C73" s="548" t="s">
        <v>485</v>
      </c>
      <c r="D73" s="549">
        <v>5000000</v>
      </c>
      <c r="E73" s="550">
        <v>1</v>
      </c>
      <c r="F73" s="549">
        <v>5000000</v>
      </c>
      <c r="G73" s="528"/>
      <c r="H73" s="528"/>
      <c r="I73" s="528"/>
      <c r="J73" s="528"/>
      <c r="K73" s="529">
        <f t="shared" si="2"/>
        <v>5000000</v>
      </c>
      <c r="L73" s="543" t="s">
        <v>476</v>
      </c>
      <c r="M73" s="543" t="s">
        <v>476</v>
      </c>
      <c r="N73" s="543" t="s">
        <v>477</v>
      </c>
      <c r="O73" s="543" t="s">
        <v>19</v>
      </c>
      <c r="P73" s="531" t="s">
        <v>5</v>
      </c>
      <c r="Q73" s="532"/>
      <c r="R73" s="533"/>
      <c r="S73" s="533"/>
      <c r="T73" s="533"/>
      <c r="U73" s="534"/>
      <c r="V73" s="535"/>
      <c r="W73" s="536"/>
      <c r="X73" s="536"/>
    </row>
    <row r="74" spans="1:24" s="537" customFormat="1">
      <c r="A74" s="522"/>
      <c r="B74" s="523"/>
      <c r="C74" s="548" t="s">
        <v>487</v>
      </c>
      <c r="D74" s="553">
        <v>2140000</v>
      </c>
      <c r="E74" s="550">
        <v>1</v>
      </c>
      <c r="F74" s="553">
        <v>2140000</v>
      </c>
      <c r="G74" s="528"/>
      <c r="H74" s="528"/>
      <c r="I74" s="528"/>
      <c r="J74" s="528"/>
      <c r="K74" s="529">
        <f t="shared" si="2"/>
        <v>2140000</v>
      </c>
      <c r="L74" s="543" t="s">
        <v>476</v>
      </c>
      <c r="M74" s="543" t="s">
        <v>476</v>
      </c>
      <c r="N74" s="543" t="s">
        <v>477</v>
      </c>
      <c r="O74" s="543" t="s">
        <v>19</v>
      </c>
      <c r="P74" s="531" t="s">
        <v>5</v>
      </c>
      <c r="Q74" s="532"/>
      <c r="R74" s="533"/>
      <c r="S74" s="533"/>
      <c r="T74" s="533"/>
      <c r="U74" s="534"/>
      <c r="V74" s="535"/>
      <c r="W74" s="536"/>
      <c r="X74" s="536"/>
    </row>
    <row r="75" spans="1:24" s="537" customFormat="1">
      <c r="A75" s="522"/>
      <c r="B75" s="523"/>
      <c r="C75" s="548" t="s">
        <v>486</v>
      </c>
      <c r="D75" s="553">
        <v>2060000</v>
      </c>
      <c r="E75" s="550">
        <v>1</v>
      </c>
      <c r="F75" s="553">
        <v>2060000</v>
      </c>
      <c r="G75" s="528"/>
      <c r="H75" s="528"/>
      <c r="I75" s="528"/>
      <c r="J75" s="528"/>
      <c r="K75" s="529">
        <f>SUM(F75:J75)</f>
        <v>2060000</v>
      </c>
      <c r="L75" s="543" t="s">
        <v>476</v>
      </c>
      <c r="M75" s="543" t="s">
        <v>476</v>
      </c>
      <c r="N75" s="543" t="s">
        <v>477</v>
      </c>
      <c r="O75" s="543" t="s">
        <v>19</v>
      </c>
      <c r="P75" s="531" t="s">
        <v>5</v>
      </c>
      <c r="Q75" s="532"/>
      <c r="R75" s="533"/>
      <c r="S75" s="533"/>
      <c r="T75" s="533"/>
      <c r="U75" s="534"/>
      <c r="V75" s="535"/>
      <c r="W75" s="536"/>
      <c r="X75" s="536"/>
    </row>
    <row r="76" spans="1:24" s="537" customFormat="1" ht="37.5">
      <c r="A76" s="522"/>
      <c r="B76" s="523"/>
      <c r="C76" s="544" t="s">
        <v>963</v>
      </c>
      <c r="D76" s="556">
        <v>58000</v>
      </c>
      <c r="E76" s="550">
        <v>1</v>
      </c>
      <c r="F76" s="556">
        <v>58000</v>
      </c>
      <c r="G76" s="528"/>
      <c r="H76" s="528"/>
      <c r="I76" s="528"/>
      <c r="J76" s="528"/>
      <c r="K76" s="529">
        <f t="shared" ref="K76:K79" si="3">SUM(F76:J76)</f>
        <v>58000</v>
      </c>
      <c r="L76" s="543" t="s">
        <v>476</v>
      </c>
      <c r="M76" s="543" t="s">
        <v>476</v>
      </c>
      <c r="N76" s="543" t="s">
        <v>477</v>
      </c>
      <c r="O76" s="543" t="s">
        <v>19</v>
      </c>
      <c r="P76" s="531" t="s">
        <v>5</v>
      </c>
      <c r="Q76" s="532"/>
      <c r="R76" s="533"/>
      <c r="S76" s="533"/>
      <c r="T76" s="533"/>
      <c r="U76" s="534"/>
      <c r="V76" s="535"/>
      <c r="W76" s="536"/>
      <c r="X76" s="536"/>
    </row>
    <row r="77" spans="1:24" s="537" customFormat="1" ht="37.5">
      <c r="A77" s="522"/>
      <c r="B77" s="523"/>
      <c r="C77" s="544" t="s">
        <v>964</v>
      </c>
      <c r="D77" s="556">
        <v>145000</v>
      </c>
      <c r="E77" s="550">
        <v>1</v>
      </c>
      <c r="F77" s="556">
        <v>145000</v>
      </c>
      <c r="G77" s="528"/>
      <c r="H77" s="528"/>
      <c r="I77" s="528"/>
      <c r="J77" s="528"/>
      <c r="K77" s="529">
        <f t="shared" si="3"/>
        <v>145000</v>
      </c>
      <c r="L77" s="543" t="s">
        <v>476</v>
      </c>
      <c r="M77" s="543" t="s">
        <v>476</v>
      </c>
      <c r="N77" s="543" t="s">
        <v>477</v>
      </c>
      <c r="O77" s="543" t="s">
        <v>19</v>
      </c>
      <c r="P77" s="531" t="s">
        <v>5</v>
      </c>
      <c r="Q77" s="532"/>
      <c r="R77" s="533"/>
      <c r="S77" s="533"/>
      <c r="T77" s="533"/>
      <c r="U77" s="534"/>
      <c r="V77" s="535"/>
      <c r="W77" s="536"/>
      <c r="X77" s="536"/>
    </row>
    <row r="78" spans="1:24" s="537" customFormat="1" ht="56.25">
      <c r="A78" s="522"/>
      <c r="B78" s="523"/>
      <c r="C78" s="544" t="s">
        <v>965</v>
      </c>
      <c r="D78" s="556">
        <v>450000</v>
      </c>
      <c r="E78" s="550">
        <v>1</v>
      </c>
      <c r="F78" s="556">
        <v>450000</v>
      </c>
      <c r="G78" s="528"/>
      <c r="H78" s="528"/>
      <c r="I78" s="528"/>
      <c r="J78" s="528"/>
      <c r="K78" s="529">
        <f t="shared" si="3"/>
        <v>450000</v>
      </c>
      <c r="L78" s="543" t="s">
        <v>476</v>
      </c>
      <c r="M78" s="543" t="s">
        <v>476</v>
      </c>
      <c r="N78" s="543" t="s">
        <v>477</v>
      </c>
      <c r="O78" s="543" t="s">
        <v>19</v>
      </c>
      <c r="P78" s="531" t="s">
        <v>5</v>
      </c>
      <c r="Q78" s="532"/>
      <c r="R78" s="533"/>
      <c r="S78" s="533"/>
      <c r="T78" s="533"/>
      <c r="U78" s="534"/>
      <c r="V78" s="535"/>
      <c r="W78" s="536"/>
      <c r="X78" s="536"/>
    </row>
    <row r="79" spans="1:24" s="537" customFormat="1" ht="188.25" customHeight="1">
      <c r="A79" s="522"/>
      <c r="B79" s="523"/>
      <c r="C79" s="544" t="s">
        <v>966</v>
      </c>
      <c r="D79" s="556">
        <v>3200000</v>
      </c>
      <c r="E79" s="1042">
        <v>1</v>
      </c>
      <c r="F79" s="556">
        <v>3200000</v>
      </c>
      <c r="G79" s="528"/>
      <c r="H79" s="528"/>
      <c r="I79" s="528"/>
      <c r="J79" s="528"/>
      <c r="K79" s="1043">
        <f t="shared" si="3"/>
        <v>3200000</v>
      </c>
      <c r="L79" s="1044" t="s">
        <v>476</v>
      </c>
      <c r="M79" s="1044" t="s">
        <v>476</v>
      </c>
      <c r="N79" s="1044" t="s">
        <v>477</v>
      </c>
      <c r="O79" s="1044" t="s">
        <v>19</v>
      </c>
      <c r="P79" s="1045" t="s">
        <v>5</v>
      </c>
      <c r="Q79" s="532"/>
      <c r="R79" s="533"/>
      <c r="S79" s="533"/>
      <c r="T79" s="533"/>
      <c r="U79" s="534"/>
      <c r="V79" s="535"/>
      <c r="W79" s="536"/>
      <c r="X79" s="536"/>
    </row>
    <row r="80" spans="1:24" s="537" customFormat="1" ht="56.25">
      <c r="A80" s="522"/>
      <c r="B80" s="523"/>
      <c r="C80" s="548" t="s">
        <v>488</v>
      </c>
      <c r="D80" s="553">
        <v>60000</v>
      </c>
      <c r="E80" s="550">
        <v>12</v>
      </c>
      <c r="F80" s="528">
        <f>60000*3</f>
        <v>180000</v>
      </c>
      <c r="G80" s="528">
        <f t="shared" ref="G80:I80" si="4">60000*3</f>
        <v>180000</v>
      </c>
      <c r="H80" s="528">
        <f t="shared" si="4"/>
        <v>180000</v>
      </c>
      <c r="I80" s="528">
        <f t="shared" si="4"/>
        <v>180000</v>
      </c>
      <c r="J80" s="528"/>
      <c r="K80" s="529">
        <f t="shared" si="2"/>
        <v>720000</v>
      </c>
      <c r="L80" s="543" t="s">
        <v>476</v>
      </c>
      <c r="M80" s="543" t="s">
        <v>476</v>
      </c>
      <c r="N80" s="543" t="s">
        <v>477</v>
      </c>
      <c r="O80" s="543" t="s">
        <v>19</v>
      </c>
      <c r="P80" s="531" t="s">
        <v>5</v>
      </c>
      <c r="Q80" s="532"/>
      <c r="R80" s="533"/>
      <c r="S80" s="533"/>
      <c r="T80" s="533"/>
      <c r="U80" s="534"/>
      <c r="V80" s="535"/>
      <c r="W80" s="536"/>
      <c r="X80" s="536"/>
    </row>
    <row r="81" spans="1:24" s="537" customFormat="1" ht="56.25">
      <c r="A81" s="522"/>
      <c r="B81" s="523"/>
      <c r="C81" s="548" t="s">
        <v>489</v>
      </c>
      <c r="D81" s="553">
        <v>60000</v>
      </c>
      <c r="E81" s="550">
        <v>4</v>
      </c>
      <c r="F81" s="528">
        <v>60000</v>
      </c>
      <c r="G81" s="528">
        <v>60000</v>
      </c>
      <c r="H81" s="528">
        <v>60000</v>
      </c>
      <c r="I81" s="528">
        <v>60000</v>
      </c>
      <c r="J81" s="528"/>
      <c r="K81" s="529">
        <f t="shared" si="2"/>
        <v>240000</v>
      </c>
      <c r="L81" s="543" t="s">
        <v>476</v>
      </c>
      <c r="M81" s="543" t="s">
        <v>476</v>
      </c>
      <c r="N81" s="543" t="s">
        <v>477</v>
      </c>
      <c r="O81" s="543" t="s">
        <v>19</v>
      </c>
      <c r="P81" s="531" t="s">
        <v>5</v>
      </c>
      <c r="Q81" s="532"/>
      <c r="R81" s="533"/>
      <c r="S81" s="533"/>
      <c r="T81" s="533"/>
      <c r="U81" s="534"/>
      <c r="V81" s="535"/>
      <c r="W81" s="536"/>
      <c r="X81" s="536"/>
    </row>
    <row r="82" spans="1:24" s="537" customFormat="1" ht="37.5">
      <c r="A82" s="522"/>
      <c r="B82" s="523"/>
      <c r="C82" s="548" t="s">
        <v>490</v>
      </c>
      <c r="D82" s="555">
        <v>500000</v>
      </c>
      <c r="E82" s="550">
        <v>1</v>
      </c>
      <c r="F82" s="555">
        <v>500000</v>
      </c>
      <c r="G82" s="528"/>
      <c r="H82" s="528"/>
      <c r="I82" s="528"/>
      <c r="J82" s="528"/>
      <c r="K82" s="529">
        <f t="shared" si="2"/>
        <v>500000</v>
      </c>
      <c r="L82" s="543" t="s">
        <v>476</v>
      </c>
      <c r="M82" s="543" t="s">
        <v>476</v>
      </c>
      <c r="N82" s="543" t="s">
        <v>477</v>
      </c>
      <c r="O82" s="543" t="s">
        <v>19</v>
      </c>
      <c r="P82" s="531" t="s">
        <v>5</v>
      </c>
      <c r="Q82" s="532"/>
      <c r="R82" s="533"/>
      <c r="S82" s="533"/>
      <c r="T82" s="533"/>
      <c r="U82" s="534"/>
      <c r="V82" s="535"/>
      <c r="W82" s="536"/>
      <c r="X82" s="536"/>
    </row>
    <row r="83" spans="1:24" s="537" customFormat="1" ht="56.25">
      <c r="A83" s="522"/>
      <c r="B83" s="523"/>
      <c r="C83" s="544" t="s">
        <v>491</v>
      </c>
      <c r="D83" s="556">
        <v>4280000</v>
      </c>
      <c r="E83" s="550">
        <v>1</v>
      </c>
      <c r="F83" s="556">
        <v>4280000</v>
      </c>
      <c r="G83" s="528"/>
      <c r="H83" s="528"/>
      <c r="I83" s="528"/>
      <c r="J83" s="528"/>
      <c r="K83" s="529">
        <f t="shared" si="2"/>
        <v>4280000</v>
      </c>
      <c r="L83" s="543" t="s">
        <v>476</v>
      </c>
      <c r="M83" s="543" t="s">
        <v>476</v>
      </c>
      <c r="N83" s="543" t="s">
        <v>477</v>
      </c>
      <c r="O83" s="543" t="s">
        <v>19</v>
      </c>
      <c r="P83" s="531" t="s">
        <v>5</v>
      </c>
      <c r="Q83" s="532"/>
      <c r="R83" s="533"/>
      <c r="S83" s="533"/>
      <c r="T83" s="533"/>
      <c r="U83" s="534"/>
      <c r="V83" s="535"/>
      <c r="W83" s="536"/>
      <c r="X83" s="536"/>
    </row>
    <row r="84" spans="1:24" s="571" customFormat="1" ht="57.75" customHeight="1">
      <c r="A84" s="561"/>
      <c r="B84" s="543"/>
      <c r="C84" s="1046" t="s">
        <v>967</v>
      </c>
      <c r="D84" s="563">
        <v>2500000</v>
      </c>
      <c r="E84" s="550">
        <v>2</v>
      </c>
      <c r="F84" s="564">
        <v>2500000</v>
      </c>
      <c r="G84" s="563">
        <v>2500000</v>
      </c>
      <c r="H84" s="564"/>
      <c r="I84" s="564"/>
      <c r="J84" s="565"/>
      <c r="K84" s="529">
        <f t="shared" si="2"/>
        <v>5000000</v>
      </c>
      <c r="L84" s="543" t="s">
        <v>493</v>
      </c>
      <c r="M84" s="543" t="s">
        <v>493</v>
      </c>
      <c r="N84" s="543" t="s">
        <v>493</v>
      </c>
      <c r="O84" s="543" t="s">
        <v>19</v>
      </c>
      <c r="P84" s="560" t="s">
        <v>5</v>
      </c>
      <c r="Q84" s="532"/>
      <c r="R84" s="567"/>
      <c r="S84" s="567"/>
      <c r="T84" s="567"/>
      <c r="U84" s="568"/>
      <c r="V84" s="569"/>
      <c r="W84" s="570"/>
      <c r="X84" s="570"/>
    </row>
    <row r="85" spans="1:24" s="537" customFormat="1" ht="37.5">
      <c r="A85" s="522"/>
      <c r="B85" s="523"/>
      <c r="C85" s="557" t="s">
        <v>492</v>
      </c>
      <c r="D85" s="558">
        <v>2060000</v>
      </c>
      <c r="E85" s="526">
        <v>1</v>
      </c>
      <c r="F85" s="559">
        <v>2060000</v>
      </c>
      <c r="G85" s="528"/>
      <c r="H85" s="528"/>
      <c r="I85" s="528"/>
      <c r="J85" s="528"/>
      <c r="K85" s="529">
        <f t="shared" si="2"/>
        <v>2060000</v>
      </c>
      <c r="L85" s="543" t="s">
        <v>493</v>
      </c>
      <c r="M85" s="543" t="s">
        <v>493</v>
      </c>
      <c r="N85" s="543" t="s">
        <v>493</v>
      </c>
      <c r="O85" s="543" t="s">
        <v>19</v>
      </c>
      <c r="P85" s="560" t="s">
        <v>5</v>
      </c>
      <c r="Q85" s="532"/>
      <c r="R85" s="533"/>
      <c r="S85" s="533"/>
      <c r="T85" s="533"/>
      <c r="U85" s="534"/>
      <c r="V85" s="535"/>
      <c r="W85" s="536"/>
      <c r="X85" s="536"/>
    </row>
    <row r="86" spans="1:24" s="537" customFormat="1" ht="37.5">
      <c r="A86" s="522"/>
      <c r="B86" s="523"/>
      <c r="C86" s="557" t="s">
        <v>494</v>
      </c>
      <c r="D86" s="558">
        <v>4120000</v>
      </c>
      <c r="E86" s="526">
        <v>1</v>
      </c>
      <c r="F86" s="559">
        <v>4120000</v>
      </c>
      <c r="G86" s="528"/>
      <c r="H86" s="528"/>
      <c r="I86" s="528"/>
      <c r="J86" s="528"/>
      <c r="K86" s="529">
        <f t="shared" si="2"/>
        <v>4120000</v>
      </c>
      <c r="L86" s="543" t="s">
        <v>493</v>
      </c>
      <c r="M86" s="543" t="s">
        <v>493</v>
      </c>
      <c r="N86" s="543" t="s">
        <v>493</v>
      </c>
      <c r="O86" s="543" t="s">
        <v>19</v>
      </c>
      <c r="P86" s="560" t="s">
        <v>5</v>
      </c>
      <c r="Q86" s="532"/>
      <c r="R86" s="533"/>
      <c r="S86" s="533"/>
      <c r="T86" s="533"/>
      <c r="U86" s="534"/>
      <c r="V86" s="535"/>
      <c r="W86" s="536"/>
      <c r="X86" s="536"/>
    </row>
    <row r="87" spans="1:24" s="537" customFormat="1">
      <c r="A87" s="522"/>
      <c r="B87" s="523"/>
      <c r="C87" s="557" t="s">
        <v>495</v>
      </c>
      <c r="D87" s="558">
        <v>100000</v>
      </c>
      <c r="E87" s="526">
        <v>1</v>
      </c>
      <c r="F87" s="559">
        <v>100000</v>
      </c>
      <c r="G87" s="528"/>
      <c r="H87" s="528"/>
      <c r="I87" s="528"/>
      <c r="J87" s="528"/>
      <c r="K87" s="529">
        <f t="shared" si="2"/>
        <v>100000</v>
      </c>
      <c r="L87" s="543" t="s">
        <v>493</v>
      </c>
      <c r="M87" s="543" t="s">
        <v>493</v>
      </c>
      <c r="N87" s="543" t="s">
        <v>493</v>
      </c>
      <c r="O87" s="543" t="s">
        <v>19</v>
      </c>
      <c r="P87" s="560" t="s">
        <v>5</v>
      </c>
      <c r="Q87" s="532"/>
      <c r="R87" s="533"/>
      <c r="S87" s="533"/>
      <c r="T87" s="533"/>
      <c r="U87" s="534"/>
      <c r="V87" s="535"/>
      <c r="W87" s="536"/>
      <c r="X87" s="536"/>
    </row>
    <row r="88" spans="1:24" s="537" customFormat="1" ht="56.25">
      <c r="A88" s="522"/>
      <c r="B88" s="523"/>
      <c r="C88" s="541" t="s">
        <v>496</v>
      </c>
      <c r="D88" s="545">
        <v>4200000</v>
      </c>
      <c r="E88" s="470">
        <v>1</v>
      </c>
      <c r="F88" s="528"/>
      <c r="G88" s="528">
        <v>4200000</v>
      </c>
      <c r="H88" s="528"/>
      <c r="I88" s="528"/>
      <c r="J88" s="528"/>
      <c r="K88" s="529">
        <f t="shared" si="2"/>
        <v>4200000</v>
      </c>
      <c r="L88" s="470" t="s">
        <v>469</v>
      </c>
      <c r="M88" s="543" t="s">
        <v>470</v>
      </c>
      <c r="N88" s="543" t="s">
        <v>471</v>
      </c>
      <c r="O88" s="543" t="s">
        <v>19</v>
      </c>
      <c r="P88" s="531" t="s">
        <v>5</v>
      </c>
      <c r="Q88" s="532"/>
      <c r="R88" s="533"/>
      <c r="S88" s="533"/>
      <c r="T88" s="533"/>
      <c r="U88" s="534"/>
      <c r="V88" s="535"/>
      <c r="W88" s="536"/>
      <c r="X88" s="536"/>
    </row>
    <row r="89" spans="1:24" s="537" customFormat="1" ht="37.5">
      <c r="A89" s="522"/>
      <c r="B89" s="523"/>
      <c r="C89" s="541" t="s">
        <v>497</v>
      </c>
      <c r="D89" s="545">
        <v>800000</v>
      </c>
      <c r="E89" s="470">
        <v>1</v>
      </c>
      <c r="F89" s="528"/>
      <c r="G89" s="528">
        <v>800000</v>
      </c>
      <c r="H89" s="528"/>
      <c r="I89" s="528"/>
      <c r="J89" s="528"/>
      <c r="K89" s="529">
        <f t="shared" si="2"/>
        <v>800000</v>
      </c>
      <c r="L89" s="470" t="s">
        <v>469</v>
      </c>
      <c r="M89" s="543" t="s">
        <v>470</v>
      </c>
      <c r="N89" s="543" t="s">
        <v>471</v>
      </c>
      <c r="O89" s="543" t="s">
        <v>19</v>
      </c>
      <c r="P89" s="531" t="s">
        <v>5</v>
      </c>
      <c r="Q89" s="532"/>
      <c r="R89" s="533"/>
      <c r="S89" s="533"/>
      <c r="T89" s="533"/>
      <c r="U89" s="534"/>
      <c r="V89" s="535"/>
      <c r="W89" s="536"/>
      <c r="X89" s="536"/>
    </row>
    <row r="90" spans="1:24" s="537" customFormat="1" ht="37.5">
      <c r="A90" s="522"/>
      <c r="B90" s="523"/>
      <c r="C90" s="541" t="s">
        <v>498</v>
      </c>
      <c r="D90" s="545">
        <v>450000</v>
      </c>
      <c r="E90" s="470">
        <v>1</v>
      </c>
      <c r="F90" s="528"/>
      <c r="G90" s="528">
        <v>450000</v>
      </c>
      <c r="H90" s="528"/>
      <c r="I90" s="528"/>
      <c r="J90" s="528"/>
      <c r="K90" s="529">
        <f t="shared" si="2"/>
        <v>450000</v>
      </c>
      <c r="L90" s="470" t="s">
        <v>469</v>
      </c>
      <c r="M90" s="543" t="s">
        <v>470</v>
      </c>
      <c r="N90" s="543" t="s">
        <v>471</v>
      </c>
      <c r="O90" s="543" t="s">
        <v>19</v>
      </c>
      <c r="P90" s="531" t="s">
        <v>5</v>
      </c>
      <c r="Q90" s="532"/>
      <c r="R90" s="533"/>
      <c r="S90" s="533"/>
      <c r="T90" s="533"/>
      <c r="U90" s="534"/>
      <c r="V90" s="535"/>
      <c r="W90" s="536"/>
      <c r="X90" s="536"/>
    </row>
    <row r="91" spans="1:24" s="537" customFormat="1" ht="51.75" customHeight="1">
      <c r="A91" s="522"/>
      <c r="B91" s="523"/>
      <c r="C91" s="546" t="s">
        <v>499</v>
      </c>
      <c r="D91" s="545">
        <v>1500000</v>
      </c>
      <c r="E91" s="470">
        <v>1</v>
      </c>
      <c r="F91" s="528"/>
      <c r="G91" s="528"/>
      <c r="H91" s="528">
        <v>1500000</v>
      </c>
      <c r="I91" s="528"/>
      <c r="J91" s="528"/>
      <c r="K91" s="529">
        <f t="shared" si="2"/>
        <v>1500000</v>
      </c>
      <c r="L91" s="470" t="s">
        <v>469</v>
      </c>
      <c r="M91" s="543" t="s">
        <v>470</v>
      </c>
      <c r="N91" s="543" t="s">
        <v>471</v>
      </c>
      <c r="O91" s="543" t="s">
        <v>19</v>
      </c>
      <c r="P91" s="531" t="s">
        <v>5</v>
      </c>
      <c r="Q91" s="532"/>
      <c r="R91" s="533"/>
      <c r="S91" s="533"/>
      <c r="T91" s="533"/>
      <c r="U91" s="534"/>
      <c r="V91" s="535"/>
      <c r="W91" s="536"/>
      <c r="X91" s="536"/>
    </row>
    <row r="92" spans="1:24" s="537" customFormat="1" ht="56.25">
      <c r="A92" s="522"/>
      <c r="B92" s="523"/>
      <c r="C92" s="546" t="s">
        <v>500</v>
      </c>
      <c r="D92" s="545">
        <f>520000</f>
        <v>520000</v>
      </c>
      <c r="E92" s="470">
        <v>3</v>
      </c>
      <c r="F92" s="528"/>
      <c r="G92" s="528"/>
      <c r="H92" s="528">
        <v>520000</v>
      </c>
      <c r="I92" s="528">
        <v>520000</v>
      </c>
      <c r="J92" s="528">
        <v>520000</v>
      </c>
      <c r="K92" s="529">
        <f t="shared" si="2"/>
        <v>1560000</v>
      </c>
      <c r="L92" s="470" t="s">
        <v>469</v>
      </c>
      <c r="M92" s="543" t="s">
        <v>470</v>
      </c>
      <c r="N92" s="543" t="s">
        <v>471</v>
      </c>
      <c r="O92" s="543" t="s">
        <v>19</v>
      </c>
      <c r="P92" s="531" t="s">
        <v>5</v>
      </c>
      <c r="Q92" s="532"/>
      <c r="R92" s="533"/>
      <c r="S92" s="533"/>
      <c r="T92" s="533"/>
      <c r="U92" s="534"/>
      <c r="V92" s="535"/>
      <c r="W92" s="536"/>
      <c r="X92" s="536"/>
    </row>
    <row r="93" spans="1:24" s="571" customFormat="1" ht="57.75" customHeight="1">
      <c r="A93" s="561"/>
      <c r="B93" s="543"/>
      <c r="C93" s="562" t="s">
        <v>501</v>
      </c>
      <c r="D93" s="563">
        <v>1300000</v>
      </c>
      <c r="E93" s="550">
        <v>1</v>
      </c>
      <c r="F93" s="564"/>
      <c r="G93" s="563">
        <v>1300000</v>
      </c>
      <c r="H93" s="564"/>
      <c r="I93" s="564"/>
      <c r="J93" s="565"/>
      <c r="K93" s="563">
        <v>1300000</v>
      </c>
      <c r="L93" s="550" t="s">
        <v>476</v>
      </c>
      <c r="M93" s="543" t="s">
        <v>476</v>
      </c>
      <c r="N93" s="543" t="s">
        <v>477</v>
      </c>
      <c r="O93" s="543" t="s">
        <v>19</v>
      </c>
      <c r="P93" s="531" t="s">
        <v>5</v>
      </c>
      <c r="Q93" s="566"/>
      <c r="R93" s="567"/>
      <c r="S93" s="567"/>
      <c r="T93" s="567"/>
      <c r="U93" s="568"/>
      <c r="V93" s="569"/>
      <c r="W93" s="570"/>
      <c r="X93" s="570"/>
    </row>
    <row r="94" spans="1:24" s="537" customFormat="1" ht="56.25">
      <c r="A94" s="522"/>
      <c r="B94" s="523"/>
      <c r="C94" s="1018" t="s">
        <v>502</v>
      </c>
      <c r="D94" s="558">
        <v>1300000</v>
      </c>
      <c r="E94" s="526">
        <v>1</v>
      </c>
      <c r="F94" s="528"/>
      <c r="G94" s="559">
        <v>1300000</v>
      </c>
      <c r="H94" s="528"/>
      <c r="I94" s="528"/>
      <c r="J94" s="528"/>
      <c r="K94" s="529">
        <f t="shared" ref="K94:K157" si="5">SUM(F94:J94)</f>
        <v>1300000</v>
      </c>
      <c r="L94" s="543" t="s">
        <v>493</v>
      </c>
      <c r="M94" s="543" t="s">
        <v>493</v>
      </c>
      <c r="N94" s="543" t="s">
        <v>493</v>
      </c>
      <c r="O94" s="543" t="s">
        <v>19</v>
      </c>
      <c r="P94" s="560" t="s">
        <v>5</v>
      </c>
      <c r="Q94" s="532"/>
      <c r="R94" s="533"/>
      <c r="S94" s="533"/>
      <c r="T94" s="533"/>
      <c r="U94" s="534"/>
      <c r="V94" s="535"/>
      <c r="W94" s="536"/>
      <c r="X94" s="536"/>
    </row>
    <row r="95" spans="1:24" s="537" customFormat="1" ht="39.75" customHeight="1">
      <c r="A95" s="522"/>
      <c r="B95" s="523"/>
      <c r="C95" s="1018" t="s">
        <v>503</v>
      </c>
      <c r="D95" s="558">
        <v>5000000</v>
      </c>
      <c r="E95" s="526">
        <v>1</v>
      </c>
      <c r="F95" s="528"/>
      <c r="G95" s="559">
        <v>5000000</v>
      </c>
      <c r="H95" s="528"/>
      <c r="I95" s="528"/>
      <c r="J95" s="528"/>
      <c r="K95" s="529">
        <f t="shared" si="5"/>
        <v>5000000</v>
      </c>
      <c r="L95" s="543" t="s">
        <v>493</v>
      </c>
      <c r="M95" s="543" t="s">
        <v>493</v>
      </c>
      <c r="N95" s="543" t="s">
        <v>493</v>
      </c>
      <c r="O95" s="543" t="s">
        <v>19</v>
      </c>
      <c r="P95" s="560" t="s">
        <v>5</v>
      </c>
      <c r="Q95" s="532"/>
      <c r="R95" s="533"/>
      <c r="S95" s="533"/>
      <c r="T95" s="533"/>
      <c r="U95" s="534"/>
      <c r="V95" s="535"/>
      <c r="W95" s="536"/>
      <c r="X95" s="536"/>
    </row>
    <row r="96" spans="1:24" s="537" customFormat="1" ht="39.75" customHeight="1">
      <c r="A96" s="522"/>
      <c r="B96" s="523"/>
      <c r="C96" s="1018" t="s">
        <v>968</v>
      </c>
      <c r="D96" s="558">
        <v>930000</v>
      </c>
      <c r="E96" s="526">
        <v>1</v>
      </c>
      <c r="F96" s="528"/>
      <c r="G96" s="559"/>
      <c r="H96" s="528">
        <v>930000</v>
      </c>
      <c r="I96" s="528"/>
      <c r="J96" s="528"/>
      <c r="K96" s="529">
        <v>930000</v>
      </c>
      <c r="L96" s="543" t="s">
        <v>493</v>
      </c>
      <c r="M96" s="543" t="s">
        <v>493</v>
      </c>
      <c r="N96" s="543" t="s">
        <v>493</v>
      </c>
      <c r="O96" s="543" t="s">
        <v>19</v>
      </c>
      <c r="P96" s="560" t="s">
        <v>5</v>
      </c>
      <c r="Q96" s="532"/>
      <c r="R96" s="533"/>
      <c r="S96" s="533"/>
      <c r="T96" s="533"/>
      <c r="U96" s="534"/>
      <c r="V96" s="535"/>
      <c r="W96" s="536"/>
      <c r="X96" s="536"/>
    </row>
    <row r="97" spans="1:24" s="537" customFormat="1">
      <c r="A97" s="522"/>
      <c r="B97" s="523"/>
      <c r="C97" s="557" t="s">
        <v>350</v>
      </c>
      <c r="D97" s="558">
        <v>1700000</v>
      </c>
      <c r="E97" s="526">
        <v>1</v>
      </c>
      <c r="F97" s="528"/>
      <c r="G97" s="559"/>
      <c r="H97" s="559">
        <v>1700000</v>
      </c>
      <c r="I97" s="528"/>
      <c r="J97" s="528"/>
      <c r="K97" s="529">
        <f t="shared" si="5"/>
        <v>1700000</v>
      </c>
      <c r="L97" s="543" t="s">
        <v>493</v>
      </c>
      <c r="M97" s="543" t="s">
        <v>493</v>
      </c>
      <c r="N97" s="543" t="s">
        <v>493</v>
      </c>
      <c r="O97" s="543" t="s">
        <v>19</v>
      </c>
      <c r="P97" s="560" t="s">
        <v>5</v>
      </c>
      <c r="Q97" s="532"/>
      <c r="R97" s="533"/>
      <c r="S97" s="533"/>
      <c r="T97" s="533"/>
      <c r="U97" s="534"/>
      <c r="V97" s="535"/>
      <c r="W97" s="536"/>
      <c r="X97" s="536"/>
    </row>
    <row r="98" spans="1:24" s="537" customFormat="1" ht="56.25">
      <c r="A98" s="522"/>
      <c r="B98" s="523"/>
      <c r="C98" s="557" t="s">
        <v>504</v>
      </c>
      <c r="D98" s="558">
        <v>800000</v>
      </c>
      <c r="E98" s="526">
        <v>3</v>
      </c>
      <c r="F98" s="528"/>
      <c r="G98" s="559"/>
      <c r="H98" s="559">
        <v>2400000</v>
      </c>
      <c r="I98" s="528"/>
      <c r="J98" s="528"/>
      <c r="K98" s="529">
        <f t="shared" si="5"/>
        <v>2400000</v>
      </c>
      <c r="L98" s="543" t="s">
        <v>493</v>
      </c>
      <c r="M98" s="543" t="s">
        <v>493</v>
      </c>
      <c r="N98" s="543" t="s">
        <v>493</v>
      </c>
      <c r="O98" s="543" t="s">
        <v>19</v>
      </c>
      <c r="P98" s="560" t="s">
        <v>5</v>
      </c>
      <c r="Q98" s="532"/>
      <c r="R98" s="533"/>
      <c r="S98" s="533"/>
      <c r="T98" s="533"/>
      <c r="U98" s="534"/>
      <c r="V98" s="535"/>
      <c r="W98" s="536"/>
      <c r="X98" s="536"/>
    </row>
    <row r="99" spans="1:24" s="537" customFormat="1" ht="37.5">
      <c r="A99" s="522"/>
      <c r="B99" s="523"/>
      <c r="C99" s="557" t="s">
        <v>505</v>
      </c>
      <c r="D99" s="558">
        <v>550000</v>
      </c>
      <c r="E99" s="526">
        <v>2</v>
      </c>
      <c r="F99" s="528"/>
      <c r="G99" s="559"/>
      <c r="H99" s="559">
        <v>1100000</v>
      </c>
      <c r="I99" s="528"/>
      <c r="J99" s="528"/>
      <c r="K99" s="529">
        <f t="shared" si="5"/>
        <v>1100000</v>
      </c>
      <c r="L99" s="543" t="s">
        <v>493</v>
      </c>
      <c r="M99" s="543" t="s">
        <v>493</v>
      </c>
      <c r="N99" s="543" t="s">
        <v>493</v>
      </c>
      <c r="O99" s="543" t="s">
        <v>19</v>
      </c>
      <c r="P99" s="560" t="s">
        <v>5</v>
      </c>
      <c r="Q99" s="532"/>
      <c r="R99" s="533"/>
      <c r="S99" s="533"/>
      <c r="T99" s="533"/>
      <c r="U99" s="534"/>
      <c r="V99" s="535"/>
      <c r="W99" s="536"/>
      <c r="X99" s="536"/>
    </row>
    <row r="100" spans="1:24" s="537" customFormat="1" ht="37.5">
      <c r="A100" s="522"/>
      <c r="B100" s="523"/>
      <c r="C100" s="1018" t="s">
        <v>969</v>
      </c>
      <c r="D100" s="558">
        <v>1700000</v>
      </c>
      <c r="E100" s="526">
        <v>1</v>
      </c>
      <c r="F100" s="528"/>
      <c r="G100" s="559"/>
      <c r="H100" s="559">
        <v>1700000</v>
      </c>
      <c r="I100" s="528"/>
      <c r="J100" s="528"/>
      <c r="K100" s="529">
        <f t="shared" si="5"/>
        <v>1700000</v>
      </c>
      <c r="L100" s="543" t="s">
        <v>493</v>
      </c>
      <c r="M100" s="543" t="s">
        <v>493</v>
      </c>
      <c r="N100" s="543" t="s">
        <v>493</v>
      </c>
      <c r="O100" s="543" t="s">
        <v>19</v>
      </c>
      <c r="P100" s="560" t="s">
        <v>5</v>
      </c>
      <c r="Q100" s="532"/>
      <c r="R100" s="533"/>
      <c r="S100" s="533"/>
      <c r="T100" s="533"/>
      <c r="U100" s="534"/>
      <c r="V100" s="535"/>
      <c r="W100" s="536"/>
      <c r="X100" s="536"/>
    </row>
    <row r="101" spans="1:24" s="537" customFormat="1" ht="75">
      <c r="A101" s="522"/>
      <c r="B101" s="523"/>
      <c r="C101" s="557" t="s">
        <v>506</v>
      </c>
      <c r="D101" s="558">
        <v>1930000</v>
      </c>
      <c r="E101" s="526">
        <v>1</v>
      </c>
      <c r="F101" s="528"/>
      <c r="G101" s="559"/>
      <c r="H101" s="559">
        <v>1930000</v>
      </c>
      <c r="I101" s="528"/>
      <c r="J101" s="528"/>
      <c r="K101" s="529">
        <f t="shared" si="5"/>
        <v>1930000</v>
      </c>
      <c r="L101" s="543" t="s">
        <v>493</v>
      </c>
      <c r="M101" s="543" t="s">
        <v>493</v>
      </c>
      <c r="N101" s="543" t="s">
        <v>493</v>
      </c>
      <c r="O101" s="543" t="s">
        <v>19</v>
      </c>
      <c r="P101" s="560" t="s">
        <v>5</v>
      </c>
      <c r="Q101" s="532"/>
      <c r="R101" s="533"/>
      <c r="S101" s="533"/>
      <c r="T101" s="533"/>
      <c r="U101" s="534"/>
      <c r="V101" s="535"/>
      <c r="W101" s="536"/>
      <c r="X101" s="536"/>
    </row>
    <row r="102" spans="1:24" s="537" customFormat="1" ht="75">
      <c r="A102" s="522"/>
      <c r="B102" s="523"/>
      <c r="C102" s="557" t="s">
        <v>507</v>
      </c>
      <c r="D102" s="558">
        <v>2270000</v>
      </c>
      <c r="E102" s="526">
        <v>1</v>
      </c>
      <c r="F102" s="528"/>
      <c r="G102" s="528"/>
      <c r="H102" s="528"/>
      <c r="I102" s="559">
        <v>2270000</v>
      </c>
      <c r="J102" s="528"/>
      <c r="K102" s="529">
        <f t="shared" si="5"/>
        <v>2270000</v>
      </c>
      <c r="L102" s="543" t="s">
        <v>493</v>
      </c>
      <c r="M102" s="543" t="s">
        <v>493</v>
      </c>
      <c r="N102" s="543" t="s">
        <v>493</v>
      </c>
      <c r="O102" s="543" t="s">
        <v>19</v>
      </c>
      <c r="P102" s="560" t="s">
        <v>5</v>
      </c>
      <c r="Q102" s="532"/>
      <c r="R102" s="533"/>
      <c r="S102" s="533"/>
      <c r="T102" s="533"/>
      <c r="U102" s="534"/>
      <c r="V102" s="535"/>
      <c r="W102" s="536"/>
      <c r="X102" s="536"/>
    </row>
    <row r="103" spans="1:24" s="537" customFormat="1" ht="56.25">
      <c r="A103" s="522"/>
      <c r="B103" s="523"/>
      <c r="C103" s="1020" t="s">
        <v>970</v>
      </c>
      <c r="D103" s="1021">
        <v>480000</v>
      </c>
      <c r="E103" s="1019">
        <v>1</v>
      </c>
      <c r="F103" s="528">
        <v>480000</v>
      </c>
      <c r="G103" s="528"/>
      <c r="H103" s="528"/>
      <c r="I103" s="559"/>
      <c r="J103" s="528"/>
      <c r="K103" s="529">
        <f t="shared" si="5"/>
        <v>480000</v>
      </c>
      <c r="L103" s="543" t="s">
        <v>971</v>
      </c>
      <c r="M103" s="543" t="s">
        <v>971</v>
      </c>
      <c r="N103" s="543" t="s">
        <v>993</v>
      </c>
      <c r="O103" s="543" t="s">
        <v>19</v>
      </c>
      <c r="P103" s="543" t="s">
        <v>173</v>
      </c>
      <c r="Q103" s="532"/>
      <c r="R103" s="533"/>
      <c r="S103" s="533"/>
      <c r="T103" s="533"/>
      <c r="U103" s="534"/>
      <c r="V103" s="535"/>
      <c r="W103" s="536"/>
      <c r="X103" s="536"/>
    </row>
    <row r="104" spans="1:24" s="537" customFormat="1" ht="41.25" customHeight="1">
      <c r="A104" s="522"/>
      <c r="B104" s="523"/>
      <c r="C104" s="562" t="s">
        <v>508</v>
      </c>
      <c r="D104" s="563">
        <v>2000000</v>
      </c>
      <c r="E104" s="526">
        <v>1</v>
      </c>
      <c r="F104" s="528">
        <v>0</v>
      </c>
      <c r="G104" s="528">
        <v>2000000</v>
      </c>
      <c r="H104" s="528">
        <v>0</v>
      </c>
      <c r="I104" s="528">
        <v>0</v>
      </c>
      <c r="J104" s="528">
        <v>0</v>
      </c>
      <c r="K104" s="529">
        <f t="shared" si="5"/>
        <v>2000000</v>
      </c>
      <c r="L104" s="543" t="s">
        <v>509</v>
      </c>
      <c r="M104" s="543" t="s">
        <v>510</v>
      </c>
      <c r="N104" s="543" t="s">
        <v>511</v>
      </c>
      <c r="O104" s="543" t="s">
        <v>19</v>
      </c>
      <c r="P104" s="543" t="s">
        <v>181</v>
      </c>
      <c r="Q104" s="532"/>
      <c r="R104" s="533"/>
      <c r="S104" s="533"/>
      <c r="T104" s="533"/>
      <c r="U104" s="534"/>
      <c r="V104" s="535"/>
      <c r="W104" s="536"/>
      <c r="X104" s="536"/>
    </row>
    <row r="105" spans="1:24" s="537" customFormat="1" ht="63">
      <c r="A105" s="522"/>
      <c r="B105" s="523"/>
      <c r="C105" s="572" t="s">
        <v>512</v>
      </c>
      <c r="D105" s="573">
        <v>1294000</v>
      </c>
      <c r="E105" s="574">
        <v>1</v>
      </c>
      <c r="F105" s="573">
        <v>1294000</v>
      </c>
      <c r="G105" s="528"/>
      <c r="H105" s="528"/>
      <c r="I105" s="528"/>
      <c r="J105" s="528"/>
      <c r="K105" s="529">
        <f t="shared" si="5"/>
        <v>1294000</v>
      </c>
      <c r="L105" s="574" t="s">
        <v>513</v>
      </c>
      <c r="M105" s="574" t="s">
        <v>513</v>
      </c>
      <c r="N105" s="574" t="s">
        <v>513</v>
      </c>
      <c r="O105" s="543" t="s">
        <v>19</v>
      </c>
      <c r="P105" s="531" t="s">
        <v>181</v>
      </c>
      <c r="Q105" s="532"/>
      <c r="R105" s="533"/>
      <c r="S105" s="533"/>
      <c r="T105" s="533"/>
      <c r="U105" s="534"/>
      <c r="V105" s="535"/>
      <c r="W105" s="536"/>
      <c r="X105" s="536"/>
    </row>
    <row r="106" spans="1:24" s="537" customFormat="1" ht="42">
      <c r="A106" s="522"/>
      <c r="B106" s="523"/>
      <c r="C106" s="572" t="s">
        <v>514</v>
      </c>
      <c r="D106" s="573">
        <v>1760000</v>
      </c>
      <c r="E106" s="574">
        <v>1</v>
      </c>
      <c r="F106" s="573">
        <v>1760000</v>
      </c>
      <c r="G106" s="528"/>
      <c r="H106" s="528"/>
      <c r="I106" s="528"/>
      <c r="J106" s="528"/>
      <c r="K106" s="529">
        <f t="shared" si="5"/>
        <v>1760000</v>
      </c>
      <c r="L106" s="574" t="s">
        <v>513</v>
      </c>
      <c r="M106" s="574" t="s">
        <v>513</v>
      </c>
      <c r="N106" s="574" t="s">
        <v>513</v>
      </c>
      <c r="O106" s="543" t="s">
        <v>19</v>
      </c>
      <c r="P106" s="531" t="s">
        <v>181</v>
      </c>
      <c r="Q106" s="532"/>
      <c r="R106" s="533"/>
      <c r="S106" s="533"/>
      <c r="T106" s="533"/>
      <c r="U106" s="534"/>
      <c r="V106" s="535"/>
      <c r="W106" s="536"/>
      <c r="X106" s="536"/>
    </row>
    <row r="107" spans="1:24" s="537" customFormat="1" ht="42">
      <c r="A107" s="522"/>
      <c r="B107" s="523"/>
      <c r="C107" s="572" t="s">
        <v>515</v>
      </c>
      <c r="D107" s="573">
        <v>2000000</v>
      </c>
      <c r="E107" s="574">
        <v>1</v>
      </c>
      <c r="F107" s="573">
        <v>2000000</v>
      </c>
      <c r="G107" s="528"/>
      <c r="H107" s="528"/>
      <c r="I107" s="528"/>
      <c r="J107" s="528"/>
      <c r="K107" s="529">
        <f t="shared" si="5"/>
        <v>2000000</v>
      </c>
      <c r="L107" s="574" t="s">
        <v>513</v>
      </c>
      <c r="M107" s="574" t="s">
        <v>513</v>
      </c>
      <c r="N107" s="574" t="s">
        <v>513</v>
      </c>
      <c r="O107" s="543" t="s">
        <v>19</v>
      </c>
      <c r="P107" s="531" t="s">
        <v>181</v>
      </c>
      <c r="Q107" s="532"/>
      <c r="R107" s="533"/>
      <c r="S107" s="533"/>
      <c r="T107" s="533"/>
      <c r="U107" s="534"/>
      <c r="V107" s="535"/>
      <c r="W107" s="536"/>
      <c r="X107" s="536"/>
    </row>
    <row r="108" spans="1:24" s="537" customFormat="1">
      <c r="A108" s="522"/>
      <c r="B108" s="523"/>
      <c r="C108" s="575" t="s">
        <v>516</v>
      </c>
      <c r="D108" s="556">
        <v>550000</v>
      </c>
      <c r="E108" s="526">
        <v>1</v>
      </c>
      <c r="F108" s="528">
        <f>D108</f>
        <v>550000</v>
      </c>
      <c r="G108" s="528">
        <v>0</v>
      </c>
      <c r="H108" s="528">
        <v>0</v>
      </c>
      <c r="I108" s="528">
        <v>0</v>
      </c>
      <c r="J108" s="528">
        <v>0</v>
      </c>
      <c r="K108" s="529">
        <f t="shared" si="5"/>
        <v>550000</v>
      </c>
      <c r="L108" s="543" t="s">
        <v>517</v>
      </c>
      <c r="M108" s="543" t="s">
        <v>163</v>
      </c>
      <c r="N108" s="543" t="s">
        <v>518</v>
      </c>
      <c r="O108" s="543" t="s">
        <v>19</v>
      </c>
      <c r="P108" s="543" t="s">
        <v>173</v>
      </c>
      <c r="Q108" s="532"/>
      <c r="R108" s="533"/>
      <c r="S108" s="533"/>
      <c r="T108" s="533"/>
      <c r="U108" s="534"/>
      <c r="V108" s="535"/>
      <c r="W108" s="536"/>
      <c r="X108" s="536"/>
    </row>
    <row r="109" spans="1:24" s="537" customFormat="1">
      <c r="A109" s="522"/>
      <c r="B109" s="523"/>
      <c r="C109" s="575" t="s">
        <v>519</v>
      </c>
      <c r="D109" s="556">
        <v>245000</v>
      </c>
      <c r="E109" s="526">
        <v>1</v>
      </c>
      <c r="F109" s="528">
        <f>D109</f>
        <v>245000</v>
      </c>
      <c r="G109" s="528">
        <v>0</v>
      </c>
      <c r="H109" s="528">
        <v>0</v>
      </c>
      <c r="I109" s="528">
        <v>0</v>
      </c>
      <c r="J109" s="528">
        <v>0</v>
      </c>
      <c r="K109" s="529">
        <f t="shared" si="5"/>
        <v>245000</v>
      </c>
      <c r="L109" s="543" t="s">
        <v>517</v>
      </c>
      <c r="M109" s="543" t="s">
        <v>163</v>
      </c>
      <c r="N109" s="543" t="s">
        <v>518</v>
      </c>
      <c r="O109" s="543" t="s">
        <v>19</v>
      </c>
      <c r="P109" s="543" t="s">
        <v>173</v>
      </c>
      <c r="Q109" s="532"/>
      <c r="R109" s="533"/>
      <c r="S109" s="533"/>
      <c r="T109" s="533"/>
      <c r="U109" s="534"/>
      <c r="V109" s="535"/>
      <c r="W109" s="536"/>
      <c r="X109" s="536"/>
    </row>
    <row r="110" spans="1:24" s="537" customFormat="1">
      <c r="A110" s="522"/>
      <c r="B110" s="523"/>
      <c r="C110" s="575" t="s">
        <v>520</v>
      </c>
      <c r="D110" s="556">
        <v>200000</v>
      </c>
      <c r="E110" s="526">
        <v>1</v>
      </c>
      <c r="F110" s="528">
        <f>D110</f>
        <v>200000</v>
      </c>
      <c r="G110" s="528">
        <v>0</v>
      </c>
      <c r="H110" s="528">
        <v>0</v>
      </c>
      <c r="I110" s="528">
        <v>0</v>
      </c>
      <c r="J110" s="528">
        <v>0</v>
      </c>
      <c r="K110" s="529">
        <f t="shared" si="5"/>
        <v>200000</v>
      </c>
      <c r="L110" s="543" t="s">
        <v>517</v>
      </c>
      <c r="M110" s="543" t="s">
        <v>163</v>
      </c>
      <c r="N110" s="543" t="s">
        <v>518</v>
      </c>
      <c r="O110" s="543" t="s">
        <v>19</v>
      </c>
      <c r="P110" s="543" t="s">
        <v>173</v>
      </c>
      <c r="Q110" s="532"/>
      <c r="R110" s="533"/>
      <c r="S110" s="533"/>
      <c r="T110" s="533"/>
      <c r="U110" s="534"/>
      <c r="V110" s="535"/>
      <c r="W110" s="536"/>
      <c r="X110" s="536"/>
    </row>
    <row r="111" spans="1:24" s="537" customFormat="1" ht="63">
      <c r="A111" s="522"/>
      <c r="B111" s="523"/>
      <c r="C111" s="551" t="s">
        <v>521</v>
      </c>
      <c r="D111" s="576">
        <v>1930000</v>
      </c>
      <c r="E111" s="526">
        <v>1</v>
      </c>
      <c r="F111" s="577">
        <v>1930000</v>
      </c>
      <c r="G111" s="528"/>
      <c r="H111" s="528"/>
      <c r="I111" s="528"/>
      <c r="J111" s="540"/>
      <c r="K111" s="529">
        <f t="shared" si="5"/>
        <v>1930000</v>
      </c>
      <c r="L111" s="543" t="s">
        <v>171</v>
      </c>
      <c r="M111" s="543" t="s">
        <v>172</v>
      </c>
      <c r="N111" s="543" t="s">
        <v>172</v>
      </c>
      <c r="O111" s="543" t="s">
        <v>19</v>
      </c>
      <c r="P111" s="531" t="s">
        <v>173</v>
      </c>
      <c r="Q111" s="532"/>
      <c r="R111" s="533"/>
      <c r="S111" s="533"/>
      <c r="T111" s="533"/>
      <c r="U111" s="534"/>
      <c r="V111" s="535"/>
      <c r="W111" s="536"/>
      <c r="X111" s="536"/>
    </row>
    <row r="112" spans="1:24" s="537" customFormat="1" ht="42">
      <c r="A112" s="522"/>
      <c r="B112" s="523"/>
      <c r="C112" s="551" t="s">
        <v>522</v>
      </c>
      <c r="D112" s="576">
        <v>1340000</v>
      </c>
      <c r="E112" s="526">
        <v>1</v>
      </c>
      <c r="F112" s="577">
        <v>1340000</v>
      </c>
      <c r="G112" s="528"/>
      <c r="H112" s="528"/>
      <c r="I112" s="528"/>
      <c r="J112" s="540"/>
      <c r="K112" s="529">
        <f t="shared" si="5"/>
        <v>1340000</v>
      </c>
      <c r="L112" s="543" t="s">
        <v>171</v>
      </c>
      <c r="M112" s="543" t="s">
        <v>172</v>
      </c>
      <c r="N112" s="543" t="s">
        <v>172</v>
      </c>
      <c r="O112" s="543" t="s">
        <v>19</v>
      </c>
      <c r="P112" s="531" t="s">
        <v>173</v>
      </c>
      <c r="Q112" s="532"/>
      <c r="R112" s="533"/>
      <c r="S112" s="533"/>
      <c r="T112" s="533"/>
      <c r="U112" s="534"/>
      <c r="V112" s="535"/>
      <c r="W112" s="536"/>
      <c r="X112" s="536"/>
    </row>
    <row r="113" spans="1:24" s="537" customFormat="1" ht="24.6" customHeight="1">
      <c r="A113" s="522"/>
      <c r="B113" s="523"/>
      <c r="C113" s="562" t="s">
        <v>174</v>
      </c>
      <c r="D113" s="563">
        <v>300000</v>
      </c>
      <c r="E113" s="526">
        <v>1</v>
      </c>
      <c r="F113" s="528">
        <f>D113</f>
        <v>300000</v>
      </c>
      <c r="G113" s="528">
        <v>0</v>
      </c>
      <c r="H113" s="528">
        <v>0</v>
      </c>
      <c r="I113" s="528">
        <v>0</v>
      </c>
      <c r="J113" s="528">
        <v>0</v>
      </c>
      <c r="K113" s="529">
        <f t="shared" si="5"/>
        <v>300000</v>
      </c>
      <c r="L113" s="543" t="s">
        <v>171</v>
      </c>
      <c r="M113" s="543" t="s">
        <v>172</v>
      </c>
      <c r="N113" s="543" t="s">
        <v>172</v>
      </c>
      <c r="O113" s="543" t="s">
        <v>19</v>
      </c>
      <c r="P113" s="531" t="s">
        <v>173</v>
      </c>
      <c r="Q113" s="532"/>
      <c r="R113" s="533"/>
      <c r="S113" s="533"/>
      <c r="T113" s="533"/>
      <c r="U113" s="534"/>
      <c r="V113" s="535"/>
      <c r="W113" s="536"/>
      <c r="X113" s="536"/>
    </row>
    <row r="114" spans="1:24" s="537" customFormat="1" ht="40.700000000000003" customHeight="1">
      <c r="A114" s="522"/>
      <c r="B114" s="523"/>
      <c r="C114" s="562" t="s">
        <v>175</v>
      </c>
      <c r="D114" s="563">
        <v>160000</v>
      </c>
      <c r="E114" s="526">
        <v>1</v>
      </c>
      <c r="F114" s="528">
        <f>D114</f>
        <v>160000</v>
      </c>
      <c r="G114" s="528">
        <v>0</v>
      </c>
      <c r="H114" s="528">
        <v>0</v>
      </c>
      <c r="I114" s="528">
        <v>0</v>
      </c>
      <c r="J114" s="528">
        <v>0</v>
      </c>
      <c r="K114" s="529">
        <f t="shared" si="5"/>
        <v>160000</v>
      </c>
      <c r="L114" s="543" t="s">
        <v>171</v>
      </c>
      <c r="M114" s="543" t="s">
        <v>172</v>
      </c>
      <c r="N114" s="543" t="s">
        <v>172</v>
      </c>
      <c r="O114" s="543" t="s">
        <v>19</v>
      </c>
      <c r="P114" s="531" t="s">
        <v>173</v>
      </c>
      <c r="Q114" s="532"/>
      <c r="R114" s="533"/>
      <c r="S114" s="533"/>
      <c r="T114" s="533"/>
      <c r="U114" s="534"/>
      <c r="V114" s="535"/>
      <c r="W114" s="536"/>
      <c r="X114" s="536"/>
    </row>
    <row r="115" spans="1:24" s="537" customFormat="1" ht="37.5">
      <c r="A115" s="522"/>
      <c r="B115" s="523"/>
      <c r="C115" s="562" t="s">
        <v>176</v>
      </c>
      <c r="D115" s="563">
        <v>280000</v>
      </c>
      <c r="E115" s="526">
        <v>1</v>
      </c>
      <c r="F115" s="528">
        <f>D115</f>
        <v>280000</v>
      </c>
      <c r="G115" s="528">
        <v>0</v>
      </c>
      <c r="H115" s="528">
        <v>0</v>
      </c>
      <c r="I115" s="528">
        <v>0</v>
      </c>
      <c r="J115" s="528">
        <v>0</v>
      </c>
      <c r="K115" s="529">
        <f t="shared" si="5"/>
        <v>280000</v>
      </c>
      <c r="L115" s="543" t="s">
        <v>171</v>
      </c>
      <c r="M115" s="543" t="s">
        <v>172</v>
      </c>
      <c r="N115" s="543" t="s">
        <v>172</v>
      </c>
      <c r="O115" s="543" t="s">
        <v>19</v>
      </c>
      <c r="P115" s="531" t="s">
        <v>173</v>
      </c>
      <c r="Q115" s="532"/>
      <c r="R115" s="533"/>
      <c r="S115" s="533"/>
      <c r="T115" s="533"/>
      <c r="U115" s="534"/>
      <c r="V115" s="535"/>
      <c r="W115" s="536"/>
      <c r="X115" s="536"/>
    </row>
    <row r="116" spans="1:24" s="537" customFormat="1" ht="37.5">
      <c r="A116" s="522"/>
      <c r="B116" s="523"/>
      <c r="C116" s="562" t="s">
        <v>177</v>
      </c>
      <c r="D116" s="563">
        <v>500000</v>
      </c>
      <c r="E116" s="526">
        <v>1</v>
      </c>
      <c r="F116" s="528">
        <f>D116</f>
        <v>500000</v>
      </c>
      <c r="G116" s="528">
        <v>0</v>
      </c>
      <c r="H116" s="528">
        <v>0</v>
      </c>
      <c r="I116" s="528">
        <v>0</v>
      </c>
      <c r="J116" s="528">
        <v>0</v>
      </c>
      <c r="K116" s="529">
        <f t="shared" si="5"/>
        <v>500000</v>
      </c>
      <c r="L116" s="543" t="s">
        <v>171</v>
      </c>
      <c r="M116" s="543" t="s">
        <v>172</v>
      </c>
      <c r="N116" s="543" t="s">
        <v>172</v>
      </c>
      <c r="O116" s="543" t="s">
        <v>19</v>
      </c>
      <c r="P116" s="531" t="s">
        <v>173</v>
      </c>
      <c r="Q116" s="532"/>
      <c r="R116" s="533"/>
      <c r="S116" s="533"/>
      <c r="T116" s="533"/>
      <c r="U116" s="534"/>
      <c r="V116" s="535"/>
      <c r="W116" s="536"/>
      <c r="X116" s="536"/>
    </row>
    <row r="117" spans="1:24" s="537" customFormat="1" ht="37.5">
      <c r="A117" s="522"/>
      <c r="B117" s="523"/>
      <c r="C117" s="546" t="s">
        <v>994</v>
      </c>
      <c r="D117" s="547">
        <v>60000</v>
      </c>
      <c r="E117" s="526">
        <v>5</v>
      </c>
      <c r="F117" s="547">
        <f>60000*5</f>
        <v>300000</v>
      </c>
      <c r="G117" s="528"/>
      <c r="H117" s="528"/>
      <c r="I117" s="528"/>
      <c r="J117" s="528"/>
      <c r="K117" s="529">
        <f t="shared" si="5"/>
        <v>300000</v>
      </c>
      <c r="L117" s="543" t="s">
        <v>523</v>
      </c>
      <c r="M117" s="543" t="s">
        <v>523</v>
      </c>
      <c r="N117" s="543" t="s">
        <v>523</v>
      </c>
      <c r="O117" s="543" t="s">
        <v>19</v>
      </c>
      <c r="P117" s="560" t="s">
        <v>181</v>
      </c>
      <c r="Q117" s="532"/>
      <c r="R117" s="533"/>
      <c r="S117" s="533"/>
      <c r="T117" s="533"/>
      <c r="U117" s="534"/>
      <c r="V117" s="535"/>
      <c r="W117" s="536"/>
      <c r="X117" s="536"/>
    </row>
    <row r="118" spans="1:24" s="537" customFormat="1" ht="37.5">
      <c r="A118" s="522"/>
      <c r="B118" s="523"/>
      <c r="C118" s="546" t="s">
        <v>524</v>
      </c>
      <c r="D118" s="547">
        <v>54000</v>
      </c>
      <c r="E118" s="526">
        <v>1</v>
      </c>
      <c r="F118" s="547">
        <v>54000</v>
      </c>
      <c r="G118" s="528"/>
      <c r="H118" s="528"/>
      <c r="I118" s="528"/>
      <c r="J118" s="528"/>
      <c r="K118" s="529">
        <f t="shared" si="5"/>
        <v>54000</v>
      </c>
      <c r="L118" s="543" t="s">
        <v>523</v>
      </c>
      <c r="M118" s="543" t="s">
        <v>523</v>
      </c>
      <c r="N118" s="543" t="s">
        <v>523</v>
      </c>
      <c r="O118" s="543" t="s">
        <v>19</v>
      </c>
      <c r="P118" s="560" t="s">
        <v>181</v>
      </c>
      <c r="Q118" s="532"/>
      <c r="R118" s="533"/>
      <c r="S118" s="533"/>
      <c r="T118" s="533"/>
      <c r="U118" s="534"/>
      <c r="V118" s="535"/>
      <c r="W118" s="536"/>
      <c r="X118" s="536"/>
    </row>
    <row r="119" spans="1:24" s="537" customFormat="1" ht="37.5">
      <c r="A119" s="522"/>
      <c r="B119" s="523"/>
      <c r="C119" s="546" t="s">
        <v>356</v>
      </c>
      <c r="D119" s="547">
        <v>50000</v>
      </c>
      <c r="E119" s="526">
        <v>1</v>
      </c>
      <c r="F119" s="547">
        <v>50000</v>
      </c>
      <c r="G119" s="528"/>
      <c r="H119" s="528"/>
      <c r="I119" s="528"/>
      <c r="J119" s="528"/>
      <c r="K119" s="529">
        <f t="shared" si="5"/>
        <v>50000</v>
      </c>
      <c r="L119" s="543" t="s">
        <v>523</v>
      </c>
      <c r="M119" s="543" t="s">
        <v>523</v>
      </c>
      <c r="N119" s="543" t="s">
        <v>523</v>
      </c>
      <c r="O119" s="543" t="s">
        <v>19</v>
      </c>
      <c r="P119" s="560" t="s">
        <v>181</v>
      </c>
      <c r="Q119" s="532"/>
      <c r="R119" s="533"/>
      <c r="S119" s="533"/>
      <c r="T119" s="533"/>
      <c r="U119" s="534"/>
      <c r="V119" s="535"/>
      <c r="W119" s="536"/>
      <c r="X119" s="536"/>
    </row>
    <row r="120" spans="1:24" s="537" customFormat="1" ht="37.5">
      <c r="A120" s="522"/>
      <c r="B120" s="523"/>
      <c r="C120" s="546" t="s">
        <v>358</v>
      </c>
      <c r="D120" s="547">
        <v>20000</v>
      </c>
      <c r="E120" s="526">
        <v>1</v>
      </c>
      <c r="F120" s="547">
        <v>20000</v>
      </c>
      <c r="G120" s="528"/>
      <c r="H120" s="528"/>
      <c r="I120" s="528"/>
      <c r="J120" s="528"/>
      <c r="K120" s="529">
        <f t="shared" si="5"/>
        <v>20000</v>
      </c>
      <c r="L120" s="543" t="s">
        <v>523</v>
      </c>
      <c r="M120" s="543" t="s">
        <v>523</v>
      </c>
      <c r="N120" s="543" t="s">
        <v>523</v>
      </c>
      <c r="O120" s="543" t="s">
        <v>19</v>
      </c>
      <c r="P120" s="560" t="s">
        <v>181</v>
      </c>
      <c r="Q120" s="532"/>
      <c r="R120" s="533"/>
      <c r="S120" s="533"/>
      <c r="T120" s="533"/>
      <c r="U120" s="534"/>
      <c r="V120" s="535"/>
      <c r="W120" s="536"/>
      <c r="X120" s="536"/>
    </row>
    <row r="121" spans="1:24" s="537" customFormat="1" ht="37.5">
      <c r="A121" s="522"/>
      <c r="B121" s="523"/>
      <c r="C121" s="546" t="s">
        <v>525</v>
      </c>
      <c r="D121" s="547">
        <v>15000</v>
      </c>
      <c r="E121" s="526">
        <v>1</v>
      </c>
      <c r="F121" s="547">
        <v>15000</v>
      </c>
      <c r="G121" s="528"/>
      <c r="H121" s="528"/>
      <c r="I121" s="528"/>
      <c r="J121" s="528"/>
      <c r="K121" s="529">
        <f t="shared" si="5"/>
        <v>15000</v>
      </c>
      <c r="L121" s="543" t="s">
        <v>523</v>
      </c>
      <c r="M121" s="543" t="s">
        <v>523</v>
      </c>
      <c r="N121" s="543" t="s">
        <v>523</v>
      </c>
      <c r="O121" s="543" t="s">
        <v>19</v>
      </c>
      <c r="P121" s="560" t="s">
        <v>181</v>
      </c>
      <c r="Q121" s="532"/>
      <c r="R121" s="533"/>
      <c r="S121" s="533"/>
      <c r="T121" s="533"/>
      <c r="U121" s="534"/>
      <c r="V121" s="535"/>
      <c r="W121" s="536"/>
      <c r="X121" s="536"/>
    </row>
    <row r="122" spans="1:24" s="537" customFormat="1" ht="37.5">
      <c r="A122" s="522"/>
      <c r="B122" s="523"/>
      <c r="C122" s="546" t="s">
        <v>526</v>
      </c>
      <c r="D122" s="547">
        <v>13000</v>
      </c>
      <c r="E122" s="526">
        <v>1</v>
      </c>
      <c r="F122" s="547">
        <v>13000</v>
      </c>
      <c r="G122" s="528"/>
      <c r="H122" s="528"/>
      <c r="I122" s="528"/>
      <c r="J122" s="528"/>
      <c r="K122" s="529">
        <f t="shared" si="5"/>
        <v>13000</v>
      </c>
      <c r="L122" s="543" t="s">
        <v>523</v>
      </c>
      <c r="M122" s="543" t="s">
        <v>523</v>
      </c>
      <c r="N122" s="543" t="s">
        <v>523</v>
      </c>
      <c r="O122" s="543" t="s">
        <v>19</v>
      </c>
      <c r="P122" s="560" t="s">
        <v>181</v>
      </c>
      <c r="Q122" s="532"/>
      <c r="R122" s="533"/>
      <c r="S122" s="533"/>
      <c r="T122" s="533"/>
      <c r="U122" s="534"/>
      <c r="V122" s="535"/>
      <c r="W122" s="536"/>
      <c r="X122" s="536"/>
    </row>
    <row r="123" spans="1:24" s="537" customFormat="1" ht="37.5">
      <c r="A123" s="522"/>
      <c r="B123" s="523"/>
      <c r="C123" s="575" t="s">
        <v>527</v>
      </c>
      <c r="D123" s="578">
        <v>1200000</v>
      </c>
      <c r="E123" s="526">
        <v>1</v>
      </c>
      <c r="F123" s="528">
        <v>1200000</v>
      </c>
      <c r="G123" s="528"/>
      <c r="H123" s="528"/>
      <c r="I123" s="528"/>
      <c r="J123" s="528"/>
      <c r="K123" s="529">
        <f t="shared" si="5"/>
        <v>1200000</v>
      </c>
      <c r="L123" s="543" t="s">
        <v>528</v>
      </c>
      <c r="M123" s="543" t="s">
        <v>529</v>
      </c>
      <c r="N123" s="543" t="s">
        <v>529</v>
      </c>
      <c r="O123" s="543" t="s">
        <v>19</v>
      </c>
      <c r="P123" s="543" t="s">
        <v>173</v>
      </c>
      <c r="Q123" s="532"/>
      <c r="R123" s="533"/>
      <c r="S123" s="533"/>
      <c r="T123" s="533"/>
      <c r="U123" s="534"/>
      <c r="V123" s="535"/>
      <c r="W123" s="536"/>
      <c r="X123" s="536"/>
    </row>
    <row r="124" spans="1:24" s="537" customFormat="1" ht="37.5">
      <c r="A124" s="522"/>
      <c r="B124" s="523"/>
      <c r="C124" s="546" t="s">
        <v>530</v>
      </c>
      <c r="D124" s="578">
        <v>930000</v>
      </c>
      <c r="E124" s="526">
        <v>2</v>
      </c>
      <c r="F124" s="528">
        <v>930000</v>
      </c>
      <c r="G124" s="528"/>
      <c r="H124" s="528"/>
      <c r="I124" s="528"/>
      <c r="J124" s="528">
        <v>930000</v>
      </c>
      <c r="K124" s="529">
        <f t="shared" si="5"/>
        <v>1860000</v>
      </c>
      <c r="L124" s="543" t="s">
        <v>528</v>
      </c>
      <c r="M124" s="543" t="s">
        <v>529</v>
      </c>
      <c r="N124" s="543" t="s">
        <v>529</v>
      </c>
      <c r="O124" s="543" t="s">
        <v>19</v>
      </c>
      <c r="P124" s="543" t="s">
        <v>173</v>
      </c>
      <c r="Q124" s="532"/>
      <c r="R124" s="533"/>
      <c r="S124" s="533"/>
      <c r="T124" s="533"/>
      <c r="U124" s="534"/>
      <c r="V124" s="535"/>
      <c r="W124" s="536"/>
      <c r="X124" s="536"/>
    </row>
    <row r="125" spans="1:24" s="537" customFormat="1" ht="56.25">
      <c r="A125" s="522"/>
      <c r="B125" s="523"/>
      <c r="C125" s="546" t="s">
        <v>531</v>
      </c>
      <c r="D125" s="578">
        <v>480000</v>
      </c>
      <c r="E125" s="526">
        <v>2</v>
      </c>
      <c r="F125" s="528">
        <v>480000</v>
      </c>
      <c r="G125" s="528"/>
      <c r="H125" s="528">
        <v>480000</v>
      </c>
      <c r="I125" s="528"/>
      <c r="J125" s="528"/>
      <c r="K125" s="529">
        <f t="shared" si="5"/>
        <v>960000</v>
      </c>
      <c r="L125" s="543" t="s">
        <v>528</v>
      </c>
      <c r="M125" s="543" t="s">
        <v>529</v>
      </c>
      <c r="N125" s="543" t="s">
        <v>529</v>
      </c>
      <c r="O125" s="543" t="s">
        <v>19</v>
      </c>
      <c r="P125" s="543" t="s">
        <v>173</v>
      </c>
      <c r="Q125" s="532"/>
      <c r="R125" s="533"/>
      <c r="S125" s="533"/>
      <c r="T125" s="533"/>
      <c r="U125" s="534"/>
      <c r="V125" s="535"/>
      <c r="W125" s="536"/>
      <c r="X125" s="536"/>
    </row>
    <row r="126" spans="1:24" s="537" customFormat="1" ht="37.5">
      <c r="A126" s="522"/>
      <c r="B126" s="523"/>
      <c r="C126" s="546" t="s">
        <v>532</v>
      </c>
      <c r="D126" s="578">
        <v>2000000</v>
      </c>
      <c r="E126" s="526">
        <v>2</v>
      </c>
      <c r="F126" s="528">
        <v>2000000</v>
      </c>
      <c r="G126" s="528"/>
      <c r="H126" s="528"/>
      <c r="I126" s="528"/>
      <c r="J126" s="528">
        <v>2000000</v>
      </c>
      <c r="K126" s="529">
        <f t="shared" si="5"/>
        <v>4000000</v>
      </c>
      <c r="L126" s="543" t="s">
        <v>528</v>
      </c>
      <c r="M126" s="543" t="s">
        <v>529</v>
      </c>
      <c r="N126" s="543" t="s">
        <v>529</v>
      </c>
      <c r="O126" s="543" t="s">
        <v>19</v>
      </c>
      <c r="P126" s="543" t="s">
        <v>173</v>
      </c>
      <c r="Q126" s="532"/>
      <c r="R126" s="533"/>
      <c r="S126" s="533"/>
      <c r="T126" s="533"/>
      <c r="U126" s="534"/>
      <c r="V126" s="535"/>
      <c r="W126" s="536"/>
      <c r="X126" s="536"/>
    </row>
    <row r="127" spans="1:24" s="537" customFormat="1" ht="56.25">
      <c r="A127" s="522"/>
      <c r="B127" s="523"/>
      <c r="C127" s="546" t="s">
        <v>533</v>
      </c>
      <c r="D127" s="578">
        <v>280000</v>
      </c>
      <c r="E127" s="526">
        <v>2</v>
      </c>
      <c r="F127" s="528">
        <v>280000</v>
      </c>
      <c r="G127" s="528">
        <v>280000</v>
      </c>
      <c r="H127" s="528"/>
      <c r="I127" s="528"/>
      <c r="J127" s="528"/>
      <c r="K127" s="529">
        <f t="shared" si="5"/>
        <v>560000</v>
      </c>
      <c r="L127" s="543" t="s">
        <v>528</v>
      </c>
      <c r="M127" s="543" t="s">
        <v>529</v>
      </c>
      <c r="N127" s="543" t="s">
        <v>529</v>
      </c>
      <c r="O127" s="543" t="s">
        <v>19</v>
      </c>
      <c r="P127" s="543" t="s">
        <v>173</v>
      </c>
      <c r="Q127" s="532"/>
      <c r="R127" s="533"/>
      <c r="S127" s="533"/>
      <c r="T127" s="533"/>
      <c r="U127" s="534"/>
      <c r="V127" s="535"/>
      <c r="W127" s="536"/>
      <c r="X127" s="536"/>
    </row>
    <row r="128" spans="1:24" s="537" customFormat="1" ht="37.5">
      <c r="A128" s="522"/>
      <c r="B128" s="523"/>
      <c r="C128" s="546" t="s">
        <v>534</v>
      </c>
      <c r="D128" s="578">
        <v>260000</v>
      </c>
      <c r="E128" s="526">
        <v>1</v>
      </c>
      <c r="F128" s="528">
        <v>260000</v>
      </c>
      <c r="G128" s="528"/>
      <c r="H128" s="528"/>
      <c r="I128" s="528"/>
      <c r="J128" s="528"/>
      <c r="K128" s="529">
        <f t="shared" si="5"/>
        <v>260000</v>
      </c>
      <c r="L128" s="543" t="s">
        <v>528</v>
      </c>
      <c r="M128" s="543" t="s">
        <v>529</v>
      </c>
      <c r="N128" s="543" t="s">
        <v>529</v>
      </c>
      <c r="O128" s="543" t="s">
        <v>19</v>
      </c>
      <c r="P128" s="543" t="s">
        <v>173</v>
      </c>
      <c r="Q128" s="532"/>
      <c r="R128" s="533"/>
      <c r="S128" s="533"/>
      <c r="T128" s="533"/>
      <c r="U128" s="534"/>
      <c r="V128" s="535"/>
      <c r="W128" s="536"/>
      <c r="X128" s="536"/>
    </row>
    <row r="129" spans="1:24" s="537" customFormat="1" ht="37.5">
      <c r="A129" s="522"/>
      <c r="B129" s="523"/>
      <c r="C129" s="546" t="s">
        <v>78</v>
      </c>
      <c r="D129" s="578">
        <v>550000</v>
      </c>
      <c r="E129" s="526">
        <v>1</v>
      </c>
      <c r="F129" s="528">
        <v>550000</v>
      </c>
      <c r="G129" s="528"/>
      <c r="H129" s="528"/>
      <c r="I129" s="528"/>
      <c r="J129" s="528"/>
      <c r="K129" s="529">
        <f t="shared" si="5"/>
        <v>550000</v>
      </c>
      <c r="L129" s="543" t="s">
        <v>528</v>
      </c>
      <c r="M129" s="543" t="s">
        <v>529</v>
      </c>
      <c r="N129" s="543" t="s">
        <v>529</v>
      </c>
      <c r="O129" s="543" t="s">
        <v>19</v>
      </c>
      <c r="P129" s="543" t="s">
        <v>173</v>
      </c>
      <c r="Q129" s="532"/>
      <c r="R129" s="533"/>
      <c r="S129" s="533"/>
      <c r="T129" s="533"/>
      <c r="U129" s="534"/>
      <c r="V129" s="535"/>
      <c r="W129" s="536"/>
      <c r="X129" s="536"/>
    </row>
    <row r="130" spans="1:24" s="537" customFormat="1" ht="37.5">
      <c r="A130" s="522"/>
      <c r="B130" s="523"/>
      <c r="C130" s="546" t="s">
        <v>265</v>
      </c>
      <c r="D130" s="578">
        <v>460000</v>
      </c>
      <c r="E130" s="526">
        <v>2</v>
      </c>
      <c r="F130" s="528">
        <v>460000</v>
      </c>
      <c r="G130" s="528"/>
      <c r="H130" s="528">
        <v>460000</v>
      </c>
      <c r="I130" s="528"/>
      <c r="J130" s="528"/>
      <c r="K130" s="529">
        <f t="shared" si="5"/>
        <v>920000</v>
      </c>
      <c r="L130" s="543" t="s">
        <v>528</v>
      </c>
      <c r="M130" s="543" t="s">
        <v>529</v>
      </c>
      <c r="N130" s="543" t="s">
        <v>529</v>
      </c>
      <c r="O130" s="543" t="s">
        <v>19</v>
      </c>
      <c r="P130" s="543" t="s">
        <v>173</v>
      </c>
      <c r="Q130" s="532"/>
      <c r="R130" s="533"/>
      <c r="S130" s="533"/>
      <c r="T130" s="533"/>
      <c r="U130" s="534"/>
      <c r="V130" s="535"/>
      <c r="W130" s="536"/>
      <c r="X130" s="536"/>
    </row>
    <row r="131" spans="1:24" s="537" customFormat="1" ht="37.5">
      <c r="A131" s="522"/>
      <c r="B131" s="523"/>
      <c r="C131" s="546" t="s">
        <v>535</v>
      </c>
      <c r="D131" s="578">
        <v>500000</v>
      </c>
      <c r="E131" s="526">
        <v>1</v>
      </c>
      <c r="F131" s="528">
        <v>500000</v>
      </c>
      <c r="G131" s="528"/>
      <c r="H131" s="528"/>
      <c r="I131" s="528"/>
      <c r="J131" s="528"/>
      <c r="K131" s="529">
        <f t="shared" si="5"/>
        <v>500000</v>
      </c>
      <c r="L131" s="543" t="s">
        <v>528</v>
      </c>
      <c r="M131" s="543" t="s">
        <v>529</v>
      </c>
      <c r="N131" s="543" t="s">
        <v>529</v>
      </c>
      <c r="O131" s="543" t="s">
        <v>19</v>
      </c>
      <c r="P131" s="543" t="s">
        <v>173</v>
      </c>
      <c r="Q131" s="532"/>
      <c r="R131" s="533"/>
      <c r="S131" s="533"/>
      <c r="T131" s="533"/>
      <c r="U131" s="534"/>
      <c r="V131" s="535"/>
      <c r="W131" s="536"/>
      <c r="X131" s="536"/>
    </row>
    <row r="132" spans="1:24" s="537" customFormat="1" ht="75">
      <c r="A132" s="522"/>
      <c r="B132" s="523"/>
      <c r="C132" s="546" t="s">
        <v>536</v>
      </c>
      <c r="D132" s="578">
        <v>840000</v>
      </c>
      <c r="E132" s="526">
        <v>2</v>
      </c>
      <c r="F132" s="528">
        <v>840000</v>
      </c>
      <c r="G132" s="528"/>
      <c r="H132" s="528"/>
      <c r="I132" s="528">
        <v>840000</v>
      </c>
      <c r="J132" s="528"/>
      <c r="K132" s="529">
        <f t="shared" si="5"/>
        <v>1680000</v>
      </c>
      <c r="L132" s="543" t="s">
        <v>528</v>
      </c>
      <c r="M132" s="543" t="s">
        <v>529</v>
      </c>
      <c r="N132" s="543" t="s">
        <v>529</v>
      </c>
      <c r="O132" s="543" t="s">
        <v>19</v>
      </c>
      <c r="P132" s="543" t="s">
        <v>173</v>
      </c>
      <c r="Q132" s="532"/>
      <c r="R132" s="533"/>
      <c r="S132" s="533"/>
      <c r="T132" s="533"/>
      <c r="U132" s="534"/>
      <c r="V132" s="535"/>
      <c r="W132" s="536"/>
      <c r="X132" s="536"/>
    </row>
    <row r="133" spans="1:24" s="537" customFormat="1" ht="37.5">
      <c r="A133" s="522"/>
      <c r="B133" s="523"/>
      <c r="C133" s="546" t="s">
        <v>537</v>
      </c>
      <c r="D133" s="578">
        <v>550000</v>
      </c>
      <c r="E133" s="526">
        <v>1</v>
      </c>
      <c r="F133" s="528">
        <v>550000</v>
      </c>
      <c r="G133" s="528"/>
      <c r="H133" s="528"/>
      <c r="I133" s="528"/>
      <c r="J133" s="528"/>
      <c r="K133" s="529">
        <f t="shared" si="5"/>
        <v>550000</v>
      </c>
      <c r="L133" s="543" t="s">
        <v>528</v>
      </c>
      <c r="M133" s="543" t="s">
        <v>529</v>
      </c>
      <c r="N133" s="543" t="s">
        <v>529</v>
      </c>
      <c r="O133" s="543" t="s">
        <v>19</v>
      </c>
      <c r="P133" s="543" t="s">
        <v>173</v>
      </c>
      <c r="Q133" s="532"/>
      <c r="R133" s="533"/>
      <c r="S133" s="533"/>
      <c r="T133" s="533"/>
      <c r="U133" s="534"/>
      <c r="V133" s="535"/>
      <c r="W133" s="536"/>
      <c r="X133" s="536"/>
    </row>
    <row r="134" spans="1:24" s="537" customFormat="1" ht="56.25">
      <c r="A134" s="522"/>
      <c r="B134" s="523"/>
      <c r="C134" s="546" t="s">
        <v>538</v>
      </c>
      <c r="D134" s="578">
        <v>1300000</v>
      </c>
      <c r="E134" s="526">
        <v>1</v>
      </c>
      <c r="F134" s="578">
        <v>1300000</v>
      </c>
      <c r="G134" s="528"/>
      <c r="H134" s="528"/>
      <c r="I134" s="528"/>
      <c r="J134" s="528"/>
      <c r="K134" s="529">
        <f t="shared" si="5"/>
        <v>1300000</v>
      </c>
      <c r="L134" s="543" t="s">
        <v>528</v>
      </c>
      <c r="M134" s="543" t="s">
        <v>529</v>
      </c>
      <c r="N134" s="543" t="s">
        <v>529</v>
      </c>
      <c r="O134" s="543" t="s">
        <v>19</v>
      </c>
      <c r="P134" s="543" t="s">
        <v>173</v>
      </c>
      <c r="Q134" s="532"/>
      <c r="R134" s="533"/>
      <c r="S134" s="533"/>
      <c r="T134" s="533"/>
      <c r="U134" s="534"/>
      <c r="V134" s="535"/>
      <c r="W134" s="536"/>
      <c r="X134" s="536"/>
    </row>
    <row r="135" spans="1:24" s="537" customFormat="1" ht="75">
      <c r="A135" s="522"/>
      <c r="B135" s="523"/>
      <c r="C135" s="546" t="s">
        <v>539</v>
      </c>
      <c r="D135" s="578">
        <v>821000</v>
      </c>
      <c r="E135" s="526">
        <v>1</v>
      </c>
      <c r="F135" s="578">
        <v>821000</v>
      </c>
      <c r="G135" s="528"/>
      <c r="H135" s="528"/>
      <c r="I135" s="528"/>
      <c r="J135" s="528"/>
      <c r="K135" s="529">
        <f t="shared" si="5"/>
        <v>821000</v>
      </c>
      <c r="L135" s="543" t="s">
        <v>528</v>
      </c>
      <c r="M135" s="543" t="s">
        <v>529</v>
      </c>
      <c r="N135" s="543" t="s">
        <v>529</v>
      </c>
      <c r="O135" s="543" t="s">
        <v>19</v>
      </c>
      <c r="P135" s="543" t="s">
        <v>173</v>
      </c>
      <c r="Q135" s="532"/>
      <c r="R135" s="533"/>
      <c r="S135" s="533"/>
      <c r="T135" s="533"/>
      <c r="U135" s="534"/>
      <c r="V135" s="535"/>
      <c r="W135" s="536"/>
      <c r="X135" s="536"/>
    </row>
    <row r="136" spans="1:24" s="537" customFormat="1" ht="56.25">
      <c r="A136" s="522"/>
      <c r="B136" s="523"/>
      <c r="C136" s="562" t="s">
        <v>170</v>
      </c>
      <c r="D136" s="563">
        <v>480000</v>
      </c>
      <c r="E136" s="526">
        <v>2</v>
      </c>
      <c r="F136" s="528">
        <v>0</v>
      </c>
      <c r="G136" s="563">
        <v>480000</v>
      </c>
      <c r="H136" s="528">
        <v>0</v>
      </c>
      <c r="I136" s="563">
        <v>480000</v>
      </c>
      <c r="J136" s="528">
        <v>0</v>
      </c>
      <c r="K136" s="529">
        <f t="shared" si="5"/>
        <v>960000</v>
      </c>
      <c r="L136" s="543" t="s">
        <v>171</v>
      </c>
      <c r="M136" s="543" t="s">
        <v>172</v>
      </c>
      <c r="N136" s="543" t="s">
        <v>172</v>
      </c>
      <c r="O136" s="543" t="s">
        <v>19</v>
      </c>
      <c r="P136" s="531" t="s">
        <v>173</v>
      </c>
      <c r="Q136" s="532"/>
      <c r="R136" s="533"/>
      <c r="S136" s="533"/>
      <c r="T136" s="533"/>
      <c r="U136" s="534"/>
      <c r="V136" s="535"/>
      <c r="W136" s="536"/>
      <c r="X136" s="536"/>
    </row>
    <row r="137" spans="1:24" s="537" customFormat="1" ht="37.5">
      <c r="A137" s="522"/>
      <c r="B137" s="523"/>
      <c r="C137" s="546" t="s">
        <v>540</v>
      </c>
      <c r="D137" s="547">
        <v>20000</v>
      </c>
      <c r="E137" s="526"/>
      <c r="F137" s="528"/>
      <c r="G137" s="547">
        <v>20000</v>
      </c>
      <c r="H137" s="528"/>
      <c r="I137" s="528"/>
      <c r="J137" s="528"/>
      <c r="K137" s="529">
        <f t="shared" si="5"/>
        <v>20000</v>
      </c>
      <c r="L137" s="543" t="s">
        <v>523</v>
      </c>
      <c r="M137" s="543" t="s">
        <v>523</v>
      </c>
      <c r="N137" s="543" t="s">
        <v>523</v>
      </c>
      <c r="O137" s="543" t="s">
        <v>19</v>
      </c>
      <c r="P137" s="560" t="s">
        <v>181</v>
      </c>
      <c r="Q137" s="532"/>
      <c r="R137" s="533"/>
      <c r="S137" s="533"/>
      <c r="T137" s="533"/>
      <c r="U137" s="534"/>
      <c r="V137" s="535"/>
      <c r="W137" s="536"/>
      <c r="X137" s="536"/>
    </row>
    <row r="138" spans="1:24" s="537" customFormat="1" ht="37.5">
      <c r="A138" s="522"/>
      <c r="B138" s="523"/>
      <c r="C138" s="546" t="s">
        <v>283</v>
      </c>
      <c r="D138" s="578">
        <v>215000</v>
      </c>
      <c r="E138" s="526">
        <v>1</v>
      </c>
      <c r="F138" s="528"/>
      <c r="G138" s="528">
        <v>215000</v>
      </c>
      <c r="H138" s="528"/>
      <c r="I138" s="528"/>
      <c r="J138" s="528"/>
      <c r="K138" s="529">
        <f t="shared" si="5"/>
        <v>215000</v>
      </c>
      <c r="L138" s="543" t="s">
        <v>528</v>
      </c>
      <c r="M138" s="543" t="s">
        <v>529</v>
      </c>
      <c r="N138" s="543" t="s">
        <v>529</v>
      </c>
      <c r="O138" s="543" t="s">
        <v>19</v>
      </c>
      <c r="P138" s="543" t="s">
        <v>173</v>
      </c>
      <c r="Q138" s="532"/>
      <c r="R138" s="533"/>
      <c r="S138" s="533"/>
      <c r="T138" s="533"/>
      <c r="U138" s="534"/>
      <c r="V138" s="535"/>
      <c r="W138" s="536"/>
      <c r="X138" s="536"/>
    </row>
    <row r="139" spans="1:24" s="537" customFormat="1" ht="37.5">
      <c r="A139" s="522"/>
      <c r="B139" s="523"/>
      <c r="C139" s="546" t="s">
        <v>541</v>
      </c>
      <c r="D139" s="578">
        <v>760000</v>
      </c>
      <c r="E139" s="526">
        <v>1</v>
      </c>
      <c r="F139" s="528"/>
      <c r="G139" s="528">
        <v>760000</v>
      </c>
      <c r="H139" s="528"/>
      <c r="I139" s="528"/>
      <c r="J139" s="528"/>
      <c r="K139" s="529">
        <f t="shared" si="5"/>
        <v>760000</v>
      </c>
      <c r="L139" s="543" t="s">
        <v>528</v>
      </c>
      <c r="M139" s="543" t="s">
        <v>529</v>
      </c>
      <c r="N139" s="543" t="s">
        <v>529</v>
      </c>
      <c r="O139" s="543" t="s">
        <v>19</v>
      </c>
      <c r="P139" s="543" t="s">
        <v>173</v>
      </c>
      <c r="Q139" s="532"/>
      <c r="R139" s="533"/>
      <c r="S139" s="533"/>
      <c r="T139" s="533"/>
      <c r="U139" s="534"/>
      <c r="V139" s="535"/>
      <c r="W139" s="536"/>
      <c r="X139" s="536"/>
    </row>
    <row r="140" spans="1:24" s="537" customFormat="1" ht="37.5">
      <c r="A140" s="522"/>
      <c r="B140" s="523"/>
      <c r="C140" s="546" t="s">
        <v>542</v>
      </c>
      <c r="D140" s="578">
        <v>1198000</v>
      </c>
      <c r="E140" s="526">
        <v>1</v>
      </c>
      <c r="F140" s="528"/>
      <c r="G140" s="578">
        <v>1198000</v>
      </c>
      <c r="H140" s="528"/>
      <c r="I140" s="528"/>
      <c r="J140" s="528"/>
      <c r="K140" s="529">
        <f t="shared" si="5"/>
        <v>1198000</v>
      </c>
      <c r="L140" s="543" t="s">
        <v>528</v>
      </c>
      <c r="M140" s="543" t="s">
        <v>529</v>
      </c>
      <c r="N140" s="543" t="s">
        <v>529</v>
      </c>
      <c r="O140" s="543" t="s">
        <v>19</v>
      </c>
      <c r="P140" s="543" t="s">
        <v>173</v>
      </c>
      <c r="Q140" s="532"/>
      <c r="R140" s="533"/>
      <c r="S140" s="533"/>
      <c r="T140" s="533"/>
      <c r="U140" s="534"/>
      <c r="V140" s="535"/>
      <c r="W140" s="536"/>
      <c r="X140" s="536"/>
    </row>
    <row r="141" spans="1:24" s="537" customFormat="1" ht="37.5">
      <c r="A141" s="522"/>
      <c r="B141" s="523"/>
      <c r="C141" s="546" t="s">
        <v>87</v>
      </c>
      <c r="D141" s="578">
        <v>310000</v>
      </c>
      <c r="E141" s="526">
        <v>1</v>
      </c>
      <c r="F141" s="528"/>
      <c r="G141" s="578">
        <v>310000</v>
      </c>
      <c r="H141" s="528"/>
      <c r="I141" s="528"/>
      <c r="J141" s="528"/>
      <c r="K141" s="529">
        <f t="shared" si="5"/>
        <v>310000</v>
      </c>
      <c r="L141" s="543" t="s">
        <v>528</v>
      </c>
      <c r="M141" s="543" t="s">
        <v>529</v>
      </c>
      <c r="N141" s="543" t="s">
        <v>529</v>
      </c>
      <c r="O141" s="543" t="s">
        <v>19</v>
      </c>
      <c r="P141" s="543" t="s">
        <v>173</v>
      </c>
      <c r="Q141" s="532"/>
      <c r="R141" s="533"/>
      <c r="S141" s="533"/>
      <c r="T141" s="533"/>
      <c r="U141" s="534"/>
      <c r="V141" s="535"/>
      <c r="W141" s="536"/>
      <c r="X141" s="536"/>
    </row>
    <row r="142" spans="1:24" s="537" customFormat="1" ht="37.5">
      <c r="A142" s="522"/>
      <c r="B142" s="523"/>
      <c r="C142" s="546" t="s">
        <v>543</v>
      </c>
      <c r="D142" s="578">
        <v>1294000</v>
      </c>
      <c r="E142" s="526">
        <v>1</v>
      </c>
      <c r="F142" s="528"/>
      <c r="G142" s="578">
        <v>1294000</v>
      </c>
      <c r="H142" s="528"/>
      <c r="I142" s="528"/>
      <c r="J142" s="528"/>
      <c r="K142" s="529">
        <f t="shared" si="5"/>
        <v>1294000</v>
      </c>
      <c r="L142" s="543" t="s">
        <v>528</v>
      </c>
      <c r="M142" s="543" t="s">
        <v>529</v>
      </c>
      <c r="N142" s="543" t="s">
        <v>529</v>
      </c>
      <c r="O142" s="543" t="s">
        <v>19</v>
      </c>
      <c r="P142" s="543" t="s">
        <v>173</v>
      </c>
      <c r="Q142" s="532"/>
      <c r="R142" s="533"/>
      <c r="S142" s="533"/>
      <c r="T142" s="533"/>
      <c r="U142" s="534"/>
      <c r="V142" s="535"/>
      <c r="W142" s="536"/>
      <c r="X142" s="536"/>
    </row>
    <row r="143" spans="1:24" s="537" customFormat="1">
      <c r="A143" s="522"/>
      <c r="B143" s="523"/>
      <c r="C143" s="575" t="s">
        <v>62</v>
      </c>
      <c r="D143" s="556">
        <v>1200000</v>
      </c>
      <c r="E143" s="526">
        <v>1</v>
      </c>
      <c r="F143" s="528">
        <v>0</v>
      </c>
      <c r="G143" s="528">
        <f>D143</f>
        <v>1200000</v>
      </c>
      <c r="H143" s="528">
        <v>0</v>
      </c>
      <c r="I143" s="528">
        <v>0</v>
      </c>
      <c r="J143" s="528">
        <v>0</v>
      </c>
      <c r="K143" s="529">
        <f t="shared" si="5"/>
        <v>1200000</v>
      </c>
      <c r="L143" s="543" t="s">
        <v>517</v>
      </c>
      <c r="M143" s="543" t="s">
        <v>163</v>
      </c>
      <c r="N143" s="543" t="s">
        <v>518</v>
      </c>
      <c r="O143" s="543" t="s">
        <v>19</v>
      </c>
      <c r="P143" s="543" t="s">
        <v>173</v>
      </c>
      <c r="Q143" s="532"/>
      <c r="R143" s="533"/>
      <c r="S143" s="533"/>
      <c r="T143" s="533"/>
      <c r="U143" s="534"/>
      <c r="V143" s="535"/>
      <c r="W143" s="536"/>
      <c r="X143" s="536"/>
    </row>
    <row r="144" spans="1:24" s="537" customFormat="1" ht="37.5">
      <c r="A144" s="522"/>
      <c r="B144" s="523"/>
      <c r="C144" s="546" t="s">
        <v>258</v>
      </c>
      <c r="D144" s="578">
        <v>550000</v>
      </c>
      <c r="E144" s="526">
        <v>1</v>
      </c>
      <c r="F144" s="528"/>
      <c r="G144" s="528"/>
      <c r="H144" s="528">
        <v>550000</v>
      </c>
      <c r="I144" s="528"/>
      <c r="J144" s="528"/>
      <c r="K144" s="529">
        <f t="shared" si="5"/>
        <v>550000</v>
      </c>
      <c r="L144" s="543" t="s">
        <v>528</v>
      </c>
      <c r="M144" s="543" t="s">
        <v>529</v>
      </c>
      <c r="N144" s="543" t="s">
        <v>529</v>
      </c>
      <c r="O144" s="543" t="s">
        <v>19</v>
      </c>
      <c r="P144" s="543" t="s">
        <v>173</v>
      </c>
      <c r="Q144" s="532"/>
      <c r="R144" s="533"/>
      <c r="S144" s="533"/>
      <c r="T144" s="533"/>
      <c r="U144" s="534"/>
      <c r="V144" s="535"/>
      <c r="W144" s="536"/>
      <c r="X144" s="536"/>
    </row>
    <row r="145" spans="1:24" s="537" customFormat="1" ht="37.5">
      <c r="A145" s="522"/>
      <c r="B145" s="523"/>
      <c r="C145" s="546" t="s">
        <v>544</v>
      </c>
      <c r="D145" s="556">
        <v>2000000</v>
      </c>
      <c r="E145" s="526">
        <v>1</v>
      </c>
      <c r="F145" s="528">
        <v>0</v>
      </c>
      <c r="G145" s="528">
        <v>0</v>
      </c>
      <c r="H145" s="528">
        <f>D145</f>
        <v>2000000</v>
      </c>
      <c r="I145" s="528">
        <v>0</v>
      </c>
      <c r="J145" s="528">
        <v>0</v>
      </c>
      <c r="K145" s="529">
        <f t="shared" si="5"/>
        <v>2000000</v>
      </c>
      <c r="L145" s="543" t="s">
        <v>517</v>
      </c>
      <c r="M145" s="543" t="s">
        <v>163</v>
      </c>
      <c r="N145" s="543" t="s">
        <v>518</v>
      </c>
      <c r="O145" s="543" t="s">
        <v>19</v>
      </c>
      <c r="P145" s="543" t="s">
        <v>173</v>
      </c>
      <c r="Q145" s="532"/>
      <c r="R145" s="533"/>
      <c r="S145" s="533"/>
      <c r="T145" s="533"/>
      <c r="U145" s="534"/>
      <c r="V145" s="535"/>
      <c r="W145" s="536"/>
      <c r="X145" s="536"/>
    </row>
    <row r="146" spans="1:24" s="537" customFormat="1" ht="42">
      <c r="A146" s="522"/>
      <c r="B146" s="523"/>
      <c r="C146" s="579" t="s">
        <v>545</v>
      </c>
      <c r="D146" s="580">
        <v>2480000</v>
      </c>
      <c r="E146" s="581">
        <v>1</v>
      </c>
      <c r="F146" s="528"/>
      <c r="G146" s="528"/>
      <c r="H146" s="580">
        <v>2480000</v>
      </c>
      <c r="I146" s="528"/>
      <c r="J146" s="528"/>
      <c r="K146" s="529">
        <f t="shared" si="5"/>
        <v>2480000</v>
      </c>
      <c r="L146" s="581" t="s">
        <v>513</v>
      </c>
      <c r="M146" s="581" t="s">
        <v>513</v>
      </c>
      <c r="N146" s="581" t="s">
        <v>513</v>
      </c>
      <c r="O146" s="543" t="s">
        <v>19</v>
      </c>
      <c r="P146" s="531" t="s">
        <v>181</v>
      </c>
      <c r="Q146" s="532"/>
      <c r="R146" s="533"/>
      <c r="S146" s="533"/>
      <c r="T146" s="533"/>
      <c r="U146" s="534"/>
      <c r="V146" s="535"/>
      <c r="W146" s="536"/>
      <c r="X146" s="536"/>
    </row>
    <row r="147" spans="1:24" s="537" customFormat="1" ht="37.5">
      <c r="A147" s="522"/>
      <c r="B147" s="523"/>
      <c r="C147" s="546" t="s">
        <v>546</v>
      </c>
      <c r="D147" s="547">
        <v>33000</v>
      </c>
      <c r="E147" s="526"/>
      <c r="F147" s="528"/>
      <c r="G147" s="528"/>
      <c r="H147" s="547">
        <v>33000</v>
      </c>
      <c r="I147" s="528"/>
      <c r="J147" s="528"/>
      <c r="K147" s="529">
        <f t="shared" si="5"/>
        <v>33000</v>
      </c>
      <c r="L147" s="543" t="s">
        <v>523</v>
      </c>
      <c r="M147" s="543" t="s">
        <v>523</v>
      </c>
      <c r="N147" s="543" t="s">
        <v>523</v>
      </c>
      <c r="O147" s="543" t="s">
        <v>19</v>
      </c>
      <c r="P147" s="560" t="s">
        <v>181</v>
      </c>
      <c r="Q147" s="532"/>
      <c r="R147" s="533"/>
      <c r="S147" s="533"/>
      <c r="T147" s="533"/>
      <c r="U147" s="534"/>
      <c r="V147" s="535"/>
      <c r="W147" s="536"/>
      <c r="X147" s="536"/>
    </row>
    <row r="148" spans="1:24" s="537" customFormat="1" ht="42">
      <c r="A148" s="522"/>
      <c r="B148" s="523"/>
      <c r="C148" s="551" t="s">
        <v>547</v>
      </c>
      <c r="D148" s="576">
        <v>2000000</v>
      </c>
      <c r="E148" s="526">
        <v>1</v>
      </c>
      <c r="F148" s="528"/>
      <c r="G148" s="528"/>
      <c r="H148" s="577">
        <v>2000000</v>
      </c>
      <c r="I148" s="528"/>
      <c r="J148" s="540"/>
      <c r="K148" s="529">
        <f t="shared" si="5"/>
        <v>2000000</v>
      </c>
      <c r="L148" s="543" t="s">
        <v>171</v>
      </c>
      <c r="M148" s="543" t="s">
        <v>172</v>
      </c>
      <c r="N148" s="543" t="s">
        <v>172</v>
      </c>
      <c r="O148" s="543" t="s">
        <v>19</v>
      </c>
      <c r="P148" s="531" t="s">
        <v>173</v>
      </c>
      <c r="Q148" s="532"/>
      <c r="R148" s="533"/>
      <c r="S148" s="533"/>
      <c r="T148" s="533"/>
      <c r="U148" s="534"/>
      <c r="V148" s="535"/>
      <c r="W148" s="536"/>
      <c r="X148" s="536"/>
    </row>
    <row r="149" spans="1:24" s="537" customFormat="1" ht="37.5">
      <c r="A149" s="522"/>
      <c r="B149" s="523"/>
      <c r="C149" s="546" t="s">
        <v>290</v>
      </c>
      <c r="D149" s="578">
        <v>150000</v>
      </c>
      <c r="E149" s="526">
        <v>1</v>
      </c>
      <c r="F149" s="528"/>
      <c r="G149" s="528"/>
      <c r="H149" s="528"/>
      <c r="I149" s="578">
        <v>150000</v>
      </c>
      <c r="J149" s="528"/>
      <c r="K149" s="529">
        <f t="shared" si="5"/>
        <v>150000</v>
      </c>
      <c r="L149" s="543" t="s">
        <v>528</v>
      </c>
      <c r="M149" s="543" t="s">
        <v>529</v>
      </c>
      <c r="N149" s="543" t="s">
        <v>529</v>
      </c>
      <c r="O149" s="543" t="s">
        <v>19</v>
      </c>
      <c r="P149" s="543" t="s">
        <v>173</v>
      </c>
      <c r="Q149" s="532"/>
      <c r="R149" s="533"/>
      <c r="S149" s="533"/>
      <c r="T149" s="533"/>
      <c r="U149" s="534"/>
      <c r="V149" s="535"/>
      <c r="W149" s="536"/>
      <c r="X149" s="536"/>
    </row>
    <row r="150" spans="1:24" s="537" customFormat="1" ht="37.5">
      <c r="A150" s="522"/>
      <c r="B150" s="523"/>
      <c r="C150" s="546" t="s">
        <v>276</v>
      </c>
      <c r="D150" s="578">
        <v>375000</v>
      </c>
      <c r="E150" s="526">
        <v>1</v>
      </c>
      <c r="F150" s="528"/>
      <c r="G150" s="528"/>
      <c r="H150" s="528"/>
      <c r="I150" s="578">
        <v>375000</v>
      </c>
      <c r="J150" s="528"/>
      <c r="K150" s="529">
        <f t="shared" si="5"/>
        <v>375000</v>
      </c>
      <c r="L150" s="543" t="s">
        <v>528</v>
      </c>
      <c r="M150" s="543" t="s">
        <v>529</v>
      </c>
      <c r="N150" s="543" t="s">
        <v>529</v>
      </c>
      <c r="O150" s="543" t="s">
        <v>19</v>
      </c>
      <c r="P150" s="543" t="s">
        <v>173</v>
      </c>
      <c r="Q150" s="532"/>
      <c r="R150" s="533"/>
      <c r="S150" s="533"/>
      <c r="T150" s="533"/>
      <c r="U150" s="534"/>
      <c r="V150" s="535"/>
      <c r="W150" s="536"/>
      <c r="X150" s="536"/>
    </row>
    <row r="151" spans="1:24" s="537" customFormat="1">
      <c r="A151" s="522"/>
      <c r="B151" s="523"/>
      <c r="C151" s="575" t="s">
        <v>265</v>
      </c>
      <c r="D151" s="556">
        <v>460000</v>
      </c>
      <c r="E151" s="526">
        <v>1</v>
      </c>
      <c r="F151" s="528">
        <v>0</v>
      </c>
      <c r="G151" s="528">
        <v>0</v>
      </c>
      <c r="H151" s="528">
        <v>0</v>
      </c>
      <c r="I151" s="528">
        <f>D151</f>
        <v>460000</v>
      </c>
      <c r="J151" s="528">
        <v>0</v>
      </c>
      <c r="K151" s="529">
        <f t="shared" si="5"/>
        <v>460000</v>
      </c>
      <c r="L151" s="543" t="s">
        <v>517</v>
      </c>
      <c r="M151" s="543" t="s">
        <v>163</v>
      </c>
      <c r="N151" s="543" t="s">
        <v>518</v>
      </c>
      <c r="O151" s="543" t="s">
        <v>19</v>
      </c>
      <c r="P151" s="543" t="s">
        <v>173</v>
      </c>
      <c r="Q151" s="532"/>
      <c r="R151" s="533"/>
      <c r="S151" s="533"/>
      <c r="T151" s="533"/>
      <c r="U151" s="534"/>
      <c r="V151" s="535"/>
      <c r="W151" s="536"/>
      <c r="X151" s="536"/>
    </row>
    <row r="152" spans="1:24" s="537" customFormat="1" ht="37.5">
      <c r="A152" s="522"/>
      <c r="B152" s="523"/>
      <c r="C152" s="546" t="s">
        <v>548</v>
      </c>
      <c r="D152" s="547">
        <v>20000</v>
      </c>
      <c r="E152" s="526">
        <v>4</v>
      </c>
      <c r="F152" s="528"/>
      <c r="G152" s="528"/>
      <c r="H152" s="528"/>
      <c r="I152" s="547">
        <f>20000*4</f>
        <v>80000</v>
      </c>
      <c r="J152" s="528"/>
      <c r="K152" s="529">
        <f t="shared" si="5"/>
        <v>80000</v>
      </c>
      <c r="L152" s="543" t="s">
        <v>523</v>
      </c>
      <c r="M152" s="543" t="s">
        <v>523</v>
      </c>
      <c r="N152" s="543" t="s">
        <v>523</v>
      </c>
      <c r="O152" s="543" t="s">
        <v>19</v>
      </c>
      <c r="P152" s="560" t="s">
        <v>181</v>
      </c>
      <c r="Q152" s="532"/>
      <c r="R152" s="533"/>
      <c r="S152" s="533"/>
      <c r="T152" s="533"/>
      <c r="U152" s="534"/>
      <c r="V152" s="535"/>
      <c r="W152" s="536"/>
      <c r="X152" s="536"/>
    </row>
    <row r="153" spans="1:24" s="537" customFormat="1" ht="37.5">
      <c r="A153" s="522"/>
      <c r="B153" s="523"/>
      <c r="C153" s="546" t="s">
        <v>549</v>
      </c>
      <c r="D153" s="547">
        <v>6900</v>
      </c>
      <c r="E153" s="526">
        <v>6</v>
      </c>
      <c r="F153" s="528"/>
      <c r="G153" s="528"/>
      <c r="H153" s="528"/>
      <c r="I153" s="547">
        <f>6900*6</f>
        <v>41400</v>
      </c>
      <c r="J153" s="528"/>
      <c r="K153" s="529">
        <f t="shared" si="5"/>
        <v>41400</v>
      </c>
      <c r="L153" s="543" t="s">
        <v>523</v>
      </c>
      <c r="M153" s="543" t="s">
        <v>523</v>
      </c>
      <c r="N153" s="543" t="s">
        <v>523</v>
      </c>
      <c r="O153" s="543" t="s">
        <v>19</v>
      </c>
      <c r="P153" s="560" t="s">
        <v>181</v>
      </c>
      <c r="Q153" s="532"/>
      <c r="R153" s="533"/>
      <c r="S153" s="533"/>
      <c r="T153" s="533"/>
      <c r="U153" s="534"/>
      <c r="V153" s="535"/>
      <c r="W153" s="536"/>
      <c r="X153" s="536"/>
    </row>
    <row r="154" spans="1:24" s="537" customFormat="1" ht="57.75" customHeight="1">
      <c r="A154" s="522"/>
      <c r="B154" s="523"/>
      <c r="C154" s="546" t="s">
        <v>550</v>
      </c>
      <c r="D154" s="578">
        <v>645000</v>
      </c>
      <c r="E154" s="526">
        <v>1</v>
      </c>
      <c r="F154" s="528"/>
      <c r="G154" s="528"/>
      <c r="H154" s="528"/>
      <c r="I154" s="528"/>
      <c r="J154" s="528">
        <v>645000</v>
      </c>
      <c r="K154" s="529">
        <f t="shared" si="5"/>
        <v>645000</v>
      </c>
      <c r="L154" s="543" t="s">
        <v>528</v>
      </c>
      <c r="M154" s="543" t="s">
        <v>529</v>
      </c>
      <c r="N154" s="543" t="s">
        <v>529</v>
      </c>
      <c r="O154" s="543" t="s">
        <v>19</v>
      </c>
      <c r="P154" s="543" t="s">
        <v>173</v>
      </c>
      <c r="Q154" s="532"/>
      <c r="R154" s="533"/>
      <c r="S154" s="533"/>
      <c r="T154" s="533"/>
      <c r="U154" s="534"/>
      <c r="V154" s="535"/>
      <c r="W154" s="536"/>
      <c r="X154" s="536"/>
    </row>
    <row r="155" spans="1:24" s="537" customFormat="1" ht="37.5">
      <c r="A155" s="522"/>
      <c r="B155" s="523"/>
      <c r="C155" s="546" t="s">
        <v>364</v>
      </c>
      <c r="D155" s="578">
        <v>375000</v>
      </c>
      <c r="E155" s="526">
        <v>1</v>
      </c>
      <c r="F155" s="528">
        <v>0</v>
      </c>
      <c r="G155" s="528">
        <v>0</v>
      </c>
      <c r="H155" s="528">
        <v>0</v>
      </c>
      <c r="I155" s="528">
        <v>0</v>
      </c>
      <c r="J155" s="578">
        <v>375000</v>
      </c>
      <c r="K155" s="529">
        <f t="shared" si="5"/>
        <v>375000</v>
      </c>
      <c r="L155" s="543" t="s">
        <v>528</v>
      </c>
      <c r="M155" s="543" t="s">
        <v>529</v>
      </c>
      <c r="N155" s="543" t="s">
        <v>529</v>
      </c>
      <c r="O155" s="543" t="s">
        <v>19</v>
      </c>
      <c r="P155" s="543" t="s">
        <v>173</v>
      </c>
      <c r="Q155" s="532"/>
      <c r="R155" s="533"/>
      <c r="S155" s="533"/>
      <c r="T155" s="533"/>
      <c r="U155" s="534"/>
      <c r="V155" s="535"/>
      <c r="W155" s="536"/>
      <c r="X155" s="536"/>
    </row>
    <row r="156" spans="1:24" s="537" customFormat="1" ht="37.5">
      <c r="A156" s="522"/>
      <c r="B156" s="523"/>
      <c r="C156" s="546" t="s">
        <v>551</v>
      </c>
      <c r="D156" s="556">
        <v>60000</v>
      </c>
      <c r="E156" s="526">
        <v>1</v>
      </c>
      <c r="F156" s="528">
        <v>0</v>
      </c>
      <c r="G156" s="528">
        <v>0</v>
      </c>
      <c r="H156" s="528">
        <v>0</v>
      </c>
      <c r="I156" s="528">
        <v>0</v>
      </c>
      <c r="J156" s="528">
        <f>D156</f>
        <v>60000</v>
      </c>
      <c r="K156" s="529">
        <f t="shared" si="5"/>
        <v>60000</v>
      </c>
      <c r="L156" s="543" t="s">
        <v>517</v>
      </c>
      <c r="M156" s="543" t="s">
        <v>163</v>
      </c>
      <c r="N156" s="543" t="s">
        <v>518</v>
      </c>
      <c r="O156" s="543" t="s">
        <v>19</v>
      </c>
      <c r="P156" s="543" t="s">
        <v>173</v>
      </c>
      <c r="Q156" s="532"/>
      <c r="R156" s="533"/>
      <c r="S156" s="533"/>
      <c r="T156" s="533"/>
      <c r="U156" s="534"/>
      <c r="V156" s="535"/>
      <c r="W156" s="536"/>
      <c r="X156" s="536"/>
    </row>
    <row r="157" spans="1:24" s="537" customFormat="1" ht="40.5" customHeight="1">
      <c r="A157" s="522"/>
      <c r="B157" s="523"/>
      <c r="C157" s="546" t="s">
        <v>552</v>
      </c>
      <c r="D157" s="556">
        <v>55000</v>
      </c>
      <c r="E157" s="526">
        <v>1</v>
      </c>
      <c r="F157" s="528">
        <v>0</v>
      </c>
      <c r="G157" s="528">
        <v>0</v>
      </c>
      <c r="H157" s="528">
        <v>0</v>
      </c>
      <c r="I157" s="528">
        <v>0</v>
      </c>
      <c r="J157" s="528">
        <f>D157</f>
        <v>55000</v>
      </c>
      <c r="K157" s="529">
        <f t="shared" si="5"/>
        <v>55000</v>
      </c>
      <c r="L157" s="543" t="s">
        <v>517</v>
      </c>
      <c r="M157" s="543" t="s">
        <v>163</v>
      </c>
      <c r="N157" s="543" t="s">
        <v>518</v>
      </c>
      <c r="O157" s="543" t="s">
        <v>19</v>
      </c>
      <c r="P157" s="543" t="s">
        <v>173</v>
      </c>
      <c r="Q157" s="532"/>
      <c r="R157" s="533"/>
      <c r="S157" s="533"/>
      <c r="T157" s="533"/>
      <c r="U157" s="534"/>
      <c r="V157" s="535"/>
      <c r="W157" s="536"/>
      <c r="X157" s="536"/>
    </row>
    <row r="158" spans="1:24" s="537" customFormat="1" ht="23.25" customHeight="1">
      <c r="A158" s="522"/>
      <c r="B158" s="523"/>
      <c r="C158" s="546" t="s">
        <v>333</v>
      </c>
      <c r="D158" s="547">
        <v>75000</v>
      </c>
      <c r="E158" s="526">
        <v>1</v>
      </c>
      <c r="F158" s="528">
        <v>0</v>
      </c>
      <c r="G158" s="528">
        <v>0</v>
      </c>
      <c r="H158" s="528">
        <v>0</v>
      </c>
      <c r="I158" s="547">
        <v>0</v>
      </c>
      <c r="J158" s="547">
        <v>75000</v>
      </c>
      <c r="K158" s="529">
        <f t="shared" ref="K158:K160" si="6">SUM(F158:J158)</f>
        <v>75000</v>
      </c>
      <c r="L158" s="543" t="s">
        <v>523</v>
      </c>
      <c r="M158" s="543" t="s">
        <v>523</v>
      </c>
      <c r="N158" s="543" t="s">
        <v>523</v>
      </c>
      <c r="O158" s="543" t="s">
        <v>19</v>
      </c>
      <c r="P158" s="560" t="s">
        <v>181</v>
      </c>
      <c r="Q158" s="532"/>
      <c r="R158" s="533"/>
      <c r="S158" s="533"/>
      <c r="T158" s="533"/>
      <c r="U158" s="534"/>
      <c r="V158" s="535"/>
      <c r="W158" s="536"/>
      <c r="X158" s="536"/>
    </row>
    <row r="159" spans="1:24" s="537" customFormat="1">
      <c r="A159" s="522"/>
      <c r="B159" s="523"/>
      <c r="C159" s="1029" t="s">
        <v>984</v>
      </c>
      <c r="D159" s="1047">
        <v>145000</v>
      </c>
      <c r="E159" s="526">
        <v>1</v>
      </c>
      <c r="F159" s="528"/>
      <c r="G159" s="528"/>
      <c r="H159" s="528"/>
      <c r="I159" s="547"/>
      <c r="J159" s="547">
        <v>145000</v>
      </c>
      <c r="K159" s="529">
        <f t="shared" si="6"/>
        <v>145000</v>
      </c>
      <c r="L159" s="543" t="s">
        <v>469</v>
      </c>
      <c r="M159" s="543" t="s">
        <v>470</v>
      </c>
      <c r="N159" s="543" t="s">
        <v>471</v>
      </c>
      <c r="O159" s="543" t="s">
        <v>19</v>
      </c>
      <c r="P159" s="560" t="s">
        <v>5</v>
      </c>
      <c r="Q159" s="532" t="s">
        <v>35</v>
      </c>
      <c r="R159" s="533"/>
      <c r="S159" s="533"/>
      <c r="T159" s="533"/>
      <c r="U159" s="534"/>
      <c r="V159" s="535"/>
      <c r="W159" s="536"/>
      <c r="X159" s="536"/>
    </row>
    <row r="160" spans="1:24" s="537" customFormat="1" ht="31.5">
      <c r="A160" s="522"/>
      <c r="B160" s="523"/>
      <c r="C160" s="1029" t="s">
        <v>985</v>
      </c>
      <c r="D160" s="1047">
        <v>58000</v>
      </c>
      <c r="E160" s="526">
        <v>1</v>
      </c>
      <c r="F160" s="528"/>
      <c r="G160" s="528"/>
      <c r="H160" s="528"/>
      <c r="I160" s="547"/>
      <c r="J160" s="547">
        <v>58000</v>
      </c>
      <c r="K160" s="529">
        <f t="shared" si="6"/>
        <v>58000</v>
      </c>
      <c r="L160" s="543" t="s">
        <v>469</v>
      </c>
      <c r="M160" s="543" t="s">
        <v>470</v>
      </c>
      <c r="N160" s="543" t="s">
        <v>471</v>
      </c>
      <c r="O160" s="543" t="s">
        <v>19</v>
      </c>
      <c r="P160" s="560" t="s">
        <v>5</v>
      </c>
      <c r="Q160" s="532" t="s">
        <v>35</v>
      </c>
      <c r="R160" s="533"/>
      <c r="S160" s="533"/>
      <c r="T160" s="533"/>
      <c r="U160" s="534"/>
      <c r="V160" s="535"/>
      <c r="W160" s="536"/>
      <c r="X160" s="536"/>
    </row>
    <row r="161" spans="1:24" s="537" customFormat="1" ht="31.5">
      <c r="A161" s="522"/>
      <c r="B161" s="523"/>
      <c r="C161" s="1029" t="s">
        <v>986</v>
      </c>
      <c r="D161" s="1008">
        <v>120000</v>
      </c>
      <c r="E161" s="1030">
        <v>12</v>
      </c>
      <c r="F161" s="528"/>
      <c r="G161" s="528"/>
      <c r="H161" s="528"/>
      <c r="I161" s="547"/>
      <c r="J161" s="1008">
        <f>120000*12</f>
        <v>1440000</v>
      </c>
      <c r="K161" s="1008">
        <f>120000*12</f>
        <v>1440000</v>
      </c>
      <c r="L161" s="543" t="s">
        <v>987</v>
      </c>
      <c r="M161" s="543" t="s">
        <v>159</v>
      </c>
      <c r="N161" s="543" t="s">
        <v>160</v>
      </c>
      <c r="O161" s="543" t="s">
        <v>19</v>
      </c>
      <c r="P161" s="532" t="s">
        <v>988</v>
      </c>
      <c r="Q161" s="532" t="s">
        <v>988</v>
      </c>
      <c r="R161" s="533"/>
      <c r="S161" s="533"/>
      <c r="T161" s="533"/>
      <c r="U161" s="534"/>
      <c r="V161" s="535"/>
      <c r="W161" s="536"/>
      <c r="X161" s="536"/>
    </row>
    <row r="162" spans="1:24" s="537" customFormat="1" ht="41.25" customHeight="1">
      <c r="A162" s="522"/>
      <c r="B162" s="523"/>
      <c r="C162" s="1029" t="s">
        <v>989</v>
      </c>
      <c r="D162" s="1008">
        <v>20000</v>
      </c>
      <c r="E162" s="1030">
        <f>50+33</f>
        <v>83</v>
      </c>
      <c r="F162" s="528"/>
      <c r="G162" s="528"/>
      <c r="H162" s="528"/>
      <c r="I162" s="547"/>
      <c r="J162" s="1008">
        <f>20000*83</f>
        <v>1660000</v>
      </c>
      <c r="K162" s="1008">
        <f>20000*83</f>
        <v>1660000</v>
      </c>
      <c r="L162" s="543" t="s">
        <v>987</v>
      </c>
      <c r="M162" s="543" t="s">
        <v>159</v>
      </c>
      <c r="N162" s="543" t="s">
        <v>160</v>
      </c>
      <c r="O162" s="543" t="s">
        <v>19</v>
      </c>
      <c r="P162" s="532" t="s">
        <v>988</v>
      </c>
      <c r="Q162" s="532" t="s">
        <v>988</v>
      </c>
      <c r="R162" s="533"/>
      <c r="S162" s="533"/>
      <c r="T162" s="533"/>
      <c r="U162" s="534"/>
      <c r="V162" s="535"/>
      <c r="W162" s="536"/>
      <c r="X162" s="536"/>
    </row>
    <row r="163" spans="1:24" s="537" customFormat="1">
      <c r="A163" s="522"/>
      <c r="B163" s="523"/>
      <c r="C163" s="1029" t="s">
        <v>990</v>
      </c>
      <c r="D163" s="1008">
        <f>1300000*10</f>
        <v>13000000</v>
      </c>
      <c r="E163" s="1030" t="s">
        <v>987</v>
      </c>
      <c r="F163" s="528"/>
      <c r="G163" s="528"/>
      <c r="H163" s="528"/>
      <c r="I163" s="547"/>
      <c r="J163" s="1008">
        <f>1300000*10</f>
        <v>13000000</v>
      </c>
      <c r="K163" s="1008">
        <f>1300000*10</f>
        <v>13000000</v>
      </c>
      <c r="L163" s="543" t="s">
        <v>987</v>
      </c>
      <c r="M163" s="543" t="s">
        <v>159</v>
      </c>
      <c r="N163" s="543" t="s">
        <v>160</v>
      </c>
      <c r="O163" s="543" t="s">
        <v>19</v>
      </c>
      <c r="P163" s="532" t="s">
        <v>988</v>
      </c>
      <c r="Q163" s="532" t="s">
        <v>995</v>
      </c>
      <c r="R163" s="533"/>
      <c r="S163" s="533"/>
      <c r="T163" s="533"/>
      <c r="U163" s="534"/>
      <c r="V163" s="535"/>
      <c r="W163" s="536"/>
      <c r="X163" s="536"/>
    </row>
    <row r="164" spans="1:24" s="537" customFormat="1" ht="31.5">
      <c r="A164" s="522"/>
      <c r="B164" s="523"/>
      <c r="C164" s="1029" t="s">
        <v>996</v>
      </c>
      <c r="D164" s="1008">
        <f>722000*10</f>
        <v>7220000</v>
      </c>
      <c r="E164" s="1030" t="s">
        <v>987</v>
      </c>
      <c r="F164" s="528"/>
      <c r="G164" s="528"/>
      <c r="H164" s="528"/>
      <c r="I164" s="547"/>
      <c r="J164" s="1008">
        <f>722000*10</f>
        <v>7220000</v>
      </c>
      <c r="K164" s="1008">
        <f>722000*10</f>
        <v>7220000</v>
      </c>
      <c r="L164" s="543" t="s">
        <v>987</v>
      </c>
      <c r="M164" s="543" t="s">
        <v>159</v>
      </c>
      <c r="N164" s="543" t="s">
        <v>160</v>
      </c>
      <c r="O164" s="543" t="s">
        <v>19</v>
      </c>
      <c r="P164" s="532" t="s">
        <v>988</v>
      </c>
      <c r="Q164" s="532" t="s">
        <v>995</v>
      </c>
      <c r="R164" s="533"/>
      <c r="S164" s="533"/>
      <c r="T164" s="533"/>
      <c r="U164" s="534"/>
      <c r="V164" s="535"/>
      <c r="W164" s="536"/>
      <c r="X164" s="536"/>
    </row>
    <row r="165" spans="1:24" s="537" customFormat="1" ht="36.75" customHeight="1">
      <c r="A165" s="522"/>
      <c r="B165" s="523"/>
      <c r="C165" s="1029" t="s">
        <v>992</v>
      </c>
      <c r="D165" s="1008">
        <f>1500000*3</f>
        <v>4500000</v>
      </c>
      <c r="E165" s="1030" t="s">
        <v>987</v>
      </c>
      <c r="F165" s="528"/>
      <c r="G165" s="528"/>
      <c r="H165" s="528"/>
      <c r="I165" s="547"/>
      <c r="J165" s="1008">
        <f>1500000*3</f>
        <v>4500000</v>
      </c>
      <c r="K165" s="1008">
        <f>1500000*3</f>
        <v>4500000</v>
      </c>
      <c r="L165" s="543" t="s">
        <v>987</v>
      </c>
      <c r="M165" s="543" t="s">
        <v>159</v>
      </c>
      <c r="N165" s="543" t="s">
        <v>160</v>
      </c>
      <c r="O165" s="543" t="s">
        <v>19</v>
      </c>
      <c r="P165" s="532" t="s">
        <v>988</v>
      </c>
      <c r="Q165" s="532" t="s">
        <v>995</v>
      </c>
      <c r="R165" s="533"/>
      <c r="S165" s="533"/>
      <c r="T165" s="533"/>
      <c r="U165" s="534"/>
      <c r="V165" s="535"/>
      <c r="W165" s="536"/>
      <c r="X165" s="536"/>
    </row>
    <row r="166" spans="1:24" s="594" customFormat="1" ht="25.7" customHeight="1">
      <c r="A166" s="582"/>
      <c r="B166" s="583"/>
      <c r="C166" s="584"/>
      <c r="D166" s="585"/>
      <c r="E166" s="586"/>
      <c r="F166" s="587">
        <f t="shared" ref="F166:K166" si="7">SUM(F52:F165)</f>
        <v>76230000</v>
      </c>
      <c r="G166" s="587">
        <f t="shared" si="7"/>
        <v>34042000</v>
      </c>
      <c r="H166" s="587">
        <f t="shared" si="7"/>
        <v>30368000</v>
      </c>
      <c r="I166" s="587">
        <f t="shared" si="7"/>
        <v>12056400</v>
      </c>
      <c r="J166" s="587">
        <f t="shared" si="7"/>
        <v>42848000</v>
      </c>
      <c r="K166" s="587">
        <f t="shared" si="7"/>
        <v>195544400</v>
      </c>
      <c r="L166" s="1048"/>
      <c r="M166" s="588"/>
      <c r="N166" s="588"/>
      <c r="O166" s="589"/>
      <c r="P166" s="589"/>
      <c r="Q166" s="589"/>
      <c r="R166" s="590"/>
      <c r="S166" s="590"/>
      <c r="T166" s="590"/>
      <c r="U166" s="591"/>
      <c r="V166" s="592"/>
      <c r="W166" s="593"/>
      <c r="X166" s="593"/>
    </row>
    <row r="167" spans="1:24" s="155" customFormat="1">
      <c r="A167" s="145"/>
      <c r="B167" s="144"/>
      <c r="C167" s="69" t="s">
        <v>53</v>
      </c>
      <c r="D167" s="70">
        <v>2000000</v>
      </c>
      <c r="E167" s="54">
        <v>1</v>
      </c>
      <c r="F167" s="149">
        <f t="shared" ref="F167:F172" si="8">D167</f>
        <v>2000000</v>
      </c>
      <c r="G167" s="149">
        <v>0</v>
      </c>
      <c r="H167" s="149">
        <v>0</v>
      </c>
      <c r="I167" s="149">
        <v>0</v>
      </c>
      <c r="J167" s="149">
        <v>0</v>
      </c>
      <c r="K167" s="149">
        <f t="shared" ref="K167:K172" si="9">SUM(F167:J167)</f>
        <v>2000000</v>
      </c>
      <c r="L167" s="632" t="s">
        <v>54</v>
      </c>
      <c r="M167" s="144"/>
      <c r="N167" s="144"/>
      <c r="O167" s="144"/>
      <c r="P167" s="150" t="s">
        <v>4</v>
      </c>
      <c r="Q167" s="150"/>
      <c r="R167" s="151"/>
      <c r="S167" s="151"/>
      <c r="T167" s="151"/>
      <c r="U167" s="152"/>
      <c r="V167" s="153"/>
      <c r="W167" s="154"/>
      <c r="X167" s="154"/>
    </row>
    <row r="168" spans="1:24" s="155" customFormat="1">
      <c r="A168" s="145"/>
      <c r="B168" s="144"/>
      <c r="C168" s="74" t="s">
        <v>55</v>
      </c>
      <c r="D168" s="75">
        <v>1400000</v>
      </c>
      <c r="E168" s="55">
        <v>1</v>
      </c>
      <c r="F168" s="149">
        <f t="shared" si="8"/>
        <v>1400000</v>
      </c>
      <c r="G168" s="149">
        <v>0</v>
      </c>
      <c r="H168" s="149">
        <v>0</v>
      </c>
      <c r="I168" s="149">
        <v>0</v>
      </c>
      <c r="J168" s="149">
        <v>0</v>
      </c>
      <c r="K168" s="149">
        <f t="shared" si="9"/>
        <v>1400000</v>
      </c>
      <c r="L168" s="633" t="s">
        <v>54</v>
      </c>
      <c r="M168" s="144"/>
      <c r="N168" s="144"/>
      <c r="O168" s="144"/>
      <c r="P168" s="150" t="s">
        <v>4</v>
      </c>
      <c r="Q168" s="150"/>
      <c r="R168" s="151"/>
      <c r="S168" s="151"/>
      <c r="T168" s="151"/>
      <c r="U168" s="152"/>
      <c r="V168" s="153"/>
      <c r="W168" s="154"/>
      <c r="X168" s="154"/>
    </row>
    <row r="169" spans="1:24" s="155" customFormat="1" ht="37.5">
      <c r="A169" s="145"/>
      <c r="B169" s="144"/>
      <c r="C169" s="76" t="s">
        <v>56</v>
      </c>
      <c r="D169" s="77">
        <v>1294000</v>
      </c>
      <c r="E169" s="55">
        <v>1</v>
      </c>
      <c r="F169" s="149">
        <f t="shared" si="8"/>
        <v>1294000</v>
      </c>
      <c r="G169" s="149">
        <v>0</v>
      </c>
      <c r="H169" s="149">
        <v>0</v>
      </c>
      <c r="I169" s="149">
        <v>0</v>
      </c>
      <c r="J169" s="149">
        <v>0</v>
      </c>
      <c r="K169" s="149">
        <f t="shared" si="9"/>
        <v>1294000</v>
      </c>
      <c r="L169" s="633" t="s">
        <v>57</v>
      </c>
      <c r="M169" s="144"/>
      <c r="N169" s="144"/>
      <c r="O169" s="144"/>
      <c r="P169" s="150" t="s">
        <v>173</v>
      </c>
      <c r="Q169" s="150"/>
      <c r="R169" s="151"/>
      <c r="S169" s="151"/>
      <c r="T169" s="151"/>
      <c r="U169" s="152"/>
      <c r="V169" s="153"/>
      <c r="W169" s="154"/>
      <c r="X169" s="154"/>
    </row>
    <row r="170" spans="1:24" s="155" customFormat="1" ht="56.25">
      <c r="A170" s="145"/>
      <c r="B170" s="144"/>
      <c r="C170" s="76" t="s">
        <v>58</v>
      </c>
      <c r="D170" s="77">
        <v>787000</v>
      </c>
      <c r="E170" s="78">
        <v>1</v>
      </c>
      <c r="F170" s="149">
        <f t="shared" si="8"/>
        <v>787000</v>
      </c>
      <c r="G170" s="149">
        <v>0</v>
      </c>
      <c r="H170" s="149">
        <v>0</v>
      </c>
      <c r="I170" s="149">
        <v>0</v>
      </c>
      <c r="J170" s="149">
        <v>0</v>
      </c>
      <c r="K170" s="149">
        <f t="shared" si="9"/>
        <v>787000</v>
      </c>
      <c r="L170" s="634" t="s">
        <v>59</v>
      </c>
      <c r="M170" s="144"/>
      <c r="N170" s="144"/>
      <c r="O170" s="144"/>
      <c r="P170" s="150" t="s">
        <v>10</v>
      </c>
      <c r="Q170" s="150"/>
      <c r="R170" s="151"/>
      <c r="S170" s="151"/>
      <c r="T170" s="151"/>
      <c r="U170" s="152"/>
      <c r="V170" s="153"/>
      <c r="W170" s="154"/>
      <c r="X170" s="154"/>
    </row>
    <row r="171" spans="1:24" s="155" customFormat="1" ht="56.25">
      <c r="A171" s="145"/>
      <c r="B171" s="144"/>
      <c r="C171" s="76" t="s">
        <v>60</v>
      </c>
      <c r="D171" s="81">
        <v>1574000</v>
      </c>
      <c r="E171" s="80">
        <v>2</v>
      </c>
      <c r="F171" s="149">
        <f t="shared" si="8"/>
        <v>1574000</v>
      </c>
      <c r="G171" s="149">
        <v>0</v>
      </c>
      <c r="H171" s="149">
        <f>F171</f>
        <v>1574000</v>
      </c>
      <c r="I171" s="149">
        <v>0</v>
      </c>
      <c r="J171" s="149">
        <v>0</v>
      </c>
      <c r="K171" s="149">
        <f t="shared" si="9"/>
        <v>3148000</v>
      </c>
      <c r="L171" s="635" t="s">
        <v>61</v>
      </c>
      <c r="M171" s="144"/>
      <c r="N171" s="144"/>
      <c r="O171" s="144"/>
      <c r="P171" s="150" t="s">
        <v>173</v>
      </c>
      <c r="Q171" s="150"/>
      <c r="R171" s="151"/>
      <c r="S171" s="151"/>
      <c r="T171" s="151"/>
      <c r="U171" s="152"/>
      <c r="V171" s="153"/>
      <c r="W171" s="154"/>
      <c r="X171" s="154"/>
    </row>
    <row r="172" spans="1:24" s="155" customFormat="1">
      <c r="A172" s="145"/>
      <c r="B172" s="144"/>
      <c r="C172" s="85" t="s">
        <v>62</v>
      </c>
      <c r="D172" s="86">
        <v>1200000</v>
      </c>
      <c r="E172" s="82">
        <v>1</v>
      </c>
      <c r="F172" s="149">
        <f t="shared" si="8"/>
        <v>1200000</v>
      </c>
      <c r="G172" s="149">
        <v>0</v>
      </c>
      <c r="H172" s="149">
        <v>0</v>
      </c>
      <c r="I172" s="149">
        <f>F172</f>
        <v>1200000</v>
      </c>
      <c r="J172" s="149">
        <v>0</v>
      </c>
      <c r="K172" s="149">
        <f t="shared" si="9"/>
        <v>2400000</v>
      </c>
      <c r="L172" s="636" t="s">
        <v>61</v>
      </c>
      <c r="M172" s="144"/>
      <c r="N172" s="144"/>
      <c r="O172" s="144"/>
      <c r="P172" s="150" t="s">
        <v>173</v>
      </c>
      <c r="Q172" s="150"/>
      <c r="R172" s="151"/>
      <c r="S172" s="151"/>
      <c r="T172" s="151"/>
      <c r="U172" s="152"/>
      <c r="V172" s="153"/>
      <c r="W172" s="154"/>
      <c r="X172" s="154"/>
    </row>
    <row r="173" spans="1:24" s="155" customFormat="1">
      <c r="A173" s="145"/>
      <c r="B173" s="144"/>
      <c r="C173" s="84" t="s">
        <v>63</v>
      </c>
      <c r="D173" s="86">
        <v>260000</v>
      </c>
      <c r="E173" s="80">
        <v>2</v>
      </c>
      <c r="F173" s="149">
        <v>0</v>
      </c>
      <c r="G173" s="149">
        <f>D173</f>
        <v>260000</v>
      </c>
      <c r="H173" s="149">
        <f>G173</f>
        <v>260000</v>
      </c>
      <c r="I173" s="149">
        <v>0</v>
      </c>
      <c r="J173" s="149">
        <v>0</v>
      </c>
      <c r="K173" s="149"/>
      <c r="L173" s="635" t="s">
        <v>61</v>
      </c>
      <c r="M173" s="144"/>
      <c r="N173" s="144"/>
      <c r="O173" s="144"/>
      <c r="P173" s="150" t="s">
        <v>173</v>
      </c>
      <c r="Q173" s="150"/>
      <c r="R173" s="151"/>
      <c r="S173" s="151"/>
      <c r="T173" s="151"/>
      <c r="U173" s="152"/>
      <c r="V173" s="153"/>
      <c r="W173" s="154"/>
      <c r="X173" s="154"/>
    </row>
    <row r="174" spans="1:24" s="155" customFormat="1" ht="56.25">
      <c r="A174" s="145"/>
      <c r="B174" s="144"/>
      <c r="C174" s="88" t="s">
        <v>64</v>
      </c>
      <c r="D174" s="86">
        <v>1300000</v>
      </c>
      <c r="E174" s="80">
        <v>1</v>
      </c>
      <c r="F174" s="149">
        <v>0</v>
      </c>
      <c r="G174" s="149">
        <v>0</v>
      </c>
      <c r="H174" s="149">
        <v>0</v>
      </c>
      <c r="I174" s="149">
        <v>0</v>
      </c>
      <c r="J174" s="149">
        <f>D174</f>
        <v>1300000</v>
      </c>
      <c r="K174" s="149"/>
      <c r="L174" s="635" t="s">
        <v>61</v>
      </c>
      <c r="M174" s="144"/>
      <c r="N174" s="144"/>
      <c r="O174" s="144"/>
      <c r="P174" s="150"/>
      <c r="Q174" s="150"/>
      <c r="R174" s="151"/>
      <c r="S174" s="151"/>
      <c r="T174" s="151"/>
      <c r="U174" s="152"/>
      <c r="V174" s="153"/>
      <c r="W174" s="154"/>
      <c r="X174" s="154"/>
    </row>
    <row r="175" spans="1:24" s="155" customFormat="1" ht="37.5">
      <c r="A175" s="145"/>
      <c r="B175" s="144"/>
      <c r="C175" s="88" t="s">
        <v>65</v>
      </c>
      <c r="D175" s="86">
        <v>1750000</v>
      </c>
      <c r="E175" s="80">
        <v>1</v>
      </c>
      <c r="F175" s="149">
        <v>0</v>
      </c>
      <c r="G175" s="149">
        <f>D175</f>
        <v>1750000</v>
      </c>
      <c r="H175" s="149">
        <v>0</v>
      </c>
      <c r="I175" s="149">
        <v>0</v>
      </c>
      <c r="J175" s="149">
        <v>0</v>
      </c>
      <c r="K175" s="149"/>
      <c r="L175" s="635" t="s">
        <v>61</v>
      </c>
      <c r="M175" s="144"/>
      <c r="N175" s="144"/>
      <c r="O175" s="144"/>
      <c r="P175" s="150"/>
      <c r="Q175" s="150"/>
      <c r="R175" s="151"/>
      <c r="S175" s="151"/>
      <c r="T175" s="151"/>
      <c r="U175" s="152"/>
      <c r="V175" s="153"/>
      <c r="W175" s="154"/>
      <c r="X175" s="154"/>
    </row>
    <row r="176" spans="1:24" s="155" customFormat="1" ht="56.25">
      <c r="A176" s="145"/>
      <c r="B176" s="144"/>
      <c r="C176" s="88" t="s">
        <v>66</v>
      </c>
      <c r="D176" s="86">
        <v>480000</v>
      </c>
      <c r="E176" s="80">
        <v>2</v>
      </c>
      <c r="F176" s="149">
        <v>0</v>
      </c>
      <c r="G176" s="149">
        <v>0</v>
      </c>
      <c r="H176" s="149">
        <v>0</v>
      </c>
      <c r="I176" s="149">
        <f>D176</f>
        <v>480000</v>
      </c>
      <c r="J176" s="149">
        <f>D176</f>
        <v>480000</v>
      </c>
      <c r="K176" s="149"/>
      <c r="L176" s="635" t="s">
        <v>61</v>
      </c>
      <c r="M176" s="144"/>
      <c r="N176" s="144"/>
      <c r="O176" s="144"/>
      <c r="P176" s="150"/>
      <c r="Q176" s="150"/>
      <c r="R176" s="151"/>
      <c r="S176" s="151"/>
      <c r="T176" s="151"/>
      <c r="U176" s="152"/>
      <c r="V176" s="153"/>
      <c r="W176" s="154"/>
      <c r="X176" s="154"/>
    </row>
    <row r="177" spans="1:24" s="155" customFormat="1" ht="75">
      <c r="A177" s="145"/>
      <c r="B177" s="144"/>
      <c r="C177" s="88" t="s">
        <v>67</v>
      </c>
      <c r="D177" s="86">
        <v>2000000</v>
      </c>
      <c r="E177" s="80">
        <v>3</v>
      </c>
      <c r="F177" s="149">
        <v>0</v>
      </c>
      <c r="G177" s="149">
        <v>0</v>
      </c>
      <c r="H177" s="149">
        <f>D177</f>
        <v>2000000</v>
      </c>
      <c r="I177" s="149">
        <f>D177</f>
        <v>2000000</v>
      </c>
      <c r="J177" s="149">
        <f>D177</f>
        <v>2000000</v>
      </c>
      <c r="K177" s="149"/>
      <c r="L177" s="635" t="s">
        <v>61</v>
      </c>
      <c r="M177" s="144"/>
      <c r="N177" s="144"/>
      <c r="O177" s="144"/>
      <c r="P177" s="150"/>
      <c r="Q177" s="150"/>
      <c r="R177" s="151"/>
      <c r="S177" s="151"/>
      <c r="T177" s="151"/>
      <c r="U177" s="152"/>
      <c r="V177" s="153"/>
      <c r="W177" s="154"/>
      <c r="X177" s="154"/>
    </row>
    <row r="178" spans="1:24" s="155" customFormat="1">
      <c r="A178" s="145"/>
      <c r="B178" s="144"/>
      <c r="C178" s="76" t="s">
        <v>62</v>
      </c>
      <c r="D178" s="91">
        <v>1200000</v>
      </c>
      <c r="E178" s="80">
        <v>1</v>
      </c>
      <c r="F178" s="149">
        <f>D178</f>
        <v>1200000</v>
      </c>
      <c r="G178" s="149">
        <v>0</v>
      </c>
      <c r="H178" s="149">
        <v>0</v>
      </c>
      <c r="I178" s="149">
        <v>0</v>
      </c>
      <c r="J178" s="149">
        <v>0</v>
      </c>
      <c r="K178" s="149"/>
      <c r="L178" s="635" t="s">
        <v>68</v>
      </c>
      <c r="M178" s="144"/>
      <c r="N178" s="144"/>
      <c r="O178" s="144"/>
      <c r="P178" s="150"/>
      <c r="Q178" s="150"/>
      <c r="R178" s="151"/>
      <c r="S178" s="151"/>
      <c r="T178" s="151"/>
      <c r="U178" s="152"/>
      <c r="V178" s="153"/>
      <c r="W178" s="154"/>
      <c r="X178" s="154"/>
    </row>
    <row r="179" spans="1:24" s="155" customFormat="1" ht="56.25">
      <c r="A179" s="145"/>
      <c r="B179" s="144"/>
      <c r="C179" s="76" t="s">
        <v>60</v>
      </c>
      <c r="D179" s="92">
        <v>787000</v>
      </c>
      <c r="E179" s="80">
        <v>1</v>
      </c>
      <c r="F179" s="149">
        <f>D179</f>
        <v>787000</v>
      </c>
      <c r="G179" s="149">
        <v>0</v>
      </c>
      <c r="H179" s="149">
        <v>0</v>
      </c>
      <c r="I179" s="149">
        <v>0</v>
      </c>
      <c r="J179" s="149">
        <v>0</v>
      </c>
      <c r="K179" s="149"/>
      <c r="L179" s="635" t="s">
        <v>68</v>
      </c>
      <c r="M179" s="144"/>
      <c r="N179" s="144"/>
      <c r="O179" s="144"/>
      <c r="P179" s="150"/>
      <c r="Q179" s="150"/>
      <c r="R179" s="151"/>
      <c r="S179" s="151"/>
      <c r="T179" s="151"/>
      <c r="U179" s="152"/>
      <c r="V179" s="153"/>
      <c r="W179" s="154"/>
      <c r="X179" s="154"/>
    </row>
    <row r="180" spans="1:24" s="155" customFormat="1" ht="37.5">
      <c r="A180" s="145"/>
      <c r="B180" s="144"/>
      <c r="C180" s="88" t="s">
        <v>69</v>
      </c>
      <c r="D180" s="94">
        <v>1750000</v>
      </c>
      <c r="E180" s="61">
        <v>1</v>
      </c>
      <c r="F180" s="149">
        <v>0</v>
      </c>
      <c r="G180" s="149">
        <f>D180</f>
        <v>1750000</v>
      </c>
      <c r="H180" s="149">
        <v>0</v>
      </c>
      <c r="I180" s="149">
        <v>0</v>
      </c>
      <c r="J180" s="149">
        <v>0</v>
      </c>
      <c r="K180" s="149"/>
      <c r="L180" s="637" t="s">
        <v>70</v>
      </c>
      <c r="M180" s="144"/>
      <c r="N180" s="144"/>
      <c r="O180" s="144"/>
      <c r="P180" s="150"/>
      <c r="Q180" s="150"/>
      <c r="R180" s="151"/>
      <c r="S180" s="151"/>
      <c r="T180" s="151"/>
      <c r="U180" s="152"/>
      <c r="V180" s="153"/>
      <c r="W180" s="154"/>
      <c r="X180" s="154"/>
    </row>
    <row r="181" spans="1:24" s="155" customFormat="1" ht="37.5">
      <c r="A181" s="145"/>
      <c r="B181" s="144"/>
      <c r="C181" s="88" t="s">
        <v>71</v>
      </c>
      <c r="D181" s="86">
        <v>500000</v>
      </c>
      <c r="E181" s="95">
        <v>1</v>
      </c>
      <c r="F181" s="149">
        <v>0</v>
      </c>
      <c r="G181" s="149">
        <f>D181</f>
        <v>500000</v>
      </c>
      <c r="H181" s="149">
        <v>0</v>
      </c>
      <c r="I181" s="149">
        <v>0</v>
      </c>
      <c r="J181" s="149">
        <v>0</v>
      </c>
      <c r="K181" s="149"/>
      <c r="L181" s="638" t="s">
        <v>70</v>
      </c>
      <c r="M181" s="144"/>
      <c r="N181" s="144"/>
      <c r="O181" s="144"/>
      <c r="P181" s="150"/>
      <c r="Q181" s="150"/>
      <c r="R181" s="151"/>
      <c r="S181" s="151"/>
      <c r="T181" s="151"/>
      <c r="U181" s="152"/>
      <c r="V181" s="153"/>
      <c r="W181" s="154"/>
      <c r="X181" s="154"/>
    </row>
    <row r="182" spans="1:24" s="155" customFormat="1" ht="75">
      <c r="A182" s="145"/>
      <c r="B182" s="144"/>
      <c r="C182" s="104" t="s">
        <v>72</v>
      </c>
      <c r="D182" s="105">
        <v>102000</v>
      </c>
      <c r="E182" s="106">
        <v>1</v>
      </c>
      <c r="F182" s="149">
        <f>D182</f>
        <v>102000</v>
      </c>
      <c r="G182" s="149">
        <v>0</v>
      </c>
      <c r="H182" s="149">
        <v>0</v>
      </c>
      <c r="I182" s="149">
        <v>0</v>
      </c>
      <c r="J182" s="149">
        <v>0</v>
      </c>
      <c r="K182" s="149"/>
      <c r="L182" s="639" t="s">
        <v>70</v>
      </c>
      <c r="M182" s="144"/>
      <c r="N182" s="144"/>
      <c r="O182" s="144"/>
      <c r="P182" s="150"/>
      <c r="Q182" s="150"/>
      <c r="R182" s="151"/>
      <c r="S182" s="151"/>
      <c r="T182" s="151"/>
      <c r="U182" s="152"/>
      <c r="V182" s="153"/>
      <c r="W182" s="154"/>
      <c r="X182" s="154"/>
    </row>
    <row r="183" spans="1:24" s="155" customFormat="1">
      <c r="A183" s="145"/>
      <c r="B183" s="144"/>
      <c r="C183" s="88" t="s">
        <v>73</v>
      </c>
      <c r="D183" s="94">
        <v>787000</v>
      </c>
      <c r="E183" s="95">
        <v>1</v>
      </c>
      <c r="F183" s="94">
        <v>787000</v>
      </c>
      <c r="G183" s="149">
        <v>0</v>
      </c>
      <c r="H183" s="149">
        <v>0</v>
      </c>
      <c r="I183" s="149">
        <v>0</v>
      </c>
      <c r="J183" s="149">
        <v>0</v>
      </c>
      <c r="K183" s="149">
        <f>SUM(F183:J183)</f>
        <v>787000</v>
      </c>
      <c r="L183" s="640" t="s">
        <v>237</v>
      </c>
      <c r="M183" s="218" t="s">
        <v>74</v>
      </c>
      <c r="N183" s="218" t="s">
        <v>74</v>
      </c>
      <c r="O183" s="218" t="s">
        <v>21</v>
      </c>
      <c r="P183" s="142" t="s">
        <v>173</v>
      </c>
      <c r="Q183" s="150"/>
      <c r="R183" s="151"/>
      <c r="S183" s="151"/>
      <c r="T183" s="151"/>
      <c r="U183" s="152"/>
      <c r="V183" s="153"/>
      <c r="W183" s="154"/>
      <c r="X183" s="154"/>
    </row>
    <row r="184" spans="1:24" s="155" customFormat="1" ht="37.5">
      <c r="A184" s="145"/>
      <c r="B184" s="144"/>
      <c r="C184" s="88" t="s">
        <v>75</v>
      </c>
      <c r="D184" s="94">
        <v>260000</v>
      </c>
      <c r="E184" s="95">
        <v>1</v>
      </c>
      <c r="F184" s="94">
        <v>260000</v>
      </c>
      <c r="G184" s="149">
        <v>0</v>
      </c>
      <c r="H184" s="149">
        <v>0</v>
      </c>
      <c r="I184" s="149">
        <v>0</v>
      </c>
      <c r="J184" s="149">
        <v>0</v>
      </c>
      <c r="K184" s="149">
        <f>SUM(F184:J184)</f>
        <v>260000</v>
      </c>
      <c r="L184" s="640" t="s">
        <v>237</v>
      </c>
      <c r="M184" s="218" t="s">
        <v>74</v>
      </c>
      <c r="N184" s="218" t="s">
        <v>74</v>
      </c>
      <c r="O184" s="218" t="s">
        <v>21</v>
      </c>
      <c r="P184" s="142" t="s">
        <v>173</v>
      </c>
      <c r="Q184" s="150"/>
      <c r="R184" s="151"/>
      <c r="S184" s="151"/>
      <c r="T184" s="151"/>
      <c r="U184" s="152"/>
      <c r="V184" s="153"/>
      <c r="W184" s="154"/>
      <c r="X184" s="154"/>
    </row>
    <row r="185" spans="1:24" s="155" customFormat="1">
      <c r="A185" s="145"/>
      <c r="B185" s="144"/>
      <c r="C185" s="88" t="s">
        <v>76</v>
      </c>
      <c r="D185" s="108">
        <v>310000</v>
      </c>
      <c r="E185" s="95">
        <v>1</v>
      </c>
      <c r="F185" s="108">
        <v>310000</v>
      </c>
      <c r="G185" s="149">
        <v>0</v>
      </c>
      <c r="H185" s="149">
        <v>0</v>
      </c>
      <c r="I185" s="149">
        <v>0</v>
      </c>
      <c r="J185" s="149">
        <v>0</v>
      </c>
      <c r="K185" s="149">
        <f>SUM(F185:J185)</f>
        <v>310000</v>
      </c>
      <c r="L185" s="640" t="s">
        <v>237</v>
      </c>
      <c r="M185" s="218" t="s">
        <v>74</v>
      </c>
      <c r="N185" s="218" t="s">
        <v>74</v>
      </c>
      <c r="O185" s="218" t="s">
        <v>21</v>
      </c>
      <c r="P185" s="142" t="s">
        <v>173</v>
      </c>
      <c r="Q185" s="150"/>
      <c r="R185" s="151"/>
      <c r="S185" s="151"/>
      <c r="T185" s="151"/>
      <c r="U185" s="152"/>
      <c r="V185" s="153"/>
      <c r="W185" s="154"/>
      <c r="X185" s="154"/>
    </row>
    <row r="186" spans="1:24" s="155" customFormat="1">
      <c r="A186" s="145"/>
      <c r="B186" s="144"/>
      <c r="C186" s="88" t="s">
        <v>77</v>
      </c>
      <c r="D186" s="108">
        <v>81000</v>
      </c>
      <c r="E186" s="95">
        <v>1</v>
      </c>
      <c r="F186" s="108">
        <v>81000</v>
      </c>
      <c r="G186" s="149">
        <v>0</v>
      </c>
      <c r="H186" s="149">
        <v>0</v>
      </c>
      <c r="I186" s="149">
        <v>0</v>
      </c>
      <c r="J186" s="149">
        <v>0</v>
      </c>
      <c r="K186" s="149">
        <f>SUM(F186:J186)</f>
        <v>81000</v>
      </c>
      <c r="L186" s="640" t="s">
        <v>237</v>
      </c>
      <c r="M186" s="218" t="s">
        <v>74</v>
      </c>
      <c r="N186" s="218" t="s">
        <v>74</v>
      </c>
      <c r="O186" s="218" t="s">
        <v>21</v>
      </c>
      <c r="P186" s="142" t="s">
        <v>173</v>
      </c>
      <c r="Q186" s="150"/>
      <c r="R186" s="151"/>
      <c r="S186" s="151"/>
      <c r="T186" s="151"/>
      <c r="U186" s="152"/>
      <c r="V186" s="153"/>
      <c r="W186" s="154"/>
      <c r="X186" s="154"/>
    </row>
    <row r="187" spans="1:24" s="155" customFormat="1">
      <c r="A187" s="145"/>
      <c r="B187" s="144"/>
      <c r="C187" s="88" t="s">
        <v>78</v>
      </c>
      <c r="D187" s="108">
        <v>550000</v>
      </c>
      <c r="E187" s="95">
        <v>1</v>
      </c>
      <c r="F187" s="108">
        <v>550000</v>
      </c>
      <c r="G187" s="149">
        <v>0</v>
      </c>
      <c r="H187" s="149">
        <v>0</v>
      </c>
      <c r="I187" s="149">
        <v>0</v>
      </c>
      <c r="J187" s="149">
        <v>0</v>
      </c>
      <c r="K187" s="149">
        <f>SUM(F187:J187)</f>
        <v>550000</v>
      </c>
      <c r="L187" s="640" t="s">
        <v>237</v>
      </c>
      <c r="M187" s="218" t="s">
        <v>74</v>
      </c>
      <c r="N187" s="218" t="s">
        <v>74</v>
      </c>
      <c r="O187" s="218" t="s">
        <v>21</v>
      </c>
      <c r="P187" s="142" t="s">
        <v>173</v>
      </c>
      <c r="Q187" s="150"/>
      <c r="R187" s="151"/>
      <c r="S187" s="151"/>
      <c r="T187" s="151"/>
      <c r="U187" s="152"/>
      <c r="V187" s="153"/>
      <c r="W187" s="154"/>
      <c r="X187" s="154"/>
    </row>
    <row r="188" spans="1:24" s="155" customFormat="1" ht="37.5">
      <c r="A188" s="145"/>
      <c r="B188" s="144"/>
      <c r="C188" s="88" t="s">
        <v>79</v>
      </c>
      <c r="D188" s="108">
        <v>1350000</v>
      </c>
      <c r="E188" s="55">
        <v>1</v>
      </c>
      <c r="F188" s="149">
        <v>0</v>
      </c>
      <c r="G188" s="108">
        <v>1350000</v>
      </c>
      <c r="H188" s="149">
        <v>0</v>
      </c>
      <c r="I188" s="149">
        <v>0</v>
      </c>
      <c r="J188" s="149">
        <v>0</v>
      </c>
      <c r="K188" s="149">
        <f>SUM(G188:J188)</f>
        <v>1350000</v>
      </c>
      <c r="L188" s="640" t="s">
        <v>237</v>
      </c>
      <c r="M188" s="218" t="s">
        <v>74</v>
      </c>
      <c r="N188" s="218" t="s">
        <v>74</v>
      </c>
      <c r="O188" s="218" t="s">
        <v>21</v>
      </c>
      <c r="P188" s="142" t="s">
        <v>173</v>
      </c>
      <c r="Q188" s="150"/>
      <c r="R188" s="151"/>
      <c r="S188" s="151"/>
      <c r="T188" s="151"/>
      <c r="U188" s="152"/>
      <c r="V188" s="153"/>
      <c r="W188" s="154"/>
      <c r="X188" s="154"/>
    </row>
    <row r="189" spans="1:24" s="155" customFormat="1">
      <c r="A189" s="145"/>
      <c r="B189" s="144"/>
      <c r="C189" s="88" t="s">
        <v>80</v>
      </c>
      <c r="D189" s="108">
        <v>59000</v>
      </c>
      <c r="E189" s="55">
        <v>1</v>
      </c>
      <c r="F189" s="149">
        <v>0</v>
      </c>
      <c r="G189" s="108">
        <v>59000</v>
      </c>
      <c r="H189" s="149">
        <v>0</v>
      </c>
      <c r="I189" s="149">
        <v>0</v>
      </c>
      <c r="J189" s="149">
        <v>0</v>
      </c>
      <c r="K189" s="149">
        <f>SUM(G189:J189)</f>
        <v>59000</v>
      </c>
      <c r="L189" s="640" t="s">
        <v>237</v>
      </c>
      <c r="M189" s="218" t="s">
        <v>74</v>
      </c>
      <c r="N189" s="218" t="s">
        <v>74</v>
      </c>
      <c r="O189" s="218" t="s">
        <v>21</v>
      </c>
      <c r="P189" s="142" t="s">
        <v>173</v>
      </c>
      <c r="Q189" s="150"/>
      <c r="R189" s="151"/>
      <c r="S189" s="151"/>
      <c r="T189" s="151"/>
      <c r="U189" s="152"/>
      <c r="V189" s="153"/>
      <c r="W189" s="154"/>
      <c r="X189" s="154"/>
    </row>
    <row r="190" spans="1:24" s="155" customFormat="1">
      <c r="A190" s="145"/>
      <c r="B190" s="144"/>
      <c r="C190" s="88" t="s">
        <v>81</v>
      </c>
      <c r="D190" s="108">
        <v>520000</v>
      </c>
      <c r="E190" s="55">
        <v>1</v>
      </c>
      <c r="F190" s="149">
        <v>0</v>
      </c>
      <c r="G190" s="108">
        <v>520000</v>
      </c>
      <c r="H190" s="149">
        <v>0</v>
      </c>
      <c r="I190" s="149">
        <v>0</v>
      </c>
      <c r="J190" s="149">
        <v>0</v>
      </c>
      <c r="K190" s="149">
        <f>SUM(G190:J190)</f>
        <v>520000</v>
      </c>
      <c r="L190" s="640" t="s">
        <v>237</v>
      </c>
      <c r="M190" s="218" t="s">
        <v>74</v>
      </c>
      <c r="N190" s="218" t="s">
        <v>74</v>
      </c>
      <c r="O190" s="218" t="s">
        <v>21</v>
      </c>
      <c r="P190" s="142" t="s">
        <v>173</v>
      </c>
      <c r="Q190" s="150"/>
      <c r="R190" s="151"/>
      <c r="S190" s="151"/>
      <c r="T190" s="151"/>
      <c r="U190" s="152"/>
      <c r="V190" s="153"/>
      <c r="W190" s="154"/>
      <c r="X190" s="154"/>
    </row>
    <row r="191" spans="1:24" s="155" customFormat="1">
      <c r="A191" s="145"/>
      <c r="B191" s="144"/>
      <c r="C191" s="88" t="s">
        <v>77</v>
      </c>
      <c r="D191" s="108">
        <v>81000</v>
      </c>
      <c r="E191" s="55">
        <v>1</v>
      </c>
      <c r="F191" s="149">
        <v>0</v>
      </c>
      <c r="G191" s="108">
        <v>81000</v>
      </c>
      <c r="H191" s="149">
        <v>0</v>
      </c>
      <c r="I191" s="149">
        <v>0</v>
      </c>
      <c r="J191" s="149">
        <v>0</v>
      </c>
      <c r="K191" s="149">
        <f>SUM(G191:J191)</f>
        <v>81000</v>
      </c>
      <c r="L191" s="640" t="s">
        <v>237</v>
      </c>
      <c r="M191" s="218" t="s">
        <v>74</v>
      </c>
      <c r="N191" s="218" t="s">
        <v>74</v>
      </c>
      <c r="O191" s="218" t="s">
        <v>21</v>
      </c>
      <c r="P191" s="142" t="s">
        <v>173</v>
      </c>
      <c r="Q191" s="150"/>
      <c r="R191" s="151"/>
      <c r="S191" s="151"/>
      <c r="T191" s="151"/>
      <c r="U191" s="152"/>
      <c r="V191" s="153"/>
      <c r="W191" s="154"/>
      <c r="X191" s="154"/>
    </row>
    <row r="192" spans="1:24" s="155" customFormat="1" ht="37.5">
      <c r="A192" s="145"/>
      <c r="B192" s="144"/>
      <c r="C192" s="88" t="s">
        <v>82</v>
      </c>
      <c r="D192" s="108">
        <v>1198000</v>
      </c>
      <c r="E192" s="55">
        <v>1</v>
      </c>
      <c r="F192" s="149">
        <v>0</v>
      </c>
      <c r="G192" s="149">
        <v>0</v>
      </c>
      <c r="H192" s="108">
        <v>1198000</v>
      </c>
      <c r="I192" s="149">
        <v>0</v>
      </c>
      <c r="J192" s="149">
        <v>0</v>
      </c>
      <c r="K192" s="149">
        <f t="shared" ref="K192:K206" si="10">SUM(F192:J192)</f>
        <v>1198000</v>
      </c>
      <c r="L192" s="640" t="s">
        <v>237</v>
      </c>
      <c r="M192" s="218" t="s">
        <v>74</v>
      </c>
      <c r="N192" s="218" t="s">
        <v>74</v>
      </c>
      <c r="O192" s="218" t="s">
        <v>21</v>
      </c>
      <c r="P192" s="142" t="s">
        <v>173</v>
      </c>
      <c r="Q192" s="150"/>
      <c r="R192" s="151"/>
      <c r="S192" s="151"/>
      <c r="T192" s="151"/>
      <c r="U192" s="152"/>
      <c r="V192" s="153"/>
      <c r="W192" s="154"/>
      <c r="X192" s="154"/>
    </row>
    <row r="193" spans="1:24" s="155" customFormat="1" ht="37.5">
      <c r="A193" s="145"/>
      <c r="B193" s="144"/>
      <c r="C193" s="88" t="s">
        <v>83</v>
      </c>
      <c r="D193" s="108">
        <v>850000</v>
      </c>
      <c r="E193" s="55">
        <v>1</v>
      </c>
      <c r="F193" s="149">
        <v>0</v>
      </c>
      <c r="G193" s="149">
        <v>0</v>
      </c>
      <c r="H193" s="108">
        <v>850000</v>
      </c>
      <c r="I193" s="149">
        <v>0</v>
      </c>
      <c r="J193" s="149">
        <v>0</v>
      </c>
      <c r="K193" s="149">
        <f t="shared" si="10"/>
        <v>850000</v>
      </c>
      <c r="L193" s="640" t="s">
        <v>237</v>
      </c>
      <c r="M193" s="218" t="s">
        <v>74</v>
      </c>
      <c r="N193" s="218" t="s">
        <v>74</v>
      </c>
      <c r="O193" s="218" t="s">
        <v>21</v>
      </c>
      <c r="P193" s="142" t="s">
        <v>173</v>
      </c>
      <c r="Q193" s="150"/>
      <c r="R193" s="151"/>
      <c r="S193" s="151"/>
      <c r="T193" s="151"/>
      <c r="U193" s="152"/>
      <c r="V193" s="153"/>
      <c r="W193" s="154"/>
      <c r="X193" s="154"/>
    </row>
    <row r="194" spans="1:24" s="155" customFormat="1" ht="75">
      <c r="A194" s="145"/>
      <c r="B194" s="144"/>
      <c r="C194" s="88" t="s">
        <v>84</v>
      </c>
      <c r="D194" s="108">
        <v>790000</v>
      </c>
      <c r="E194" s="55">
        <v>1</v>
      </c>
      <c r="F194" s="149">
        <v>0</v>
      </c>
      <c r="G194" s="149">
        <v>0</v>
      </c>
      <c r="H194" s="149">
        <v>0</v>
      </c>
      <c r="I194" s="149">
        <f>D194</f>
        <v>790000</v>
      </c>
      <c r="J194" s="149">
        <v>0</v>
      </c>
      <c r="K194" s="149">
        <f t="shared" si="10"/>
        <v>790000</v>
      </c>
      <c r="L194" s="640" t="s">
        <v>237</v>
      </c>
      <c r="M194" s="218" t="s">
        <v>74</v>
      </c>
      <c r="N194" s="218" t="s">
        <v>74</v>
      </c>
      <c r="O194" s="218" t="s">
        <v>21</v>
      </c>
      <c r="P194" s="142" t="s">
        <v>173</v>
      </c>
      <c r="Q194" s="150"/>
      <c r="R194" s="151"/>
      <c r="S194" s="151"/>
      <c r="T194" s="151"/>
      <c r="U194" s="152"/>
      <c r="V194" s="153"/>
      <c r="W194" s="154"/>
      <c r="X194" s="154"/>
    </row>
    <row r="195" spans="1:24" s="155" customFormat="1" ht="56.25">
      <c r="A195" s="145"/>
      <c r="B195" s="144"/>
      <c r="C195" s="88" t="s">
        <v>85</v>
      </c>
      <c r="D195" s="108">
        <v>1340000</v>
      </c>
      <c r="E195" s="55">
        <v>1</v>
      </c>
      <c r="F195" s="149">
        <v>0</v>
      </c>
      <c r="G195" s="149">
        <v>0</v>
      </c>
      <c r="H195" s="149">
        <v>0</v>
      </c>
      <c r="I195" s="149">
        <f>D195</f>
        <v>1340000</v>
      </c>
      <c r="J195" s="149"/>
      <c r="K195" s="149">
        <f t="shared" si="10"/>
        <v>1340000</v>
      </c>
      <c r="L195" s="640" t="s">
        <v>237</v>
      </c>
      <c r="M195" s="218" t="s">
        <v>74</v>
      </c>
      <c r="N195" s="218" t="s">
        <v>74</v>
      </c>
      <c r="O195" s="218" t="s">
        <v>21</v>
      </c>
      <c r="P195" s="142" t="s">
        <v>173</v>
      </c>
      <c r="Q195" s="150"/>
      <c r="R195" s="151"/>
      <c r="S195" s="151"/>
      <c r="T195" s="151"/>
      <c r="U195" s="152"/>
      <c r="V195" s="153"/>
      <c r="W195" s="154"/>
      <c r="X195" s="154"/>
    </row>
    <row r="196" spans="1:24" s="155" customFormat="1" ht="37.5">
      <c r="A196" s="145"/>
      <c r="B196" s="144"/>
      <c r="C196" s="88" t="s">
        <v>86</v>
      </c>
      <c r="D196" s="108">
        <v>140000</v>
      </c>
      <c r="E196" s="55">
        <v>2</v>
      </c>
      <c r="F196" s="149">
        <v>0</v>
      </c>
      <c r="G196" s="149">
        <v>0</v>
      </c>
      <c r="H196" s="149">
        <v>0</v>
      </c>
      <c r="I196" s="149">
        <v>0</v>
      </c>
      <c r="J196" s="149">
        <f>D196*E196</f>
        <v>280000</v>
      </c>
      <c r="K196" s="149">
        <f t="shared" si="10"/>
        <v>280000</v>
      </c>
      <c r="L196" s="640" t="s">
        <v>237</v>
      </c>
      <c r="M196" s="218" t="s">
        <v>74</v>
      </c>
      <c r="N196" s="218" t="s">
        <v>74</v>
      </c>
      <c r="O196" s="218" t="s">
        <v>21</v>
      </c>
      <c r="P196" s="142" t="s">
        <v>173</v>
      </c>
      <c r="Q196" s="150"/>
      <c r="R196" s="151"/>
      <c r="S196" s="151"/>
      <c r="T196" s="151"/>
      <c r="U196" s="152"/>
      <c r="V196" s="153"/>
      <c r="W196" s="154"/>
      <c r="X196" s="154"/>
    </row>
    <row r="197" spans="1:24" s="155" customFormat="1" ht="37.5">
      <c r="A197" s="145"/>
      <c r="B197" s="144"/>
      <c r="C197" s="88" t="s">
        <v>87</v>
      </c>
      <c r="D197" s="108">
        <v>310000</v>
      </c>
      <c r="E197" s="55">
        <v>1</v>
      </c>
      <c r="F197" s="149">
        <v>0</v>
      </c>
      <c r="G197" s="149">
        <v>0</v>
      </c>
      <c r="H197" s="149">
        <v>0</v>
      </c>
      <c r="I197" s="149">
        <v>0</v>
      </c>
      <c r="J197" s="149">
        <f>D197</f>
        <v>310000</v>
      </c>
      <c r="K197" s="149">
        <f t="shared" si="10"/>
        <v>310000</v>
      </c>
      <c r="L197" s="640" t="s">
        <v>237</v>
      </c>
      <c r="M197" s="218" t="s">
        <v>74</v>
      </c>
      <c r="N197" s="218" t="s">
        <v>74</v>
      </c>
      <c r="O197" s="218" t="s">
        <v>21</v>
      </c>
      <c r="P197" s="142" t="s">
        <v>173</v>
      </c>
      <c r="Q197" s="150"/>
      <c r="R197" s="151"/>
      <c r="S197" s="151"/>
      <c r="T197" s="151"/>
      <c r="U197" s="152"/>
      <c r="V197" s="153"/>
      <c r="W197" s="154"/>
      <c r="X197" s="154"/>
    </row>
    <row r="198" spans="1:24" s="155" customFormat="1" ht="37.5">
      <c r="A198" s="145"/>
      <c r="B198" s="144"/>
      <c r="C198" s="88" t="s">
        <v>88</v>
      </c>
      <c r="D198" s="108">
        <v>930000</v>
      </c>
      <c r="E198" s="55">
        <v>1</v>
      </c>
      <c r="F198" s="149">
        <v>0</v>
      </c>
      <c r="G198" s="149">
        <v>0</v>
      </c>
      <c r="H198" s="149">
        <v>0</v>
      </c>
      <c r="I198" s="149">
        <v>0</v>
      </c>
      <c r="J198" s="149">
        <f>D198</f>
        <v>930000</v>
      </c>
      <c r="K198" s="149">
        <f t="shared" si="10"/>
        <v>930000</v>
      </c>
      <c r="L198" s="640" t="s">
        <v>237</v>
      </c>
      <c r="M198" s="218" t="s">
        <v>74</v>
      </c>
      <c r="N198" s="218" t="s">
        <v>74</v>
      </c>
      <c r="O198" s="218" t="s">
        <v>21</v>
      </c>
      <c r="P198" s="142" t="s">
        <v>173</v>
      </c>
      <c r="Q198" s="150"/>
      <c r="R198" s="151"/>
      <c r="S198" s="151"/>
      <c r="T198" s="151"/>
      <c r="U198" s="152"/>
      <c r="V198" s="153"/>
      <c r="W198" s="154"/>
      <c r="X198" s="154"/>
    </row>
    <row r="199" spans="1:24" s="155" customFormat="1" ht="37.5">
      <c r="A199" s="145"/>
      <c r="B199" s="144"/>
      <c r="C199" s="88" t="s">
        <v>89</v>
      </c>
      <c r="D199" s="108">
        <f>55000*2</f>
        <v>110000</v>
      </c>
      <c r="E199" s="55">
        <v>2</v>
      </c>
      <c r="F199" s="149">
        <v>0</v>
      </c>
      <c r="G199" s="149">
        <v>0</v>
      </c>
      <c r="H199" s="149">
        <v>0</v>
      </c>
      <c r="I199" s="149">
        <v>0</v>
      </c>
      <c r="J199" s="149">
        <f>D199*E199</f>
        <v>220000</v>
      </c>
      <c r="K199" s="149">
        <f t="shared" si="10"/>
        <v>220000</v>
      </c>
      <c r="L199" s="640" t="s">
        <v>237</v>
      </c>
      <c r="M199" s="218" t="s">
        <v>74</v>
      </c>
      <c r="N199" s="218" t="s">
        <v>74</v>
      </c>
      <c r="O199" s="218" t="s">
        <v>21</v>
      </c>
      <c r="P199" s="142" t="s">
        <v>173</v>
      </c>
      <c r="Q199" s="150"/>
      <c r="R199" s="151"/>
      <c r="S199" s="151"/>
      <c r="T199" s="151"/>
      <c r="U199" s="152"/>
      <c r="V199" s="153"/>
      <c r="W199" s="154"/>
      <c r="X199" s="154"/>
    </row>
    <row r="200" spans="1:24" s="155" customFormat="1">
      <c r="A200" s="145"/>
      <c r="B200" s="144"/>
      <c r="C200" s="88" t="s">
        <v>63</v>
      </c>
      <c r="D200" s="108">
        <v>260000</v>
      </c>
      <c r="E200" s="55">
        <v>1</v>
      </c>
      <c r="F200" s="149">
        <v>0</v>
      </c>
      <c r="G200" s="149">
        <v>0</v>
      </c>
      <c r="H200" s="149">
        <v>0</v>
      </c>
      <c r="I200" s="149">
        <v>0</v>
      </c>
      <c r="J200" s="149">
        <f>D200</f>
        <v>260000</v>
      </c>
      <c r="K200" s="149">
        <f t="shared" si="10"/>
        <v>260000</v>
      </c>
      <c r="L200" s="640" t="s">
        <v>237</v>
      </c>
      <c r="M200" s="218" t="s">
        <v>74</v>
      </c>
      <c r="N200" s="218" t="s">
        <v>74</v>
      </c>
      <c r="O200" s="218" t="s">
        <v>21</v>
      </c>
      <c r="P200" s="142" t="s">
        <v>173</v>
      </c>
      <c r="Q200" s="150"/>
      <c r="R200" s="151"/>
      <c r="S200" s="151"/>
      <c r="T200" s="151"/>
      <c r="U200" s="152"/>
      <c r="V200" s="153"/>
      <c r="W200" s="154"/>
      <c r="X200" s="154"/>
    </row>
    <row r="201" spans="1:24" s="155" customFormat="1" ht="37.5">
      <c r="A201" s="145"/>
      <c r="B201" s="144"/>
      <c r="C201" s="88" t="s">
        <v>90</v>
      </c>
      <c r="D201" s="108">
        <f>55000*4</f>
        <v>220000</v>
      </c>
      <c r="E201" s="55">
        <v>4</v>
      </c>
      <c r="F201" s="149">
        <v>0</v>
      </c>
      <c r="G201" s="149">
        <v>0</v>
      </c>
      <c r="H201" s="149">
        <v>0</v>
      </c>
      <c r="I201" s="149">
        <v>0</v>
      </c>
      <c r="J201" s="149">
        <f>D201*E201</f>
        <v>880000</v>
      </c>
      <c r="K201" s="149">
        <f t="shared" si="10"/>
        <v>880000</v>
      </c>
      <c r="L201" s="640" t="s">
        <v>237</v>
      </c>
      <c r="M201" s="218" t="s">
        <v>74</v>
      </c>
      <c r="N201" s="218" t="s">
        <v>74</v>
      </c>
      <c r="O201" s="218" t="s">
        <v>21</v>
      </c>
      <c r="P201" s="142" t="s">
        <v>173</v>
      </c>
      <c r="Q201" s="150"/>
      <c r="R201" s="151"/>
      <c r="S201" s="151"/>
      <c r="T201" s="151"/>
      <c r="U201" s="152"/>
      <c r="V201" s="153"/>
      <c r="W201" s="154"/>
      <c r="X201" s="154"/>
    </row>
    <row r="202" spans="1:24" s="155" customFormat="1" ht="56.25">
      <c r="A202" s="145"/>
      <c r="B202" s="144"/>
      <c r="C202" s="76" t="s">
        <v>92</v>
      </c>
      <c r="D202" s="77">
        <v>480000</v>
      </c>
      <c r="E202" s="55">
        <v>1</v>
      </c>
      <c r="F202" s="149">
        <f>D202</f>
        <v>480000</v>
      </c>
      <c r="G202" s="149">
        <v>0</v>
      </c>
      <c r="H202" s="149">
        <v>0</v>
      </c>
      <c r="I202" s="149">
        <v>0</v>
      </c>
      <c r="J202" s="149">
        <v>0</v>
      </c>
      <c r="K202" s="149">
        <f t="shared" si="10"/>
        <v>480000</v>
      </c>
      <c r="L202" s="641" t="s">
        <v>238</v>
      </c>
      <c r="M202" s="221" t="s">
        <v>93</v>
      </c>
      <c r="N202" s="221" t="s">
        <v>93</v>
      </c>
      <c r="O202" s="221" t="s">
        <v>21</v>
      </c>
      <c r="P202" s="142" t="s">
        <v>173</v>
      </c>
      <c r="Q202" s="150"/>
      <c r="R202" s="151"/>
      <c r="S202" s="151"/>
      <c r="T202" s="151"/>
      <c r="U202" s="152"/>
      <c r="V202" s="153"/>
      <c r="W202" s="154"/>
      <c r="X202" s="154"/>
    </row>
    <row r="203" spans="1:24" s="155" customFormat="1" ht="59.25">
      <c r="A203" s="145"/>
      <c r="B203" s="144"/>
      <c r="C203" s="76" t="s">
        <v>94</v>
      </c>
      <c r="D203" s="77">
        <v>450000</v>
      </c>
      <c r="E203" s="55">
        <v>1</v>
      </c>
      <c r="F203" s="149">
        <f>D203</f>
        <v>450000</v>
      </c>
      <c r="G203" s="149">
        <v>0</v>
      </c>
      <c r="H203" s="149">
        <v>0</v>
      </c>
      <c r="I203" s="149">
        <v>0</v>
      </c>
      <c r="J203" s="149">
        <v>0</v>
      </c>
      <c r="K203" s="149">
        <f t="shared" si="10"/>
        <v>450000</v>
      </c>
      <c r="L203" s="641" t="s">
        <v>238</v>
      </c>
      <c r="M203" s="221" t="s">
        <v>93</v>
      </c>
      <c r="N203" s="221" t="s">
        <v>93</v>
      </c>
      <c r="O203" s="221" t="s">
        <v>21</v>
      </c>
      <c r="P203" s="142" t="s">
        <v>173</v>
      </c>
      <c r="Q203" s="150"/>
      <c r="R203" s="151"/>
      <c r="S203" s="151"/>
      <c r="T203" s="151"/>
      <c r="U203" s="152"/>
      <c r="V203" s="153"/>
      <c r="W203" s="154"/>
      <c r="X203" s="154"/>
    </row>
    <row r="204" spans="1:24" s="155" customFormat="1" ht="37.5">
      <c r="A204" s="145"/>
      <c r="B204" s="144"/>
      <c r="C204" s="76" t="s">
        <v>95</v>
      </c>
      <c r="D204" s="77">
        <v>260000</v>
      </c>
      <c r="E204" s="55">
        <v>1</v>
      </c>
      <c r="F204" s="149">
        <f>D204</f>
        <v>260000</v>
      </c>
      <c r="G204" s="149">
        <v>0</v>
      </c>
      <c r="H204" s="149">
        <v>0</v>
      </c>
      <c r="I204" s="149">
        <v>0</v>
      </c>
      <c r="J204" s="149">
        <v>0</v>
      </c>
      <c r="K204" s="149">
        <f t="shared" si="10"/>
        <v>260000</v>
      </c>
      <c r="L204" s="641" t="s">
        <v>238</v>
      </c>
      <c r="M204" s="221" t="s">
        <v>93</v>
      </c>
      <c r="N204" s="221" t="s">
        <v>93</v>
      </c>
      <c r="O204" s="221" t="s">
        <v>21</v>
      </c>
      <c r="P204" s="142" t="s">
        <v>173</v>
      </c>
      <c r="Q204" s="150"/>
      <c r="R204" s="151"/>
      <c r="S204" s="151"/>
      <c r="T204" s="151"/>
      <c r="U204" s="152"/>
      <c r="V204" s="153"/>
      <c r="W204" s="154"/>
      <c r="X204" s="154"/>
    </row>
    <row r="205" spans="1:24" s="155" customFormat="1" ht="37.5">
      <c r="A205" s="145"/>
      <c r="B205" s="144"/>
      <c r="C205" s="76" t="s">
        <v>96</v>
      </c>
      <c r="D205" s="77">
        <v>300000</v>
      </c>
      <c r="E205" s="55">
        <v>1</v>
      </c>
      <c r="F205" s="149">
        <f>D205</f>
        <v>300000</v>
      </c>
      <c r="G205" s="149">
        <v>0</v>
      </c>
      <c r="H205" s="149">
        <v>0</v>
      </c>
      <c r="I205" s="149">
        <v>0</v>
      </c>
      <c r="J205" s="149">
        <v>0</v>
      </c>
      <c r="K205" s="149">
        <f t="shared" si="10"/>
        <v>300000</v>
      </c>
      <c r="L205" s="641" t="s">
        <v>238</v>
      </c>
      <c r="M205" s="221" t="s">
        <v>93</v>
      </c>
      <c r="N205" s="221" t="s">
        <v>93</v>
      </c>
      <c r="O205" s="221" t="s">
        <v>21</v>
      </c>
      <c r="P205" s="142" t="s">
        <v>173</v>
      </c>
      <c r="Q205" s="150"/>
      <c r="R205" s="151"/>
      <c r="S205" s="151"/>
      <c r="T205" s="151"/>
      <c r="U205" s="152"/>
      <c r="V205" s="153"/>
      <c r="W205" s="154"/>
      <c r="X205" s="154"/>
    </row>
    <row r="206" spans="1:24" s="155" customFormat="1" ht="56.25">
      <c r="A206" s="145"/>
      <c r="B206" s="144"/>
      <c r="C206" s="76" t="s">
        <v>97</v>
      </c>
      <c r="D206" s="77">
        <v>523000</v>
      </c>
      <c r="E206" s="55">
        <v>1</v>
      </c>
      <c r="F206" s="149">
        <f>D206</f>
        <v>523000</v>
      </c>
      <c r="G206" s="149">
        <v>0</v>
      </c>
      <c r="H206" s="149">
        <v>0</v>
      </c>
      <c r="I206" s="149">
        <v>0</v>
      </c>
      <c r="J206" s="149">
        <v>0</v>
      </c>
      <c r="K206" s="149">
        <f t="shared" si="10"/>
        <v>523000</v>
      </c>
      <c r="L206" s="642" t="s">
        <v>98</v>
      </c>
      <c r="M206" s="221" t="s">
        <v>93</v>
      </c>
      <c r="N206" s="221" t="s">
        <v>93</v>
      </c>
      <c r="O206" s="221" t="s">
        <v>21</v>
      </c>
      <c r="P206" s="142" t="s">
        <v>173</v>
      </c>
      <c r="Q206" s="150"/>
      <c r="R206" s="151"/>
      <c r="S206" s="151"/>
      <c r="T206" s="151"/>
      <c r="U206" s="152"/>
      <c r="V206" s="153"/>
      <c r="W206" s="154"/>
      <c r="X206" s="154"/>
    </row>
    <row r="207" spans="1:24" s="155" customFormat="1" ht="56.25">
      <c r="A207" s="145"/>
      <c r="B207" s="144"/>
      <c r="C207" s="88" t="s">
        <v>99</v>
      </c>
      <c r="D207" s="110">
        <v>1800000</v>
      </c>
      <c r="E207" s="111">
        <v>4</v>
      </c>
      <c r="F207" s="149">
        <v>0</v>
      </c>
      <c r="G207" s="149">
        <f>D207*2</f>
        <v>3600000</v>
      </c>
      <c r="H207" s="149">
        <v>0</v>
      </c>
      <c r="I207" s="149">
        <v>0</v>
      </c>
      <c r="J207" s="149">
        <f>G207</f>
        <v>3600000</v>
      </c>
      <c r="K207" s="149">
        <f>D207*E207</f>
        <v>7200000</v>
      </c>
      <c r="L207" s="643" t="s">
        <v>100</v>
      </c>
      <c r="M207" s="184" t="s">
        <v>159</v>
      </c>
      <c r="N207" s="184" t="s">
        <v>239</v>
      </c>
      <c r="O207" s="132" t="s">
        <v>21</v>
      </c>
      <c r="P207" s="184" t="s">
        <v>4</v>
      </c>
      <c r="Q207" s="150"/>
      <c r="R207" s="151"/>
      <c r="S207" s="151"/>
      <c r="T207" s="151"/>
      <c r="U207" s="152"/>
      <c r="V207" s="153"/>
      <c r="W207" s="154"/>
      <c r="X207" s="154"/>
    </row>
    <row r="208" spans="1:24" s="155" customFormat="1" ht="56.25">
      <c r="A208" s="145"/>
      <c r="B208" s="144"/>
      <c r="C208" s="88" t="s">
        <v>101</v>
      </c>
      <c r="D208" s="110">
        <v>100000</v>
      </c>
      <c r="E208" s="111">
        <v>1</v>
      </c>
      <c r="F208" s="149">
        <v>0</v>
      </c>
      <c r="G208" s="149">
        <f>D208</f>
        <v>100000</v>
      </c>
      <c r="H208" s="149">
        <v>0</v>
      </c>
      <c r="I208" s="149">
        <v>0</v>
      </c>
      <c r="J208" s="149">
        <v>0</v>
      </c>
      <c r="K208" s="149">
        <f>D208*E208</f>
        <v>100000</v>
      </c>
      <c r="L208" s="643" t="s">
        <v>100</v>
      </c>
      <c r="M208" s="184" t="s">
        <v>159</v>
      </c>
      <c r="N208" s="184" t="s">
        <v>239</v>
      </c>
      <c r="O208" s="132" t="s">
        <v>21</v>
      </c>
      <c r="P208" s="184" t="s">
        <v>4</v>
      </c>
      <c r="Q208" s="150"/>
      <c r="R208" s="151"/>
      <c r="S208" s="151"/>
      <c r="T208" s="151"/>
      <c r="U208" s="152"/>
      <c r="V208" s="153"/>
      <c r="W208" s="154"/>
      <c r="X208" s="154"/>
    </row>
    <row r="209" spans="1:24" s="155" customFormat="1" ht="56.25">
      <c r="A209" s="145"/>
      <c r="B209" s="144"/>
      <c r="C209" s="88" t="s">
        <v>102</v>
      </c>
      <c r="D209" s="110">
        <v>520000</v>
      </c>
      <c r="E209" s="111">
        <v>1</v>
      </c>
      <c r="F209" s="149">
        <f t="shared" ref="F209:F215" si="11">D209</f>
        <v>520000</v>
      </c>
      <c r="G209" s="149">
        <v>0</v>
      </c>
      <c r="H209" s="149">
        <v>0</v>
      </c>
      <c r="I209" s="149">
        <v>0</v>
      </c>
      <c r="J209" s="149">
        <v>0</v>
      </c>
      <c r="K209" s="149">
        <f t="shared" ref="K209:K237" si="12">SUM(F209:J209)</f>
        <v>520000</v>
      </c>
      <c r="L209" s="643" t="s">
        <v>100</v>
      </c>
      <c r="M209" s="184" t="s">
        <v>159</v>
      </c>
      <c r="N209" s="184" t="s">
        <v>239</v>
      </c>
      <c r="O209" s="132" t="s">
        <v>21</v>
      </c>
      <c r="P209" s="184" t="s">
        <v>4</v>
      </c>
      <c r="Q209" s="150"/>
      <c r="R209" s="151"/>
      <c r="S209" s="151"/>
      <c r="T209" s="151"/>
      <c r="U209" s="152"/>
      <c r="V209" s="153"/>
      <c r="W209" s="154"/>
      <c r="X209" s="154"/>
    </row>
    <row r="210" spans="1:24" s="155" customFormat="1" ht="56.25">
      <c r="A210" s="145"/>
      <c r="B210" s="144"/>
      <c r="C210" s="88" t="s">
        <v>103</v>
      </c>
      <c r="D210" s="110">
        <v>910000</v>
      </c>
      <c r="E210" s="111">
        <v>1</v>
      </c>
      <c r="F210" s="149">
        <f t="shared" si="11"/>
        <v>910000</v>
      </c>
      <c r="G210" s="149">
        <v>0</v>
      </c>
      <c r="H210" s="149">
        <v>0</v>
      </c>
      <c r="I210" s="149">
        <v>0</v>
      </c>
      <c r="J210" s="149">
        <v>0</v>
      </c>
      <c r="K210" s="149">
        <f t="shared" si="12"/>
        <v>910000</v>
      </c>
      <c r="L210" s="643" t="s">
        <v>100</v>
      </c>
      <c r="M210" s="184" t="s">
        <v>159</v>
      </c>
      <c r="N210" s="184" t="s">
        <v>239</v>
      </c>
      <c r="O210" s="132" t="s">
        <v>21</v>
      </c>
      <c r="P210" s="184" t="s">
        <v>4</v>
      </c>
      <c r="Q210" s="150"/>
      <c r="R210" s="151"/>
      <c r="S210" s="151"/>
      <c r="T210" s="151"/>
      <c r="U210" s="152"/>
      <c r="V210" s="153"/>
      <c r="W210" s="154"/>
      <c r="X210" s="154"/>
    </row>
    <row r="211" spans="1:24" s="155" customFormat="1" ht="56.25">
      <c r="A211" s="145"/>
      <c r="B211" s="144"/>
      <c r="C211" s="88" t="s">
        <v>104</v>
      </c>
      <c r="D211" s="110">
        <v>520000</v>
      </c>
      <c r="E211" s="111">
        <v>1</v>
      </c>
      <c r="F211" s="149">
        <f t="shared" si="11"/>
        <v>520000</v>
      </c>
      <c r="G211" s="149">
        <v>0</v>
      </c>
      <c r="H211" s="149">
        <v>0</v>
      </c>
      <c r="I211" s="149">
        <v>0</v>
      </c>
      <c r="J211" s="149">
        <v>0</v>
      </c>
      <c r="K211" s="149">
        <f t="shared" si="12"/>
        <v>520000</v>
      </c>
      <c r="L211" s="643" t="s">
        <v>100</v>
      </c>
      <c r="M211" s="184" t="s">
        <v>159</v>
      </c>
      <c r="N211" s="184" t="s">
        <v>239</v>
      </c>
      <c r="O211" s="132" t="s">
        <v>21</v>
      </c>
      <c r="P211" s="184" t="s">
        <v>4</v>
      </c>
      <c r="Q211" s="150"/>
      <c r="R211" s="151"/>
      <c r="S211" s="151"/>
      <c r="T211" s="151"/>
      <c r="U211" s="152"/>
      <c r="V211" s="153"/>
      <c r="W211" s="154"/>
      <c r="X211" s="154"/>
    </row>
    <row r="212" spans="1:24" s="155" customFormat="1" ht="56.25">
      <c r="A212" s="145"/>
      <c r="B212" s="144"/>
      <c r="C212" s="88" t="s">
        <v>105</v>
      </c>
      <c r="D212" s="110">
        <v>1200000</v>
      </c>
      <c r="E212" s="111">
        <v>1</v>
      </c>
      <c r="F212" s="149">
        <f t="shared" si="11"/>
        <v>1200000</v>
      </c>
      <c r="G212" s="149">
        <v>0</v>
      </c>
      <c r="H212" s="149">
        <v>0</v>
      </c>
      <c r="I212" s="149">
        <v>0</v>
      </c>
      <c r="J212" s="149">
        <v>0</v>
      </c>
      <c r="K212" s="149">
        <f t="shared" si="12"/>
        <v>1200000</v>
      </c>
      <c r="L212" s="643" t="s">
        <v>100</v>
      </c>
      <c r="M212" s="184" t="s">
        <v>159</v>
      </c>
      <c r="N212" s="184" t="s">
        <v>239</v>
      </c>
      <c r="O212" s="132" t="s">
        <v>21</v>
      </c>
      <c r="P212" s="184" t="s">
        <v>4</v>
      </c>
      <c r="Q212" s="150"/>
      <c r="R212" s="151"/>
      <c r="S212" s="151"/>
      <c r="T212" s="151"/>
      <c r="U212" s="152"/>
      <c r="V212" s="153"/>
      <c r="W212" s="154"/>
      <c r="X212" s="154"/>
    </row>
    <row r="213" spans="1:24" s="155" customFormat="1" ht="56.25">
      <c r="A213" s="145"/>
      <c r="B213" s="144"/>
      <c r="C213" s="88" t="s">
        <v>106</v>
      </c>
      <c r="D213" s="110">
        <v>321000</v>
      </c>
      <c r="E213" s="111">
        <v>1</v>
      </c>
      <c r="F213" s="149">
        <f t="shared" si="11"/>
        <v>321000</v>
      </c>
      <c r="G213" s="149">
        <v>0</v>
      </c>
      <c r="H213" s="149">
        <v>0</v>
      </c>
      <c r="I213" s="149">
        <v>0</v>
      </c>
      <c r="J213" s="149">
        <v>0</v>
      </c>
      <c r="K213" s="149">
        <f t="shared" si="12"/>
        <v>321000</v>
      </c>
      <c r="L213" s="643" t="s">
        <v>100</v>
      </c>
      <c r="M213" s="184" t="s">
        <v>159</v>
      </c>
      <c r="N213" s="184" t="s">
        <v>239</v>
      </c>
      <c r="O213" s="132" t="s">
        <v>21</v>
      </c>
      <c r="P213" s="184" t="s">
        <v>4</v>
      </c>
      <c r="Q213" s="150"/>
      <c r="R213" s="151"/>
      <c r="S213" s="151"/>
      <c r="T213" s="151"/>
      <c r="U213" s="152"/>
      <c r="V213" s="153"/>
      <c r="W213" s="154"/>
      <c r="X213" s="154"/>
    </row>
    <row r="214" spans="1:24" s="155" customFormat="1" ht="56.25">
      <c r="A214" s="145"/>
      <c r="B214" s="144"/>
      <c r="C214" s="88" t="s">
        <v>107</v>
      </c>
      <c r="D214" s="110">
        <v>535000</v>
      </c>
      <c r="E214" s="111">
        <v>1</v>
      </c>
      <c r="F214" s="149">
        <f t="shared" si="11"/>
        <v>535000</v>
      </c>
      <c r="G214" s="149">
        <v>0</v>
      </c>
      <c r="H214" s="149">
        <v>0</v>
      </c>
      <c r="I214" s="149">
        <v>0</v>
      </c>
      <c r="J214" s="149">
        <v>0</v>
      </c>
      <c r="K214" s="149">
        <f t="shared" si="12"/>
        <v>535000</v>
      </c>
      <c r="L214" s="643" t="s">
        <v>100</v>
      </c>
      <c r="M214" s="184" t="s">
        <v>159</v>
      </c>
      <c r="N214" s="184" t="s">
        <v>239</v>
      </c>
      <c r="O214" s="132" t="s">
        <v>21</v>
      </c>
      <c r="P214" s="184" t="s">
        <v>4</v>
      </c>
      <c r="Q214" s="150"/>
      <c r="R214" s="151"/>
      <c r="S214" s="151"/>
      <c r="T214" s="151"/>
      <c r="U214" s="152"/>
      <c r="V214" s="153"/>
      <c r="W214" s="154"/>
      <c r="X214" s="154"/>
    </row>
    <row r="215" spans="1:24" s="155" customFormat="1" ht="39.75" customHeight="1">
      <c r="A215" s="145"/>
      <c r="B215" s="144"/>
      <c r="C215" s="88" t="s">
        <v>108</v>
      </c>
      <c r="D215" s="110">
        <v>70000</v>
      </c>
      <c r="E215" s="111">
        <v>1</v>
      </c>
      <c r="F215" s="149">
        <f t="shared" si="11"/>
        <v>70000</v>
      </c>
      <c r="G215" s="149">
        <v>0</v>
      </c>
      <c r="H215" s="149">
        <v>0</v>
      </c>
      <c r="I215" s="149">
        <v>0</v>
      </c>
      <c r="J215" s="149">
        <v>0</v>
      </c>
      <c r="K215" s="149">
        <f t="shared" si="12"/>
        <v>70000</v>
      </c>
      <c r="L215" s="643" t="s">
        <v>100</v>
      </c>
      <c r="M215" s="184" t="s">
        <v>159</v>
      </c>
      <c r="N215" s="184" t="s">
        <v>239</v>
      </c>
      <c r="O215" s="132" t="s">
        <v>21</v>
      </c>
      <c r="P215" s="184" t="s">
        <v>4</v>
      </c>
      <c r="Q215" s="150"/>
      <c r="R215" s="151"/>
      <c r="S215" s="151"/>
      <c r="T215" s="151"/>
      <c r="U215" s="152"/>
      <c r="V215" s="153"/>
      <c r="W215" s="154"/>
      <c r="X215" s="154"/>
    </row>
    <row r="216" spans="1:24" s="155" customFormat="1" ht="54.75" customHeight="1">
      <c r="A216" s="145"/>
      <c r="B216" s="144"/>
      <c r="C216" s="88" t="s">
        <v>109</v>
      </c>
      <c r="D216" s="110">
        <v>125000</v>
      </c>
      <c r="E216" s="111">
        <v>5</v>
      </c>
      <c r="F216" s="149">
        <v>0</v>
      </c>
      <c r="G216" s="149">
        <v>0</v>
      </c>
      <c r="H216" s="149">
        <v>0</v>
      </c>
      <c r="I216" s="149">
        <v>0</v>
      </c>
      <c r="J216" s="149">
        <f>D216*E216</f>
        <v>625000</v>
      </c>
      <c r="K216" s="149">
        <f t="shared" si="12"/>
        <v>625000</v>
      </c>
      <c r="L216" s="643" t="s">
        <v>100</v>
      </c>
      <c r="M216" s="184" t="s">
        <v>159</v>
      </c>
      <c r="N216" s="184" t="s">
        <v>239</v>
      </c>
      <c r="O216" s="132" t="s">
        <v>21</v>
      </c>
      <c r="P216" s="184" t="s">
        <v>4</v>
      </c>
      <c r="Q216" s="150"/>
      <c r="R216" s="151"/>
      <c r="S216" s="151"/>
      <c r="T216" s="151"/>
      <c r="U216" s="152"/>
      <c r="V216" s="153"/>
      <c r="W216" s="154"/>
      <c r="X216" s="154"/>
    </row>
    <row r="217" spans="1:24" s="155" customFormat="1" ht="56.25">
      <c r="A217" s="145"/>
      <c r="B217" s="144"/>
      <c r="C217" s="88" t="s">
        <v>110</v>
      </c>
      <c r="D217" s="110">
        <v>250000</v>
      </c>
      <c r="E217" s="111">
        <v>5</v>
      </c>
      <c r="F217" s="149">
        <v>0</v>
      </c>
      <c r="G217" s="149">
        <v>0</v>
      </c>
      <c r="H217" s="149">
        <v>0</v>
      </c>
      <c r="I217" s="149">
        <v>0</v>
      </c>
      <c r="J217" s="149">
        <f>D217*E216</f>
        <v>1250000</v>
      </c>
      <c r="K217" s="149">
        <f t="shared" si="12"/>
        <v>1250000</v>
      </c>
      <c r="L217" s="643" t="s">
        <v>100</v>
      </c>
      <c r="M217" s="184" t="s">
        <v>159</v>
      </c>
      <c r="N217" s="184" t="s">
        <v>239</v>
      </c>
      <c r="O217" s="132" t="s">
        <v>21</v>
      </c>
      <c r="P217" s="184" t="s">
        <v>4</v>
      </c>
      <c r="Q217" s="150"/>
      <c r="R217" s="151"/>
      <c r="S217" s="151"/>
      <c r="T217" s="151"/>
      <c r="U217" s="152"/>
      <c r="V217" s="153"/>
      <c r="W217" s="154"/>
      <c r="X217" s="154"/>
    </row>
    <row r="218" spans="1:24" s="155" customFormat="1" ht="56.25">
      <c r="A218" s="145"/>
      <c r="B218" s="144"/>
      <c r="C218" s="88" t="s">
        <v>87</v>
      </c>
      <c r="D218" s="110">
        <v>310000</v>
      </c>
      <c r="E218" s="111">
        <v>1</v>
      </c>
      <c r="F218" s="149">
        <v>0</v>
      </c>
      <c r="G218" s="149">
        <f>D218*E218</f>
        <v>310000</v>
      </c>
      <c r="H218" s="149">
        <v>0</v>
      </c>
      <c r="I218" s="149">
        <v>0</v>
      </c>
      <c r="J218" s="149">
        <v>0</v>
      </c>
      <c r="K218" s="149">
        <f t="shared" si="12"/>
        <v>310000</v>
      </c>
      <c r="L218" s="643" t="s">
        <v>100</v>
      </c>
      <c r="M218" s="184" t="s">
        <v>159</v>
      </c>
      <c r="N218" s="184" t="s">
        <v>239</v>
      </c>
      <c r="O218" s="132" t="s">
        <v>21</v>
      </c>
      <c r="P218" s="184" t="s">
        <v>4</v>
      </c>
      <c r="Q218" s="150"/>
      <c r="R218" s="151"/>
      <c r="S218" s="151"/>
      <c r="T218" s="151"/>
      <c r="U218" s="152"/>
      <c r="V218" s="153"/>
      <c r="W218" s="154"/>
      <c r="X218" s="154"/>
    </row>
    <row r="219" spans="1:24" s="155" customFormat="1" ht="56.25">
      <c r="A219" s="145"/>
      <c r="B219" s="144"/>
      <c r="C219" s="88" t="s">
        <v>111</v>
      </c>
      <c r="D219" s="110">
        <v>4120000</v>
      </c>
      <c r="E219" s="111">
        <v>1</v>
      </c>
      <c r="F219" s="149">
        <v>0</v>
      </c>
      <c r="G219" s="149">
        <v>0</v>
      </c>
      <c r="H219" s="149">
        <v>0</v>
      </c>
      <c r="I219" s="149">
        <f>D219</f>
        <v>4120000</v>
      </c>
      <c r="J219" s="149">
        <v>0</v>
      </c>
      <c r="K219" s="149">
        <f t="shared" si="12"/>
        <v>4120000</v>
      </c>
      <c r="L219" s="643" t="s">
        <v>100</v>
      </c>
      <c r="M219" s="184" t="s">
        <v>159</v>
      </c>
      <c r="N219" s="184" t="s">
        <v>239</v>
      </c>
      <c r="O219" s="132" t="s">
        <v>21</v>
      </c>
      <c r="P219" s="184" t="s">
        <v>4</v>
      </c>
      <c r="Q219" s="150"/>
      <c r="R219" s="151"/>
      <c r="S219" s="151"/>
      <c r="T219" s="151"/>
      <c r="U219" s="152"/>
      <c r="V219" s="153"/>
      <c r="W219" s="154"/>
      <c r="X219" s="154"/>
    </row>
    <row r="220" spans="1:24" s="155" customFormat="1" ht="56.25">
      <c r="A220" s="145"/>
      <c r="B220" s="144"/>
      <c r="C220" s="88" t="s">
        <v>112</v>
      </c>
      <c r="D220" s="110">
        <v>110000</v>
      </c>
      <c r="E220" s="111">
        <v>2</v>
      </c>
      <c r="F220" s="149">
        <v>0</v>
      </c>
      <c r="G220" s="149">
        <v>0</v>
      </c>
      <c r="H220" s="149">
        <v>0</v>
      </c>
      <c r="I220" s="149">
        <v>0</v>
      </c>
      <c r="J220" s="149">
        <f>D220*E220</f>
        <v>220000</v>
      </c>
      <c r="K220" s="149">
        <f t="shared" si="12"/>
        <v>220000</v>
      </c>
      <c r="L220" s="643" t="s">
        <v>100</v>
      </c>
      <c r="M220" s="184" t="s">
        <v>159</v>
      </c>
      <c r="N220" s="184" t="s">
        <v>239</v>
      </c>
      <c r="O220" s="132" t="s">
        <v>21</v>
      </c>
      <c r="P220" s="184" t="s">
        <v>4</v>
      </c>
      <c r="Q220" s="150"/>
      <c r="R220" s="151"/>
      <c r="S220" s="151"/>
      <c r="T220" s="151"/>
      <c r="U220" s="152"/>
      <c r="V220" s="153"/>
      <c r="W220" s="154"/>
      <c r="X220" s="154"/>
    </row>
    <row r="221" spans="1:24" s="155" customFormat="1" ht="56.25">
      <c r="A221" s="145"/>
      <c r="B221" s="144"/>
      <c r="C221" s="88" t="s">
        <v>113</v>
      </c>
      <c r="D221" s="110">
        <v>830000</v>
      </c>
      <c r="E221" s="111">
        <v>1</v>
      </c>
      <c r="F221" s="149">
        <v>0</v>
      </c>
      <c r="G221" s="149">
        <f>D221</f>
        <v>830000</v>
      </c>
      <c r="H221" s="149">
        <v>0</v>
      </c>
      <c r="I221" s="149">
        <v>0</v>
      </c>
      <c r="J221" s="149">
        <v>0</v>
      </c>
      <c r="K221" s="149">
        <f t="shared" si="12"/>
        <v>830000</v>
      </c>
      <c r="L221" s="643" t="s">
        <v>100</v>
      </c>
      <c r="M221" s="184" t="s">
        <v>159</v>
      </c>
      <c r="N221" s="184" t="s">
        <v>239</v>
      </c>
      <c r="O221" s="132" t="s">
        <v>21</v>
      </c>
      <c r="P221" s="184" t="s">
        <v>4</v>
      </c>
      <c r="Q221" s="150"/>
      <c r="R221" s="151"/>
      <c r="S221" s="151"/>
      <c r="T221" s="151"/>
      <c r="U221" s="152"/>
      <c r="V221" s="153"/>
      <c r="W221" s="154"/>
      <c r="X221" s="154"/>
    </row>
    <row r="222" spans="1:24" s="155" customFormat="1" ht="56.25">
      <c r="A222" s="145"/>
      <c r="B222" s="144"/>
      <c r="C222" s="88" t="s">
        <v>114</v>
      </c>
      <c r="D222" s="110">
        <v>3090000</v>
      </c>
      <c r="E222" s="111">
        <v>1</v>
      </c>
      <c r="F222" s="149">
        <v>0</v>
      </c>
      <c r="G222" s="149">
        <v>0</v>
      </c>
      <c r="H222" s="149">
        <f>D222</f>
        <v>3090000</v>
      </c>
      <c r="I222" s="149">
        <v>0</v>
      </c>
      <c r="J222" s="149">
        <v>0</v>
      </c>
      <c r="K222" s="149">
        <f t="shared" si="12"/>
        <v>3090000</v>
      </c>
      <c r="L222" s="643" t="s">
        <v>100</v>
      </c>
      <c r="M222" s="184" t="s">
        <v>159</v>
      </c>
      <c r="N222" s="184" t="s">
        <v>239</v>
      </c>
      <c r="O222" s="132" t="s">
        <v>21</v>
      </c>
      <c r="P222" s="184" t="s">
        <v>4</v>
      </c>
      <c r="Q222" s="150"/>
      <c r="R222" s="151"/>
      <c r="S222" s="151"/>
      <c r="T222" s="151"/>
      <c r="U222" s="152"/>
      <c r="V222" s="153"/>
      <c r="W222" s="154"/>
      <c r="X222" s="154"/>
    </row>
    <row r="223" spans="1:24" s="155" customFormat="1" ht="56.25">
      <c r="A223" s="145"/>
      <c r="B223" s="144"/>
      <c r="C223" s="88" t="s">
        <v>115</v>
      </c>
      <c r="D223" s="110">
        <v>2580000</v>
      </c>
      <c r="E223" s="111">
        <v>1</v>
      </c>
      <c r="F223" s="149">
        <v>0</v>
      </c>
      <c r="G223" s="149">
        <f>D223</f>
        <v>2580000</v>
      </c>
      <c r="H223" s="149">
        <v>0</v>
      </c>
      <c r="I223" s="149">
        <v>0</v>
      </c>
      <c r="J223" s="149">
        <v>0</v>
      </c>
      <c r="K223" s="149">
        <f t="shared" si="12"/>
        <v>2580000</v>
      </c>
      <c r="L223" s="643" t="s">
        <v>100</v>
      </c>
      <c r="M223" s="184" t="s">
        <v>159</v>
      </c>
      <c r="N223" s="184" t="s">
        <v>239</v>
      </c>
      <c r="O223" s="132" t="s">
        <v>21</v>
      </c>
      <c r="P223" s="184" t="s">
        <v>4</v>
      </c>
      <c r="Q223" s="150"/>
      <c r="R223" s="151"/>
      <c r="S223" s="151"/>
      <c r="T223" s="151"/>
      <c r="U223" s="152"/>
      <c r="V223" s="153"/>
      <c r="W223" s="154"/>
      <c r="X223" s="154"/>
    </row>
    <row r="224" spans="1:24" s="155" customFormat="1" ht="56.25">
      <c r="A224" s="145"/>
      <c r="B224" s="144"/>
      <c r="C224" s="88" t="s">
        <v>116</v>
      </c>
      <c r="D224" s="110">
        <v>215000</v>
      </c>
      <c r="E224" s="111">
        <v>1</v>
      </c>
      <c r="F224" s="149">
        <f>D224</f>
        <v>215000</v>
      </c>
      <c r="G224" s="149">
        <v>0</v>
      </c>
      <c r="H224" s="149">
        <v>0</v>
      </c>
      <c r="I224" s="149">
        <v>0</v>
      </c>
      <c r="J224" s="149">
        <v>0</v>
      </c>
      <c r="K224" s="149">
        <f t="shared" si="12"/>
        <v>215000</v>
      </c>
      <c r="L224" s="643" t="s">
        <v>100</v>
      </c>
      <c r="M224" s="184" t="s">
        <v>159</v>
      </c>
      <c r="N224" s="184" t="s">
        <v>239</v>
      </c>
      <c r="O224" s="132" t="s">
        <v>21</v>
      </c>
      <c r="P224" s="184" t="s">
        <v>4</v>
      </c>
      <c r="Q224" s="150"/>
      <c r="R224" s="151"/>
      <c r="S224" s="151"/>
      <c r="T224" s="151"/>
      <c r="U224" s="152"/>
      <c r="V224" s="153"/>
      <c r="W224" s="154"/>
      <c r="X224" s="154"/>
    </row>
    <row r="225" spans="1:24" s="155" customFormat="1" ht="56.25">
      <c r="A225" s="145"/>
      <c r="B225" s="144"/>
      <c r="C225" s="88" t="s">
        <v>92</v>
      </c>
      <c r="D225" s="110">
        <v>480000</v>
      </c>
      <c r="E225" s="111">
        <v>2</v>
      </c>
      <c r="F225" s="149">
        <v>0</v>
      </c>
      <c r="G225" s="149">
        <v>0</v>
      </c>
      <c r="H225" s="149">
        <v>0</v>
      </c>
      <c r="I225" s="149">
        <v>0</v>
      </c>
      <c r="J225" s="149">
        <f>D225*E225</f>
        <v>960000</v>
      </c>
      <c r="K225" s="149">
        <f t="shared" si="12"/>
        <v>960000</v>
      </c>
      <c r="L225" s="643" t="s">
        <v>100</v>
      </c>
      <c r="M225" s="184" t="s">
        <v>159</v>
      </c>
      <c r="N225" s="184" t="s">
        <v>239</v>
      </c>
      <c r="O225" s="132" t="s">
        <v>21</v>
      </c>
      <c r="P225" s="184" t="s">
        <v>4</v>
      </c>
      <c r="Q225" s="150"/>
      <c r="R225" s="151"/>
      <c r="S225" s="151"/>
      <c r="T225" s="151"/>
      <c r="U225" s="152"/>
      <c r="V225" s="153"/>
      <c r="W225" s="154"/>
      <c r="X225" s="154"/>
    </row>
    <row r="226" spans="1:24" s="155" customFormat="1">
      <c r="A226" s="145"/>
      <c r="B226" s="144"/>
      <c r="C226" s="74" t="s">
        <v>117</v>
      </c>
      <c r="D226" s="113">
        <v>3000000</v>
      </c>
      <c r="E226" s="55">
        <v>1</v>
      </c>
      <c r="F226" s="149">
        <f>D226</f>
        <v>3000000</v>
      </c>
      <c r="G226" s="149">
        <v>0</v>
      </c>
      <c r="H226" s="149">
        <v>0</v>
      </c>
      <c r="I226" s="149">
        <v>0</v>
      </c>
      <c r="J226" s="149">
        <v>0</v>
      </c>
      <c r="K226" s="149">
        <f t="shared" si="12"/>
        <v>3000000</v>
      </c>
      <c r="L226" s="641" t="s">
        <v>240</v>
      </c>
      <c r="M226" s="221" t="s">
        <v>159</v>
      </c>
      <c r="N226" s="221" t="s">
        <v>241</v>
      </c>
      <c r="O226" s="221" t="s">
        <v>21</v>
      </c>
      <c r="P226" s="150" t="s">
        <v>2</v>
      </c>
      <c r="Q226" s="150"/>
      <c r="R226" s="151"/>
      <c r="S226" s="151"/>
      <c r="T226" s="151"/>
      <c r="U226" s="152"/>
      <c r="V226" s="153"/>
      <c r="W226" s="154"/>
      <c r="X226" s="154"/>
    </row>
    <row r="227" spans="1:24" s="155" customFormat="1" ht="37.5">
      <c r="A227" s="145"/>
      <c r="B227" s="144"/>
      <c r="C227" s="114" t="s">
        <v>118</v>
      </c>
      <c r="D227" s="113">
        <f>5*850000</f>
        <v>4250000</v>
      </c>
      <c r="E227" s="55">
        <v>1</v>
      </c>
      <c r="F227" s="149">
        <f>D227</f>
        <v>4250000</v>
      </c>
      <c r="G227" s="149">
        <v>0</v>
      </c>
      <c r="H227" s="149">
        <v>0</v>
      </c>
      <c r="I227" s="149">
        <v>0</v>
      </c>
      <c r="J227" s="149">
        <v>0</v>
      </c>
      <c r="K227" s="149">
        <f t="shared" si="12"/>
        <v>4250000</v>
      </c>
      <c r="L227" s="641" t="s">
        <v>240</v>
      </c>
      <c r="M227" s="221" t="s">
        <v>159</v>
      </c>
      <c r="N227" s="221" t="s">
        <v>241</v>
      </c>
      <c r="O227" s="221" t="s">
        <v>21</v>
      </c>
      <c r="P227" s="222" t="s">
        <v>2</v>
      </c>
      <c r="Q227" s="150"/>
      <c r="R227" s="151"/>
      <c r="S227" s="151"/>
      <c r="T227" s="151"/>
      <c r="U227" s="152"/>
      <c r="V227" s="153"/>
      <c r="W227" s="154"/>
      <c r="X227" s="154"/>
    </row>
    <row r="228" spans="1:24" s="155" customFormat="1" ht="56.25">
      <c r="A228" s="145"/>
      <c r="B228" s="144"/>
      <c r="C228" s="114" t="s">
        <v>119</v>
      </c>
      <c r="D228" s="113">
        <f>2*1000000</f>
        <v>2000000</v>
      </c>
      <c r="E228" s="55">
        <v>1</v>
      </c>
      <c r="F228" s="149">
        <v>0</v>
      </c>
      <c r="G228" s="149">
        <f>D228</f>
        <v>2000000</v>
      </c>
      <c r="H228" s="149">
        <v>0</v>
      </c>
      <c r="I228" s="149">
        <v>0</v>
      </c>
      <c r="J228" s="149">
        <v>0</v>
      </c>
      <c r="K228" s="149">
        <f t="shared" si="12"/>
        <v>2000000</v>
      </c>
      <c r="L228" s="641" t="s">
        <v>240</v>
      </c>
      <c r="M228" s="221" t="s">
        <v>159</v>
      </c>
      <c r="N228" s="221" t="s">
        <v>241</v>
      </c>
      <c r="O228" s="221" t="s">
        <v>21</v>
      </c>
      <c r="P228" s="222" t="s">
        <v>2</v>
      </c>
      <c r="Q228" s="150"/>
      <c r="R228" s="151"/>
      <c r="S228" s="151"/>
      <c r="T228" s="151"/>
      <c r="U228" s="152"/>
      <c r="V228" s="153"/>
      <c r="W228" s="154"/>
      <c r="X228" s="154"/>
    </row>
    <row r="229" spans="1:24" s="155" customFormat="1" ht="37.5">
      <c r="A229" s="145"/>
      <c r="B229" s="144"/>
      <c r="C229" s="114" t="s">
        <v>120</v>
      </c>
      <c r="D229" s="113">
        <v>8000000</v>
      </c>
      <c r="E229" s="55">
        <v>1</v>
      </c>
      <c r="F229" s="149">
        <v>0</v>
      </c>
      <c r="G229" s="149">
        <v>0</v>
      </c>
      <c r="H229" s="149">
        <f>D229</f>
        <v>8000000</v>
      </c>
      <c r="I229" s="149">
        <v>0</v>
      </c>
      <c r="J229" s="149">
        <v>0</v>
      </c>
      <c r="K229" s="149">
        <f t="shared" si="12"/>
        <v>8000000</v>
      </c>
      <c r="L229" s="641" t="s">
        <v>240</v>
      </c>
      <c r="M229" s="221" t="s">
        <v>159</v>
      </c>
      <c r="N229" s="221" t="s">
        <v>241</v>
      </c>
      <c r="O229" s="221" t="s">
        <v>21</v>
      </c>
      <c r="P229" s="222" t="s">
        <v>2</v>
      </c>
      <c r="Q229" s="150"/>
      <c r="R229" s="151"/>
      <c r="S229" s="151"/>
      <c r="T229" s="151"/>
      <c r="U229" s="152"/>
      <c r="V229" s="153"/>
      <c r="W229" s="154"/>
      <c r="X229" s="154"/>
    </row>
    <row r="230" spans="1:24" s="155" customFormat="1" ht="37.5">
      <c r="A230" s="145"/>
      <c r="B230" s="144"/>
      <c r="C230" s="114" t="s">
        <v>121</v>
      </c>
      <c r="D230" s="113">
        <f>2*8000000</f>
        <v>16000000</v>
      </c>
      <c r="E230" s="55">
        <v>1</v>
      </c>
      <c r="F230" s="149">
        <v>0</v>
      </c>
      <c r="G230" s="149">
        <v>0</v>
      </c>
      <c r="H230" s="149">
        <v>0</v>
      </c>
      <c r="I230" s="149">
        <f>D230</f>
        <v>16000000</v>
      </c>
      <c r="J230" s="149">
        <v>0</v>
      </c>
      <c r="K230" s="149">
        <f t="shared" si="12"/>
        <v>16000000</v>
      </c>
      <c r="L230" s="641" t="s">
        <v>240</v>
      </c>
      <c r="M230" s="221" t="s">
        <v>159</v>
      </c>
      <c r="N230" s="221" t="s">
        <v>241</v>
      </c>
      <c r="O230" s="221" t="s">
        <v>21</v>
      </c>
      <c r="P230" s="222" t="s">
        <v>2</v>
      </c>
      <c r="Q230" s="150"/>
      <c r="R230" s="151"/>
      <c r="S230" s="151"/>
      <c r="T230" s="151"/>
      <c r="U230" s="152"/>
      <c r="V230" s="153"/>
      <c r="W230" s="154"/>
      <c r="X230" s="154"/>
    </row>
    <row r="231" spans="1:24" s="155" customFormat="1" ht="56.25">
      <c r="A231" s="145"/>
      <c r="B231" s="144"/>
      <c r="C231" s="114" t="s">
        <v>122</v>
      </c>
      <c r="D231" s="113">
        <v>20000000</v>
      </c>
      <c r="E231" s="55">
        <v>1</v>
      </c>
      <c r="F231" s="149">
        <v>0</v>
      </c>
      <c r="G231" s="149">
        <v>0</v>
      </c>
      <c r="H231" s="149">
        <v>0</v>
      </c>
      <c r="I231" s="149">
        <v>0</v>
      </c>
      <c r="J231" s="149">
        <f>D231</f>
        <v>20000000</v>
      </c>
      <c r="K231" s="149">
        <f t="shared" si="12"/>
        <v>20000000</v>
      </c>
      <c r="L231" s="641" t="s">
        <v>240</v>
      </c>
      <c r="M231" s="221" t="s">
        <v>159</v>
      </c>
      <c r="N231" s="221" t="s">
        <v>241</v>
      </c>
      <c r="O231" s="221" t="s">
        <v>21</v>
      </c>
      <c r="P231" s="222" t="s">
        <v>2</v>
      </c>
      <c r="Q231" s="150"/>
      <c r="R231" s="151"/>
      <c r="S231" s="151"/>
      <c r="T231" s="151"/>
      <c r="U231" s="152"/>
      <c r="V231" s="153"/>
      <c r="W231" s="154"/>
      <c r="X231" s="154"/>
    </row>
    <row r="232" spans="1:24" s="155" customFormat="1" ht="56.25">
      <c r="A232" s="145"/>
      <c r="B232" s="144"/>
      <c r="C232" s="88" t="s">
        <v>123</v>
      </c>
      <c r="D232" s="113">
        <v>896000</v>
      </c>
      <c r="E232" s="55">
        <v>1</v>
      </c>
      <c r="F232" s="149">
        <f>D232</f>
        <v>896000</v>
      </c>
      <c r="G232" s="149">
        <v>0</v>
      </c>
      <c r="H232" s="149">
        <v>0</v>
      </c>
      <c r="I232" s="149">
        <v>0</v>
      </c>
      <c r="J232" s="149">
        <v>0</v>
      </c>
      <c r="K232" s="149">
        <f t="shared" si="12"/>
        <v>896000</v>
      </c>
      <c r="L232" s="641" t="s">
        <v>124</v>
      </c>
      <c r="M232" s="221" t="s">
        <v>159</v>
      </c>
      <c r="N232" s="221" t="s">
        <v>242</v>
      </c>
      <c r="O232" s="221" t="s">
        <v>21</v>
      </c>
      <c r="P232" s="221" t="s">
        <v>10</v>
      </c>
      <c r="Q232" s="150"/>
      <c r="R232" s="151"/>
      <c r="S232" s="151"/>
      <c r="T232" s="151"/>
      <c r="U232" s="152"/>
      <c r="V232" s="153"/>
      <c r="W232" s="154"/>
      <c r="X232" s="154"/>
    </row>
    <row r="233" spans="1:24" s="155" customFormat="1" ht="56.25">
      <c r="A233" s="145"/>
      <c r="B233" s="144"/>
      <c r="C233" s="88" t="s">
        <v>125</v>
      </c>
      <c r="D233" s="113">
        <v>722000</v>
      </c>
      <c r="E233" s="55">
        <v>1</v>
      </c>
      <c r="F233" s="149">
        <v>0</v>
      </c>
      <c r="G233" s="149">
        <f>D233</f>
        <v>722000</v>
      </c>
      <c r="H233" s="149">
        <v>0</v>
      </c>
      <c r="I233" s="149">
        <v>0</v>
      </c>
      <c r="J233" s="149">
        <v>0</v>
      </c>
      <c r="K233" s="149">
        <f t="shared" si="12"/>
        <v>722000</v>
      </c>
      <c r="L233" s="641" t="s">
        <v>126</v>
      </c>
      <c r="M233" s="221" t="s">
        <v>159</v>
      </c>
      <c r="N233" s="221"/>
      <c r="O233" s="221" t="s">
        <v>21</v>
      </c>
      <c r="P233" s="221" t="s">
        <v>10</v>
      </c>
      <c r="Q233" s="150"/>
      <c r="R233" s="151"/>
      <c r="S233" s="151"/>
      <c r="T233" s="151"/>
      <c r="U233" s="152"/>
      <c r="V233" s="153"/>
      <c r="W233" s="154"/>
      <c r="X233" s="154"/>
    </row>
    <row r="234" spans="1:24" s="155" customFormat="1" ht="56.25">
      <c r="A234" s="145"/>
      <c r="B234" s="144"/>
      <c r="C234" s="88" t="s">
        <v>125</v>
      </c>
      <c r="D234" s="113">
        <v>722000</v>
      </c>
      <c r="E234" s="55">
        <v>1</v>
      </c>
      <c r="F234" s="149">
        <v>0</v>
      </c>
      <c r="G234" s="149">
        <v>0</v>
      </c>
      <c r="H234" s="149">
        <f>D234</f>
        <v>722000</v>
      </c>
      <c r="I234" s="149">
        <v>0</v>
      </c>
      <c r="J234" s="149">
        <v>0</v>
      </c>
      <c r="K234" s="149">
        <f t="shared" si="12"/>
        <v>722000</v>
      </c>
      <c r="L234" s="641" t="s">
        <v>127</v>
      </c>
      <c r="M234" s="221" t="s">
        <v>159</v>
      </c>
      <c r="N234" s="221"/>
      <c r="O234" s="221" t="s">
        <v>21</v>
      </c>
      <c r="P234" s="221" t="s">
        <v>10</v>
      </c>
      <c r="Q234" s="150"/>
      <c r="R234" s="151"/>
      <c r="S234" s="151"/>
      <c r="T234" s="151"/>
      <c r="U234" s="152"/>
      <c r="V234" s="153"/>
      <c r="W234" s="154"/>
      <c r="X234" s="154"/>
    </row>
    <row r="235" spans="1:24" s="155" customFormat="1" ht="56.25">
      <c r="A235" s="145"/>
      <c r="B235" s="144"/>
      <c r="C235" s="88" t="s">
        <v>125</v>
      </c>
      <c r="D235" s="113">
        <v>722000</v>
      </c>
      <c r="E235" s="55">
        <v>1</v>
      </c>
      <c r="F235" s="149">
        <v>0</v>
      </c>
      <c r="G235" s="149">
        <v>0</v>
      </c>
      <c r="H235" s="149">
        <v>0</v>
      </c>
      <c r="I235" s="149">
        <f>D235</f>
        <v>722000</v>
      </c>
      <c r="J235" s="149">
        <v>0</v>
      </c>
      <c r="K235" s="149">
        <f t="shared" si="12"/>
        <v>722000</v>
      </c>
      <c r="L235" s="641" t="s">
        <v>128</v>
      </c>
      <c r="M235" s="221" t="s">
        <v>159</v>
      </c>
      <c r="N235" s="221"/>
      <c r="O235" s="221" t="s">
        <v>21</v>
      </c>
      <c r="P235" s="221" t="s">
        <v>10</v>
      </c>
      <c r="Q235" s="150"/>
      <c r="R235" s="151"/>
      <c r="S235" s="151"/>
      <c r="T235" s="151"/>
      <c r="U235" s="152"/>
      <c r="V235" s="153"/>
      <c r="W235" s="154"/>
      <c r="X235" s="154"/>
    </row>
    <row r="236" spans="1:24" s="155" customFormat="1" ht="56.25">
      <c r="A236" s="145"/>
      <c r="B236" s="144"/>
      <c r="C236" s="88" t="s">
        <v>125</v>
      </c>
      <c r="D236" s="113">
        <v>722000</v>
      </c>
      <c r="E236" s="55">
        <v>1</v>
      </c>
      <c r="F236" s="149">
        <v>0</v>
      </c>
      <c r="G236" s="149">
        <v>0</v>
      </c>
      <c r="H236" s="149">
        <v>0</v>
      </c>
      <c r="I236" s="149">
        <f>D236</f>
        <v>722000</v>
      </c>
      <c r="J236" s="149">
        <v>0</v>
      </c>
      <c r="K236" s="149">
        <f t="shared" si="12"/>
        <v>722000</v>
      </c>
      <c r="L236" s="641" t="s">
        <v>129</v>
      </c>
      <c r="M236" s="221" t="s">
        <v>159</v>
      </c>
      <c r="N236" s="221"/>
      <c r="O236" s="221" t="s">
        <v>21</v>
      </c>
      <c r="P236" s="221" t="s">
        <v>10</v>
      </c>
      <c r="Q236" s="150"/>
      <c r="R236" s="151"/>
      <c r="S236" s="151"/>
      <c r="T236" s="151"/>
      <c r="U236" s="152"/>
      <c r="V236" s="153"/>
      <c r="W236" s="154"/>
      <c r="X236" s="154"/>
    </row>
    <row r="237" spans="1:24" s="155" customFormat="1" ht="56.25">
      <c r="A237" s="145"/>
      <c r="B237" s="144"/>
      <c r="C237" s="88" t="s">
        <v>125</v>
      </c>
      <c r="D237" s="113">
        <v>722000</v>
      </c>
      <c r="E237" s="55">
        <v>1</v>
      </c>
      <c r="F237" s="149">
        <v>0</v>
      </c>
      <c r="G237" s="149">
        <v>0</v>
      </c>
      <c r="H237" s="149">
        <v>0</v>
      </c>
      <c r="I237" s="149">
        <v>0</v>
      </c>
      <c r="J237" s="149">
        <f>D237</f>
        <v>722000</v>
      </c>
      <c r="K237" s="149">
        <f t="shared" si="12"/>
        <v>722000</v>
      </c>
      <c r="L237" s="641" t="s">
        <v>130</v>
      </c>
      <c r="M237" s="221" t="s">
        <v>159</v>
      </c>
      <c r="N237" s="221"/>
      <c r="O237" s="221" t="s">
        <v>21</v>
      </c>
      <c r="P237" s="221" t="s">
        <v>10</v>
      </c>
      <c r="Q237" s="150"/>
      <c r="R237" s="151"/>
      <c r="S237" s="151"/>
      <c r="T237" s="151"/>
      <c r="U237" s="152"/>
      <c r="V237" s="153"/>
      <c r="W237" s="154"/>
      <c r="X237" s="154"/>
    </row>
    <row r="238" spans="1:24" s="155" customFormat="1" ht="37.5">
      <c r="A238" s="145"/>
      <c r="B238" s="144"/>
      <c r="C238" s="146"/>
      <c r="D238" s="147"/>
      <c r="E238" s="148"/>
      <c r="F238" s="223">
        <f t="shared" ref="F238:K238" si="13">SUM(F167:F237)</f>
        <v>26782000</v>
      </c>
      <c r="G238" s="223">
        <f t="shared" si="13"/>
        <v>16412000</v>
      </c>
      <c r="H238" s="223">
        <f t="shared" si="13"/>
        <v>17694000</v>
      </c>
      <c r="I238" s="223">
        <f t="shared" si="13"/>
        <v>27374000</v>
      </c>
      <c r="J238" s="223">
        <f t="shared" si="13"/>
        <v>34037000</v>
      </c>
      <c r="K238" s="223">
        <f t="shared" si="13"/>
        <v>107430000</v>
      </c>
      <c r="L238" s="644"/>
      <c r="M238" s="144"/>
      <c r="N238" s="144"/>
      <c r="O238" s="144"/>
      <c r="P238" s="150"/>
      <c r="Q238" s="150"/>
      <c r="R238" s="151"/>
      <c r="S238" s="151"/>
      <c r="T238" s="151"/>
      <c r="U238" s="152"/>
      <c r="V238" s="153"/>
      <c r="W238" s="154"/>
      <c r="X238" s="154"/>
    </row>
    <row r="239" spans="1:24" s="169" customFormat="1">
      <c r="A239" s="156"/>
      <c r="B239" s="157"/>
      <c r="C239" s="158"/>
      <c r="D239" s="159"/>
      <c r="E239" s="160"/>
      <c r="F239" s="161"/>
      <c r="G239" s="160"/>
      <c r="H239" s="160"/>
      <c r="I239" s="161"/>
      <c r="J239" s="160"/>
      <c r="K239" s="161"/>
      <c r="L239" s="645"/>
      <c r="M239" s="162"/>
      <c r="N239" s="163"/>
      <c r="O239" s="163"/>
      <c r="P239" s="164"/>
      <c r="Q239" s="165"/>
      <c r="R239" s="166"/>
      <c r="S239" s="166"/>
      <c r="T239" s="166"/>
      <c r="U239" s="158"/>
      <c r="V239" s="167"/>
      <c r="W239" s="168"/>
      <c r="X239" s="168"/>
    </row>
    <row r="240" spans="1:24" ht="20.25">
      <c r="A240" s="359"/>
      <c r="B240" s="360"/>
      <c r="C240" s="278" t="s">
        <v>244</v>
      </c>
      <c r="D240" s="279">
        <v>2000000</v>
      </c>
      <c r="E240" s="280">
        <v>1</v>
      </c>
      <c r="F240" s="182">
        <f>D240</f>
        <v>2000000</v>
      </c>
      <c r="G240" s="182"/>
      <c r="H240" s="182"/>
      <c r="I240" s="182"/>
      <c r="J240" s="182"/>
      <c r="K240" s="361">
        <f>D240</f>
        <v>2000000</v>
      </c>
      <c r="L240" s="646" t="s">
        <v>442</v>
      </c>
      <c r="M240" s="184"/>
      <c r="N240" s="360"/>
      <c r="O240" s="360" t="s">
        <v>18</v>
      </c>
      <c r="P240" s="360" t="s">
        <v>2</v>
      </c>
      <c r="Q240" s="360"/>
    </row>
    <row r="241" spans="1:17" ht="20.25">
      <c r="A241" s="359"/>
      <c r="B241" s="360"/>
      <c r="C241" s="278" t="s">
        <v>247</v>
      </c>
      <c r="D241" s="279">
        <v>60000</v>
      </c>
      <c r="E241" s="280">
        <v>25</v>
      </c>
      <c r="F241" s="182">
        <f>D241*10</f>
        <v>600000</v>
      </c>
      <c r="G241" s="182">
        <f>F241</f>
        <v>600000</v>
      </c>
      <c r="H241" s="182">
        <v>60000</v>
      </c>
      <c r="I241" s="182">
        <v>60000</v>
      </c>
      <c r="J241" s="182">
        <f>I241*3</f>
        <v>180000</v>
      </c>
      <c r="K241" s="361">
        <f t="shared" ref="K241:K246" si="14">SUM(F241:J241)</f>
        <v>1500000</v>
      </c>
      <c r="L241" s="646" t="s">
        <v>442</v>
      </c>
      <c r="M241" s="184"/>
      <c r="N241" s="360"/>
      <c r="O241" s="360" t="s">
        <v>18</v>
      </c>
      <c r="P241" s="360" t="s">
        <v>2</v>
      </c>
      <c r="Q241" s="360"/>
    </row>
    <row r="242" spans="1:17" ht="20.25">
      <c r="A242" s="359"/>
      <c r="B242" s="360"/>
      <c r="C242" s="278" t="s">
        <v>248</v>
      </c>
      <c r="D242" s="279">
        <v>1000000</v>
      </c>
      <c r="E242" s="280">
        <v>4</v>
      </c>
      <c r="F242" s="182">
        <f>1000000*2</f>
        <v>2000000</v>
      </c>
      <c r="G242" s="182"/>
      <c r="H242" s="182"/>
      <c r="I242" s="182">
        <f>F242</f>
        <v>2000000</v>
      </c>
      <c r="J242" s="182"/>
      <c r="K242" s="361">
        <f t="shared" si="14"/>
        <v>4000000</v>
      </c>
      <c r="L242" s="646" t="s">
        <v>442</v>
      </c>
      <c r="M242" s="184"/>
      <c r="N242" s="360"/>
      <c r="O242" s="360" t="s">
        <v>18</v>
      </c>
      <c r="P242" s="360" t="s">
        <v>2</v>
      </c>
      <c r="Q242" s="360"/>
    </row>
    <row r="243" spans="1:17" ht="20.25">
      <c r="A243" s="359"/>
      <c r="B243" s="360"/>
      <c r="C243" s="278" t="s">
        <v>249</v>
      </c>
      <c r="D243" s="279">
        <v>450000</v>
      </c>
      <c r="E243" s="280">
        <v>2</v>
      </c>
      <c r="F243" s="182">
        <f>D243</f>
        <v>450000</v>
      </c>
      <c r="G243" s="182">
        <f>D243</f>
        <v>450000</v>
      </c>
      <c r="H243" s="182"/>
      <c r="I243" s="182"/>
      <c r="J243" s="182"/>
      <c r="K243" s="361">
        <f t="shared" si="14"/>
        <v>900000</v>
      </c>
      <c r="L243" s="646" t="s">
        <v>442</v>
      </c>
      <c r="M243" s="184"/>
      <c r="N243" s="360"/>
      <c r="O243" s="360" t="s">
        <v>18</v>
      </c>
      <c r="P243" s="360" t="s">
        <v>2</v>
      </c>
      <c r="Q243" s="360"/>
    </row>
    <row r="244" spans="1:17" ht="20.25">
      <c r="A244" s="359"/>
      <c r="B244" s="360"/>
      <c r="C244" s="278" t="s">
        <v>78</v>
      </c>
      <c r="D244" s="279">
        <v>2200000</v>
      </c>
      <c r="E244" s="280">
        <v>4</v>
      </c>
      <c r="F244" s="182">
        <f>D244/2</f>
        <v>1100000</v>
      </c>
      <c r="G244" s="182"/>
      <c r="H244" s="182"/>
      <c r="I244" s="182">
        <f>F244</f>
        <v>1100000</v>
      </c>
      <c r="J244" s="182"/>
      <c r="K244" s="361">
        <f t="shared" si="14"/>
        <v>2200000</v>
      </c>
      <c r="L244" s="646" t="s">
        <v>442</v>
      </c>
      <c r="M244" s="184"/>
      <c r="N244" s="360"/>
      <c r="O244" s="360" t="s">
        <v>18</v>
      </c>
      <c r="P244" s="360" t="s">
        <v>2</v>
      </c>
      <c r="Q244" s="360"/>
    </row>
    <row r="245" spans="1:17" ht="20.25">
      <c r="A245" s="359"/>
      <c r="B245" s="360"/>
      <c r="C245" s="278" t="s">
        <v>250</v>
      </c>
      <c r="D245" s="279">
        <v>1760000</v>
      </c>
      <c r="E245" s="280">
        <v>1</v>
      </c>
      <c r="F245" s="182">
        <f>D245</f>
        <v>1760000</v>
      </c>
      <c r="G245" s="182"/>
      <c r="H245" s="182"/>
      <c r="I245" s="182"/>
      <c r="J245" s="182"/>
      <c r="K245" s="361">
        <f t="shared" si="14"/>
        <v>1760000</v>
      </c>
      <c r="L245" s="646" t="s">
        <v>442</v>
      </c>
      <c r="M245" s="184"/>
      <c r="N245" s="360"/>
      <c r="O245" s="360" t="s">
        <v>18</v>
      </c>
      <c r="P245" s="360" t="s">
        <v>2</v>
      </c>
      <c r="Q245" s="360"/>
    </row>
    <row r="246" spans="1:17" ht="37.5">
      <c r="A246" s="359"/>
      <c r="B246" s="360"/>
      <c r="C246" s="285" t="s">
        <v>251</v>
      </c>
      <c r="D246" s="279">
        <v>700000</v>
      </c>
      <c r="E246" s="280">
        <v>1</v>
      </c>
      <c r="F246" s="182">
        <f>D246</f>
        <v>700000</v>
      </c>
      <c r="G246" s="182"/>
      <c r="H246" s="182"/>
      <c r="I246" s="182"/>
      <c r="J246" s="182"/>
      <c r="K246" s="361">
        <f t="shared" si="14"/>
        <v>700000</v>
      </c>
      <c r="L246" s="646" t="s">
        <v>443</v>
      </c>
      <c r="M246" s="184"/>
      <c r="N246" s="360"/>
      <c r="O246" s="360" t="s">
        <v>18</v>
      </c>
      <c r="P246" s="360" t="s">
        <v>181</v>
      </c>
      <c r="Q246" s="360"/>
    </row>
    <row r="247" spans="1:17" ht="75">
      <c r="A247" s="359"/>
      <c r="B247" s="360"/>
      <c r="C247" s="285" t="s">
        <v>253</v>
      </c>
      <c r="D247" s="279">
        <v>787000</v>
      </c>
      <c r="E247" s="280">
        <v>1</v>
      </c>
      <c r="F247" s="182">
        <f>D247</f>
        <v>787000</v>
      </c>
      <c r="G247" s="182"/>
      <c r="H247" s="182"/>
      <c r="I247" s="182"/>
      <c r="J247" s="182"/>
      <c r="K247" s="361">
        <f>SUM(F247:J247)</f>
        <v>787000</v>
      </c>
      <c r="L247" s="646" t="s">
        <v>443</v>
      </c>
      <c r="M247" s="184"/>
      <c r="N247" s="360"/>
      <c r="O247" s="360" t="s">
        <v>18</v>
      </c>
      <c r="P247" s="360" t="s">
        <v>181</v>
      </c>
      <c r="Q247" s="360"/>
    </row>
    <row r="248" spans="1:17" ht="37.5">
      <c r="A248" s="359"/>
      <c r="B248" s="360"/>
      <c r="C248" s="285" t="s">
        <v>254</v>
      </c>
      <c r="D248" s="279">
        <v>150000</v>
      </c>
      <c r="E248" s="280">
        <v>1</v>
      </c>
      <c r="F248" s="182">
        <f>D248</f>
        <v>150000</v>
      </c>
      <c r="G248" s="182"/>
      <c r="H248" s="182"/>
      <c r="I248" s="182"/>
      <c r="J248" s="182"/>
      <c r="K248" s="361">
        <f t="shared" ref="K248:K284" si="15">SUM(F248:J248)</f>
        <v>150000</v>
      </c>
      <c r="L248" s="646" t="s">
        <v>443</v>
      </c>
      <c r="M248" s="184"/>
      <c r="N248" s="360"/>
      <c r="O248" s="360" t="s">
        <v>18</v>
      </c>
      <c r="P248" s="360" t="s">
        <v>181</v>
      </c>
      <c r="Q248" s="360"/>
    </row>
    <row r="249" spans="1:17" ht="47.25">
      <c r="A249" s="359"/>
      <c r="B249" s="360"/>
      <c r="C249" s="362" t="s">
        <v>444</v>
      </c>
      <c r="D249" s="279">
        <v>8000000</v>
      </c>
      <c r="E249" s="280">
        <v>1</v>
      </c>
      <c r="F249" s="182"/>
      <c r="G249" s="182"/>
      <c r="H249" s="182">
        <f>D249</f>
        <v>8000000</v>
      </c>
      <c r="I249" s="182"/>
      <c r="J249" s="182"/>
      <c r="K249" s="361">
        <f t="shared" si="15"/>
        <v>8000000</v>
      </c>
      <c r="L249" s="646" t="s">
        <v>442</v>
      </c>
      <c r="M249" s="184"/>
      <c r="N249" s="360"/>
      <c r="O249" s="360" t="s">
        <v>18</v>
      </c>
      <c r="P249" s="360" t="s">
        <v>2</v>
      </c>
      <c r="Q249" s="360"/>
    </row>
    <row r="250" spans="1:17" ht="20.25">
      <c r="A250" s="359"/>
      <c r="B250" s="360"/>
      <c r="C250" s="278" t="s">
        <v>256</v>
      </c>
      <c r="D250" s="279">
        <f>750000/5</f>
        <v>150000</v>
      </c>
      <c r="E250" s="280">
        <v>5</v>
      </c>
      <c r="F250" s="182">
        <f>D250</f>
        <v>150000</v>
      </c>
      <c r="G250" s="182"/>
      <c r="H250" s="182"/>
      <c r="I250" s="182">
        <f>D250*4</f>
        <v>600000</v>
      </c>
      <c r="J250" s="182"/>
      <c r="K250" s="361">
        <f t="shared" si="15"/>
        <v>750000</v>
      </c>
      <c r="L250" s="646" t="s">
        <v>442</v>
      </c>
      <c r="M250" s="184"/>
      <c r="N250" s="360"/>
      <c r="O250" s="360" t="s">
        <v>18</v>
      </c>
      <c r="P250" s="360" t="s">
        <v>2</v>
      </c>
      <c r="Q250" s="360"/>
    </row>
    <row r="251" spans="1:17" ht="20.25">
      <c r="A251" s="359"/>
      <c r="B251" s="360"/>
      <c r="C251" s="278" t="s">
        <v>257</v>
      </c>
      <c r="D251" s="279">
        <v>10000</v>
      </c>
      <c r="E251" s="280">
        <v>4</v>
      </c>
      <c r="F251" s="182">
        <v>10000</v>
      </c>
      <c r="G251" s="182"/>
      <c r="H251" s="182">
        <v>10000</v>
      </c>
      <c r="I251" s="182">
        <v>10000</v>
      </c>
      <c r="J251" s="182">
        <v>10000</v>
      </c>
      <c r="K251" s="361">
        <f t="shared" si="15"/>
        <v>40000</v>
      </c>
      <c r="L251" s="646" t="s">
        <v>442</v>
      </c>
      <c r="M251" s="184"/>
      <c r="N251" s="360"/>
      <c r="O251" s="360" t="s">
        <v>18</v>
      </c>
      <c r="P251" s="360" t="s">
        <v>2</v>
      </c>
      <c r="Q251" s="360"/>
    </row>
    <row r="252" spans="1:17" ht="40.5">
      <c r="A252" s="359"/>
      <c r="B252" s="360"/>
      <c r="C252" s="288" t="s">
        <v>258</v>
      </c>
      <c r="D252" s="289">
        <v>550000</v>
      </c>
      <c r="E252" s="290">
        <v>1</v>
      </c>
      <c r="F252" s="182">
        <f t="shared" ref="F252:F261" si="16">D252</f>
        <v>550000</v>
      </c>
      <c r="G252" s="182"/>
      <c r="H252" s="182"/>
      <c r="I252" s="182"/>
      <c r="J252" s="182"/>
      <c r="K252" s="361">
        <f t="shared" si="15"/>
        <v>550000</v>
      </c>
      <c r="L252" s="646" t="s">
        <v>259</v>
      </c>
      <c r="M252" s="184"/>
      <c r="N252" s="360"/>
      <c r="O252" s="360" t="s">
        <v>18</v>
      </c>
      <c r="P252" s="360" t="s">
        <v>181</v>
      </c>
      <c r="Q252" s="360"/>
    </row>
    <row r="253" spans="1:17" ht="20.25">
      <c r="A253" s="359"/>
      <c r="B253" s="360"/>
      <c r="C253" s="288" t="s">
        <v>260</v>
      </c>
      <c r="D253" s="289">
        <v>380000</v>
      </c>
      <c r="E253" s="290">
        <v>1</v>
      </c>
      <c r="F253" s="182">
        <f t="shared" si="16"/>
        <v>380000</v>
      </c>
      <c r="G253" s="182"/>
      <c r="H253" s="182"/>
      <c r="I253" s="182"/>
      <c r="J253" s="182"/>
      <c r="K253" s="361">
        <f t="shared" si="15"/>
        <v>380000</v>
      </c>
      <c r="L253" s="646" t="s">
        <v>259</v>
      </c>
      <c r="M253" s="184"/>
      <c r="N253" s="360"/>
      <c r="O253" s="360" t="s">
        <v>18</v>
      </c>
      <c r="P253" s="360" t="s">
        <v>181</v>
      </c>
      <c r="Q253" s="360"/>
    </row>
    <row r="254" spans="1:17" ht="20.25">
      <c r="A254" s="359"/>
      <c r="B254" s="360"/>
      <c r="C254" s="293" t="s">
        <v>261</v>
      </c>
      <c r="D254" s="294">
        <v>1750000</v>
      </c>
      <c r="E254" s="280">
        <v>1</v>
      </c>
      <c r="F254" s="182">
        <f t="shared" si="16"/>
        <v>1750000</v>
      </c>
      <c r="G254" s="182"/>
      <c r="H254" s="182"/>
      <c r="I254" s="182"/>
      <c r="J254" s="182"/>
      <c r="K254" s="361">
        <f t="shared" si="15"/>
        <v>1750000</v>
      </c>
      <c r="L254" s="646" t="s">
        <v>262</v>
      </c>
      <c r="M254" s="184"/>
      <c r="N254" s="360"/>
      <c r="O254" s="360" t="s">
        <v>18</v>
      </c>
      <c r="P254" s="360" t="s">
        <v>173</v>
      </c>
      <c r="Q254" s="360"/>
    </row>
    <row r="255" spans="1:17" s="213" customFormat="1" ht="101.25">
      <c r="A255" s="184"/>
      <c r="B255" s="184"/>
      <c r="C255" s="363" t="s">
        <v>263</v>
      </c>
      <c r="D255" s="364">
        <v>840000</v>
      </c>
      <c r="E255" s="365">
        <v>1</v>
      </c>
      <c r="F255" s="182">
        <f t="shared" si="16"/>
        <v>840000</v>
      </c>
      <c r="G255" s="182"/>
      <c r="H255" s="182"/>
      <c r="I255" s="182"/>
      <c r="J255" s="182"/>
      <c r="K255" s="182">
        <f t="shared" si="15"/>
        <v>840000</v>
      </c>
      <c r="L255" s="646" t="s">
        <v>259</v>
      </c>
      <c r="M255" s="184"/>
      <c r="N255" s="360"/>
      <c r="O255" s="360" t="s">
        <v>18</v>
      </c>
      <c r="P255" s="360" t="s">
        <v>181</v>
      </c>
      <c r="Q255" s="184"/>
    </row>
    <row r="256" spans="1:17" ht="20.25">
      <c r="A256" s="359"/>
      <c r="B256" s="360"/>
      <c r="C256" s="280" t="s">
        <v>265</v>
      </c>
      <c r="D256" s="297">
        <v>460000</v>
      </c>
      <c r="E256" s="280">
        <v>1</v>
      </c>
      <c r="F256" s="182">
        <f t="shared" si="16"/>
        <v>460000</v>
      </c>
      <c r="G256" s="182"/>
      <c r="H256" s="182"/>
      <c r="I256" s="182"/>
      <c r="J256" s="182"/>
      <c r="K256" s="361">
        <f t="shared" si="15"/>
        <v>460000</v>
      </c>
      <c r="L256" s="646" t="s">
        <v>266</v>
      </c>
      <c r="M256" s="184"/>
      <c r="N256" s="360"/>
      <c r="O256" s="360"/>
      <c r="P256" s="360"/>
      <c r="Q256" s="360"/>
    </row>
    <row r="257" spans="1:17" ht="20.25">
      <c r="A257" s="359"/>
      <c r="B257" s="360"/>
      <c r="C257" s="280" t="s">
        <v>267</v>
      </c>
      <c r="D257" s="297">
        <v>25000</v>
      </c>
      <c r="E257" s="280">
        <v>1</v>
      </c>
      <c r="F257" s="182">
        <f t="shared" si="16"/>
        <v>25000</v>
      </c>
      <c r="G257" s="182"/>
      <c r="H257" s="182"/>
      <c r="I257" s="182"/>
      <c r="J257" s="182"/>
      <c r="K257" s="361">
        <f t="shared" si="15"/>
        <v>25000</v>
      </c>
      <c r="L257" s="646" t="s">
        <v>266</v>
      </c>
      <c r="M257" s="184"/>
      <c r="N257" s="360"/>
      <c r="O257" s="360"/>
      <c r="P257" s="360"/>
      <c r="Q257" s="360"/>
    </row>
    <row r="258" spans="1:17" ht="37.5">
      <c r="A258" s="359"/>
      <c r="B258" s="360"/>
      <c r="C258" s="298" t="s">
        <v>268</v>
      </c>
      <c r="D258" s="297">
        <v>3610000</v>
      </c>
      <c r="E258" s="280">
        <v>1</v>
      </c>
      <c r="F258" s="182">
        <f t="shared" si="16"/>
        <v>3610000</v>
      </c>
      <c r="G258" s="182"/>
      <c r="H258" s="182"/>
      <c r="I258" s="182"/>
      <c r="J258" s="182"/>
      <c r="K258" s="361">
        <f t="shared" si="15"/>
        <v>3610000</v>
      </c>
      <c r="L258" s="646" t="s">
        <v>269</v>
      </c>
      <c r="M258" s="184"/>
      <c r="N258" s="360"/>
      <c r="O258" s="360"/>
      <c r="P258" s="360"/>
      <c r="Q258" s="360"/>
    </row>
    <row r="259" spans="1:17" ht="20.25">
      <c r="A259" s="359"/>
      <c r="B259" s="360"/>
      <c r="C259" s="280" t="s">
        <v>270</v>
      </c>
      <c r="D259" s="297">
        <v>150000</v>
      </c>
      <c r="E259" s="280">
        <v>1</v>
      </c>
      <c r="F259" s="182">
        <f t="shared" si="16"/>
        <v>150000</v>
      </c>
      <c r="G259" s="182"/>
      <c r="H259" s="182"/>
      <c r="I259" s="182"/>
      <c r="J259" s="182"/>
      <c r="K259" s="361">
        <f t="shared" si="15"/>
        <v>150000</v>
      </c>
      <c r="L259" s="646" t="s">
        <v>271</v>
      </c>
      <c r="M259" s="184"/>
      <c r="N259" s="360"/>
      <c r="O259" s="360"/>
      <c r="P259" s="360"/>
      <c r="Q259" s="360"/>
    </row>
    <row r="260" spans="1:17" ht="20.25">
      <c r="A260" s="359"/>
      <c r="B260" s="360"/>
      <c r="C260" s="280" t="s">
        <v>272</v>
      </c>
      <c r="D260" s="297">
        <v>400000</v>
      </c>
      <c r="E260" s="280">
        <v>1</v>
      </c>
      <c r="F260" s="182">
        <f t="shared" si="16"/>
        <v>400000</v>
      </c>
      <c r="G260" s="182"/>
      <c r="H260" s="182"/>
      <c r="I260" s="182"/>
      <c r="J260" s="182"/>
      <c r="K260" s="361">
        <f t="shared" si="15"/>
        <v>400000</v>
      </c>
      <c r="L260" s="646" t="s">
        <v>271</v>
      </c>
      <c r="M260" s="184"/>
      <c r="N260" s="360"/>
      <c r="O260" s="360"/>
      <c r="P260" s="360"/>
      <c r="Q260" s="360"/>
    </row>
    <row r="261" spans="1:17" ht="37.5">
      <c r="A261" s="359"/>
      <c r="B261" s="360"/>
      <c r="C261" s="298" t="s">
        <v>273</v>
      </c>
      <c r="D261" s="297">
        <v>750000</v>
      </c>
      <c r="E261" s="280">
        <v>1</v>
      </c>
      <c r="F261" s="182">
        <f t="shared" si="16"/>
        <v>750000</v>
      </c>
      <c r="G261" s="182"/>
      <c r="H261" s="182"/>
      <c r="I261" s="182"/>
      <c r="J261" s="182"/>
      <c r="K261" s="361">
        <f t="shared" si="15"/>
        <v>750000</v>
      </c>
      <c r="L261" s="646" t="s">
        <v>269</v>
      </c>
      <c r="M261" s="184"/>
      <c r="N261" s="360"/>
      <c r="O261" s="360"/>
      <c r="P261" s="360"/>
      <c r="Q261" s="360"/>
    </row>
    <row r="262" spans="1:17" ht="56.25">
      <c r="A262" s="359"/>
      <c r="B262" s="360"/>
      <c r="C262" s="299" t="s">
        <v>274</v>
      </c>
      <c r="D262" s="297">
        <f>360000/3</f>
        <v>120000</v>
      </c>
      <c r="E262" s="280">
        <v>3</v>
      </c>
      <c r="F262" s="182">
        <f>D262*3</f>
        <v>360000</v>
      </c>
      <c r="G262" s="182"/>
      <c r="H262" s="182"/>
      <c r="I262" s="182"/>
      <c r="J262" s="182"/>
      <c r="K262" s="361">
        <f t="shared" si="15"/>
        <v>360000</v>
      </c>
      <c r="L262" s="646" t="s">
        <v>271</v>
      </c>
      <c r="M262" s="184"/>
      <c r="N262" s="360"/>
      <c r="O262" s="360"/>
      <c r="P262" s="360"/>
      <c r="Q262" s="360"/>
    </row>
    <row r="263" spans="1:17" ht="20.25">
      <c r="A263" s="359"/>
      <c r="B263" s="360"/>
      <c r="C263" s="299" t="s">
        <v>275</v>
      </c>
      <c r="D263" s="297">
        <v>50000</v>
      </c>
      <c r="E263" s="280">
        <v>3</v>
      </c>
      <c r="F263" s="182">
        <f>D263*2</f>
        <v>100000</v>
      </c>
      <c r="G263" s="182">
        <f>D263</f>
        <v>50000</v>
      </c>
      <c r="H263" s="182"/>
      <c r="I263" s="182"/>
      <c r="J263" s="182"/>
      <c r="K263" s="361">
        <f t="shared" si="15"/>
        <v>150000</v>
      </c>
      <c r="L263" s="646" t="s">
        <v>271</v>
      </c>
      <c r="M263" s="184"/>
      <c r="N263" s="360"/>
      <c r="O263" s="360"/>
      <c r="P263" s="360"/>
      <c r="Q263" s="360"/>
    </row>
    <row r="264" spans="1:17" ht="20.25">
      <c r="A264" s="359"/>
      <c r="B264" s="360"/>
      <c r="C264" s="300" t="s">
        <v>276</v>
      </c>
      <c r="D264" s="301">
        <v>375000</v>
      </c>
      <c r="E264" s="280">
        <v>1</v>
      </c>
      <c r="F264" s="182">
        <f t="shared" ref="F264:F282" si="17">D264</f>
        <v>375000</v>
      </c>
      <c r="G264" s="182"/>
      <c r="H264" s="182"/>
      <c r="I264" s="182"/>
      <c r="J264" s="182"/>
      <c r="K264" s="361">
        <f t="shared" si="15"/>
        <v>375000</v>
      </c>
      <c r="L264" s="646" t="s">
        <v>277</v>
      </c>
      <c r="M264" s="184"/>
      <c r="N264" s="360"/>
      <c r="O264" s="360"/>
      <c r="P264" s="360"/>
      <c r="Q264" s="360"/>
    </row>
    <row r="265" spans="1:17" ht="20.25">
      <c r="A265" s="359"/>
      <c r="B265" s="360"/>
      <c r="C265" s="300" t="s">
        <v>63</v>
      </c>
      <c r="D265" s="301">
        <v>260000</v>
      </c>
      <c r="E265" s="280">
        <v>1</v>
      </c>
      <c r="F265" s="182">
        <f t="shared" si="17"/>
        <v>260000</v>
      </c>
      <c r="G265" s="182"/>
      <c r="H265" s="182"/>
      <c r="I265" s="182"/>
      <c r="J265" s="182"/>
      <c r="K265" s="361">
        <f t="shared" si="15"/>
        <v>260000</v>
      </c>
      <c r="L265" s="646" t="s">
        <v>277</v>
      </c>
      <c r="M265" s="184"/>
      <c r="N265" s="360"/>
      <c r="O265" s="360"/>
      <c r="P265" s="360"/>
      <c r="Q265" s="360"/>
    </row>
    <row r="266" spans="1:17" ht="20.25">
      <c r="A266" s="359"/>
      <c r="B266" s="360"/>
      <c r="C266" s="300" t="s">
        <v>278</v>
      </c>
      <c r="D266" s="301">
        <v>270000</v>
      </c>
      <c r="E266" s="280">
        <v>1</v>
      </c>
      <c r="F266" s="182">
        <f t="shared" si="17"/>
        <v>270000</v>
      </c>
      <c r="G266" s="182"/>
      <c r="H266" s="182"/>
      <c r="I266" s="182"/>
      <c r="J266" s="182"/>
      <c r="K266" s="361">
        <f t="shared" si="15"/>
        <v>270000</v>
      </c>
      <c r="L266" s="646" t="s">
        <v>277</v>
      </c>
      <c r="M266" s="184"/>
      <c r="N266" s="360"/>
      <c r="O266" s="360"/>
      <c r="P266" s="360"/>
      <c r="Q266" s="360"/>
    </row>
    <row r="267" spans="1:17" ht="37.5">
      <c r="A267" s="359"/>
      <c r="B267" s="360"/>
      <c r="C267" s="298" t="s">
        <v>279</v>
      </c>
      <c r="D267" s="279">
        <v>260000</v>
      </c>
      <c r="E267" s="280">
        <v>1</v>
      </c>
      <c r="F267" s="182">
        <f t="shared" si="17"/>
        <v>260000</v>
      </c>
      <c r="G267" s="182"/>
      <c r="H267" s="182"/>
      <c r="I267" s="182"/>
      <c r="J267" s="182"/>
      <c r="K267" s="361">
        <f t="shared" si="15"/>
        <v>260000</v>
      </c>
      <c r="L267" s="646" t="s">
        <v>280</v>
      </c>
      <c r="M267" s="184"/>
      <c r="N267" s="360"/>
      <c r="O267" s="360"/>
      <c r="P267" s="360"/>
      <c r="Q267" s="360"/>
    </row>
    <row r="268" spans="1:17" ht="20.25">
      <c r="A268" s="359"/>
      <c r="B268" s="360"/>
      <c r="C268" s="280" t="s">
        <v>281</v>
      </c>
      <c r="D268" s="279">
        <v>150000</v>
      </c>
      <c r="E268" s="280">
        <v>1</v>
      </c>
      <c r="F268" s="182">
        <f t="shared" si="17"/>
        <v>150000</v>
      </c>
      <c r="G268" s="182"/>
      <c r="H268" s="182"/>
      <c r="I268" s="182"/>
      <c r="J268" s="182"/>
      <c r="K268" s="361">
        <f t="shared" si="15"/>
        <v>150000</v>
      </c>
      <c r="L268" s="646" t="s">
        <v>280</v>
      </c>
      <c r="M268" s="184"/>
      <c r="N268" s="360"/>
      <c r="O268" s="360"/>
      <c r="P268" s="360"/>
      <c r="Q268" s="360"/>
    </row>
    <row r="269" spans="1:17" ht="37.5">
      <c r="A269" s="359"/>
      <c r="B269" s="360"/>
      <c r="C269" s="298" t="s">
        <v>282</v>
      </c>
      <c r="D269" s="279">
        <v>175000</v>
      </c>
      <c r="E269" s="280">
        <v>1</v>
      </c>
      <c r="F269" s="182">
        <f t="shared" si="17"/>
        <v>175000</v>
      </c>
      <c r="G269" s="182"/>
      <c r="H269" s="182"/>
      <c r="I269" s="182"/>
      <c r="J269" s="182"/>
      <c r="K269" s="361">
        <f t="shared" si="15"/>
        <v>175000</v>
      </c>
      <c r="L269" s="646" t="s">
        <v>280</v>
      </c>
      <c r="M269" s="184"/>
      <c r="N269" s="360"/>
      <c r="O269" s="360"/>
      <c r="P269" s="360"/>
      <c r="Q269" s="360"/>
    </row>
    <row r="270" spans="1:17" ht="20.25">
      <c r="A270" s="359"/>
      <c r="B270" s="360"/>
      <c r="C270" s="300" t="s">
        <v>283</v>
      </c>
      <c r="D270" s="301">
        <v>215000</v>
      </c>
      <c r="E270" s="280">
        <v>1</v>
      </c>
      <c r="F270" s="182">
        <f t="shared" si="17"/>
        <v>215000</v>
      </c>
      <c r="G270" s="182"/>
      <c r="H270" s="182"/>
      <c r="I270" s="182"/>
      <c r="J270" s="182"/>
      <c r="K270" s="361">
        <f t="shared" si="15"/>
        <v>215000</v>
      </c>
      <c r="L270" s="646" t="s">
        <v>277</v>
      </c>
      <c r="M270" s="184"/>
      <c r="N270" s="360"/>
      <c r="O270" s="360"/>
      <c r="P270" s="360"/>
      <c r="Q270" s="360"/>
    </row>
    <row r="271" spans="1:17" ht="20.25">
      <c r="A271" s="359"/>
      <c r="B271" s="360"/>
      <c r="C271" s="300" t="s">
        <v>284</v>
      </c>
      <c r="D271" s="301">
        <v>97000</v>
      </c>
      <c r="E271" s="280">
        <v>1</v>
      </c>
      <c r="F271" s="182">
        <f t="shared" si="17"/>
        <v>97000</v>
      </c>
      <c r="G271" s="182"/>
      <c r="H271" s="182"/>
      <c r="I271" s="182"/>
      <c r="J271" s="182"/>
      <c r="K271" s="361">
        <f t="shared" si="15"/>
        <v>97000</v>
      </c>
      <c r="L271" s="646" t="s">
        <v>277</v>
      </c>
      <c r="M271" s="184"/>
      <c r="N271" s="360"/>
      <c r="O271" s="360"/>
      <c r="P271" s="360"/>
      <c r="Q271" s="360"/>
    </row>
    <row r="272" spans="1:17" ht="20.25">
      <c r="A272" s="359"/>
      <c r="B272" s="360"/>
      <c r="C272" s="300" t="s">
        <v>285</v>
      </c>
      <c r="D272" s="301">
        <v>38000</v>
      </c>
      <c r="E272" s="280">
        <v>1</v>
      </c>
      <c r="F272" s="182">
        <f t="shared" si="17"/>
        <v>38000</v>
      </c>
      <c r="G272" s="182"/>
      <c r="H272" s="182"/>
      <c r="I272" s="182"/>
      <c r="J272" s="182"/>
      <c r="K272" s="361">
        <f t="shared" si="15"/>
        <v>38000</v>
      </c>
      <c r="L272" s="646" t="s">
        <v>277</v>
      </c>
      <c r="M272" s="184"/>
      <c r="N272" s="360"/>
      <c r="O272" s="360"/>
      <c r="P272" s="360"/>
      <c r="Q272" s="360"/>
    </row>
    <row r="273" spans="1:17" ht="37.5">
      <c r="A273" s="359"/>
      <c r="B273" s="360"/>
      <c r="C273" s="298" t="s">
        <v>286</v>
      </c>
      <c r="D273" s="303">
        <v>860000</v>
      </c>
      <c r="E273" s="280">
        <v>1</v>
      </c>
      <c r="F273" s="182">
        <f t="shared" si="17"/>
        <v>860000</v>
      </c>
      <c r="G273" s="182"/>
      <c r="H273" s="182"/>
      <c r="I273" s="182"/>
      <c r="J273" s="182"/>
      <c r="K273" s="361">
        <f t="shared" si="15"/>
        <v>860000</v>
      </c>
      <c r="L273" s="646" t="s">
        <v>392</v>
      </c>
      <c r="M273" s="184"/>
      <c r="N273" s="360"/>
      <c r="O273" s="360"/>
      <c r="P273" s="360"/>
      <c r="Q273" s="360"/>
    </row>
    <row r="274" spans="1:17" ht="20.25">
      <c r="A274" s="359"/>
      <c r="B274" s="360"/>
      <c r="C274" s="300" t="s">
        <v>288</v>
      </c>
      <c r="D274" s="301">
        <v>54000</v>
      </c>
      <c r="E274" s="280">
        <v>1</v>
      </c>
      <c r="F274" s="182">
        <f t="shared" si="17"/>
        <v>54000</v>
      </c>
      <c r="G274" s="182"/>
      <c r="H274" s="182"/>
      <c r="I274" s="182"/>
      <c r="J274" s="182"/>
      <c r="K274" s="361">
        <f t="shared" si="15"/>
        <v>54000</v>
      </c>
      <c r="L274" s="646" t="s">
        <v>277</v>
      </c>
      <c r="M274" s="184"/>
      <c r="N274" s="360"/>
      <c r="O274" s="360"/>
      <c r="P274" s="360"/>
      <c r="Q274" s="360"/>
    </row>
    <row r="275" spans="1:17" ht="20.25">
      <c r="A275" s="359"/>
      <c r="B275" s="360"/>
      <c r="C275" s="300" t="s">
        <v>289</v>
      </c>
      <c r="D275" s="301">
        <v>65000</v>
      </c>
      <c r="E275" s="280">
        <v>1</v>
      </c>
      <c r="F275" s="182">
        <f t="shared" si="17"/>
        <v>65000</v>
      </c>
      <c r="G275" s="182"/>
      <c r="H275" s="182"/>
      <c r="I275" s="182"/>
      <c r="J275" s="182"/>
      <c r="K275" s="361">
        <f t="shared" si="15"/>
        <v>65000</v>
      </c>
      <c r="L275" s="646" t="s">
        <v>277</v>
      </c>
      <c r="M275" s="184"/>
      <c r="N275" s="360"/>
      <c r="O275" s="360"/>
      <c r="P275" s="360"/>
      <c r="Q275" s="360"/>
    </row>
    <row r="276" spans="1:17" ht="20.25">
      <c r="A276" s="359"/>
      <c r="B276" s="360"/>
      <c r="C276" s="280" t="s">
        <v>290</v>
      </c>
      <c r="D276" s="279">
        <v>150000</v>
      </c>
      <c r="E276" s="280">
        <v>1</v>
      </c>
      <c r="F276" s="182">
        <f t="shared" si="17"/>
        <v>150000</v>
      </c>
      <c r="G276" s="182"/>
      <c r="H276" s="182"/>
      <c r="I276" s="182"/>
      <c r="J276" s="182"/>
      <c r="K276" s="361">
        <f t="shared" si="15"/>
        <v>150000</v>
      </c>
      <c r="L276" s="646" t="s">
        <v>280</v>
      </c>
      <c r="M276" s="184"/>
      <c r="N276" s="360"/>
      <c r="O276" s="360"/>
      <c r="P276" s="360"/>
      <c r="Q276" s="360"/>
    </row>
    <row r="277" spans="1:17" ht="75">
      <c r="A277" s="359"/>
      <c r="B277" s="360"/>
      <c r="C277" s="298" t="s">
        <v>291</v>
      </c>
      <c r="D277" s="304">
        <v>300000</v>
      </c>
      <c r="E277" s="280">
        <v>1</v>
      </c>
      <c r="F277" s="182">
        <f t="shared" si="17"/>
        <v>300000</v>
      </c>
      <c r="G277" s="182"/>
      <c r="H277" s="182"/>
      <c r="I277" s="182"/>
      <c r="J277" s="182"/>
      <c r="K277" s="361">
        <f t="shared" si="15"/>
        <v>300000</v>
      </c>
      <c r="L277" s="646" t="s">
        <v>280</v>
      </c>
      <c r="M277" s="184"/>
      <c r="N277" s="360"/>
      <c r="O277" s="360"/>
      <c r="P277" s="360"/>
      <c r="Q277" s="360"/>
    </row>
    <row r="278" spans="1:17" ht="37.5">
      <c r="A278" s="359"/>
      <c r="B278" s="360"/>
      <c r="C278" s="298" t="s">
        <v>292</v>
      </c>
      <c r="D278" s="279">
        <v>150000</v>
      </c>
      <c r="E278" s="280">
        <v>1</v>
      </c>
      <c r="F278" s="182">
        <f t="shared" si="17"/>
        <v>150000</v>
      </c>
      <c r="G278" s="182"/>
      <c r="H278" s="182"/>
      <c r="I278" s="182"/>
      <c r="J278" s="182"/>
      <c r="K278" s="361">
        <f t="shared" si="15"/>
        <v>150000</v>
      </c>
      <c r="L278" s="646" t="s">
        <v>280</v>
      </c>
      <c r="M278" s="184"/>
      <c r="N278" s="360"/>
      <c r="O278" s="360"/>
      <c r="P278" s="360"/>
      <c r="Q278" s="360"/>
    </row>
    <row r="279" spans="1:17" ht="56.25">
      <c r="A279" s="359"/>
      <c r="B279" s="360"/>
      <c r="C279" s="305" t="s">
        <v>293</v>
      </c>
      <c r="D279" s="279">
        <v>787000</v>
      </c>
      <c r="E279" s="280">
        <v>1</v>
      </c>
      <c r="F279" s="182">
        <f t="shared" si="17"/>
        <v>787000</v>
      </c>
      <c r="G279" s="182"/>
      <c r="H279" s="182"/>
      <c r="I279" s="182"/>
      <c r="J279" s="182"/>
      <c r="K279" s="361">
        <f t="shared" si="15"/>
        <v>787000</v>
      </c>
      <c r="L279" s="646" t="s">
        <v>294</v>
      </c>
      <c r="M279" s="184"/>
      <c r="N279" s="360"/>
      <c r="O279" s="360"/>
      <c r="P279" s="360"/>
      <c r="Q279" s="360"/>
    </row>
    <row r="280" spans="1:17" ht="20.25">
      <c r="A280" s="359"/>
      <c r="B280" s="360"/>
      <c r="C280" s="298" t="s">
        <v>257</v>
      </c>
      <c r="D280" s="279">
        <v>11000</v>
      </c>
      <c r="E280" s="280">
        <v>1</v>
      </c>
      <c r="F280" s="182">
        <f t="shared" si="17"/>
        <v>11000</v>
      </c>
      <c r="G280" s="182"/>
      <c r="H280" s="182"/>
      <c r="I280" s="182"/>
      <c r="J280" s="182"/>
      <c r="K280" s="361">
        <f t="shared" si="15"/>
        <v>11000</v>
      </c>
      <c r="L280" s="646" t="s">
        <v>280</v>
      </c>
      <c r="M280" s="184"/>
      <c r="N280" s="360"/>
      <c r="O280" s="360"/>
      <c r="P280" s="360"/>
      <c r="Q280" s="360"/>
    </row>
    <row r="281" spans="1:17" ht="37.5">
      <c r="A281" s="359"/>
      <c r="B281" s="360"/>
      <c r="C281" s="298" t="s">
        <v>295</v>
      </c>
      <c r="D281" s="279">
        <v>25000</v>
      </c>
      <c r="E281" s="280">
        <v>1</v>
      </c>
      <c r="F281" s="182">
        <f t="shared" si="17"/>
        <v>25000</v>
      </c>
      <c r="G281" s="182"/>
      <c r="H281" s="182"/>
      <c r="I281" s="182"/>
      <c r="J281" s="182"/>
      <c r="K281" s="361">
        <f t="shared" si="15"/>
        <v>25000</v>
      </c>
      <c r="L281" s="646" t="s">
        <v>280</v>
      </c>
      <c r="M281" s="184"/>
      <c r="N281" s="360"/>
      <c r="O281" s="360"/>
      <c r="P281" s="360"/>
      <c r="Q281" s="360"/>
    </row>
    <row r="282" spans="1:17" ht="20.25">
      <c r="A282" s="359"/>
      <c r="B282" s="360"/>
      <c r="C282" s="299" t="s">
        <v>281</v>
      </c>
      <c r="D282" s="297">
        <v>150000</v>
      </c>
      <c r="E282" s="280">
        <v>1</v>
      </c>
      <c r="F282" s="182">
        <f t="shared" si="17"/>
        <v>150000</v>
      </c>
      <c r="G282" s="182"/>
      <c r="H282" s="182"/>
      <c r="I282" s="182"/>
      <c r="J282" s="182"/>
      <c r="K282" s="361">
        <f t="shared" si="15"/>
        <v>150000</v>
      </c>
      <c r="L282" s="646" t="s">
        <v>271</v>
      </c>
      <c r="M282" s="184"/>
      <c r="N282" s="360"/>
      <c r="O282" s="360"/>
      <c r="P282" s="360"/>
      <c r="Q282" s="360"/>
    </row>
    <row r="283" spans="1:17" ht="37.5">
      <c r="A283" s="359"/>
      <c r="B283" s="360"/>
      <c r="C283" s="299" t="s">
        <v>292</v>
      </c>
      <c r="D283" s="297">
        <f>450000/3</f>
        <v>150000</v>
      </c>
      <c r="E283" s="280">
        <v>3</v>
      </c>
      <c r="F283" s="182">
        <f>D283</f>
        <v>150000</v>
      </c>
      <c r="G283" s="182"/>
      <c r="H283" s="182">
        <f>D283*2</f>
        <v>300000</v>
      </c>
      <c r="I283" s="182"/>
      <c r="J283" s="182"/>
      <c r="K283" s="361">
        <f t="shared" si="15"/>
        <v>450000</v>
      </c>
      <c r="L283" s="646" t="s">
        <v>271</v>
      </c>
      <c r="M283" s="184"/>
      <c r="N283" s="360"/>
      <c r="O283" s="360"/>
      <c r="P283" s="360"/>
      <c r="Q283" s="360"/>
    </row>
    <row r="284" spans="1:17" ht="20.25">
      <c r="A284" s="359"/>
      <c r="B284" s="360"/>
      <c r="C284" s="377" t="s">
        <v>296</v>
      </c>
      <c r="D284" s="279">
        <v>240000</v>
      </c>
      <c r="E284" s="280">
        <v>2</v>
      </c>
      <c r="F284" s="182"/>
      <c r="G284" s="182">
        <v>240000</v>
      </c>
      <c r="H284" s="182"/>
      <c r="I284" s="182"/>
      <c r="J284" s="182">
        <f>G284</f>
        <v>240000</v>
      </c>
      <c r="K284" s="361">
        <f t="shared" si="15"/>
        <v>480000</v>
      </c>
      <c r="L284" s="646" t="s">
        <v>245</v>
      </c>
      <c r="M284" s="184"/>
      <c r="N284" s="360"/>
      <c r="O284" s="360"/>
      <c r="P284" s="360"/>
      <c r="Q284" s="360"/>
    </row>
    <row r="285" spans="1:17" s="213" customFormat="1" ht="20.25">
      <c r="A285" s="184"/>
      <c r="B285" s="184"/>
      <c r="C285" s="378" t="s">
        <v>297</v>
      </c>
      <c r="D285" s="367">
        <v>150000</v>
      </c>
      <c r="E285" s="365">
        <v>1</v>
      </c>
      <c r="F285" s="182"/>
      <c r="G285" s="182">
        <f t="shared" ref="G285:G290" si="18">D285</f>
        <v>150000</v>
      </c>
      <c r="H285" s="182"/>
      <c r="I285" s="182"/>
      <c r="J285" s="182"/>
      <c r="K285" s="182">
        <f t="shared" ref="K285:K291" si="19">SUM(G285:J285)</f>
        <v>150000</v>
      </c>
      <c r="L285" s="646" t="s">
        <v>245</v>
      </c>
      <c r="M285" s="184"/>
      <c r="N285" s="184"/>
      <c r="O285" s="184"/>
      <c r="P285" s="184"/>
      <c r="Q285" s="184"/>
    </row>
    <row r="286" spans="1:17" s="213" customFormat="1" ht="75">
      <c r="A286" s="184"/>
      <c r="B286" s="184"/>
      <c r="C286" s="285" t="s">
        <v>298</v>
      </c>
      <c r="D286" s="367">
        <v>688000</v>
      </c>
      <c r="E286" s="365">
        <v>1</v>
      </c>
      <c r="F286" s="182"/>
      <c r="G286" s="182">
        <f t="shared" si="18"/>
        <v>688000</v>
      </c>
      <c r="H286" s="182"/>
      <c r="I286" s="182"/>
      <c r="J286" s="182"/>
      <c r="K286" s="182">
        <f t="shared" si="19"/>
        <v>688000</v>
      </c>
      <c r="L286" s="646" t="s">
        <v>443</v>
      </c>
      <c r="M286" s="184"/>
      <c r="N286" s="184"/>
      <c r="O286" s="184"/>
      <c r="P286" s="184"/>
      <c r="Q286" s="184"/>
    </row>
    <row r="287" spans="1:17" s="213" customFormat="1" ht="20.25">
      <c r="A287" s="184"/>
      <c r="B287" s="184"/>
      <c r="C287" s="299" t="s">
        <v>265</v>
      </c>
      <c r="D287" s="367">
        <v>460000</v>
      </c>
      <c r="E287" s="365">
        <v>1</v>
      </c>
      <c r="F287" s="182"/>
      <c r="G287" s="182">
        <f t="shared" si="18"/>
        <v>460000</v>
      </c>
      <c r="H287" s="182"/>
      <c r="I287" s="182"/>
      <c r="J287" s="182"/>
      <c r="K287" s="182">
        <f t="shared" si="19"/>
        <v>460000</v>
      </c>
      <c r="L287" s="646" t="s">
        <v>252</v>
      </c>
      <c r="M287" s="184"/>
      <c r="N287" s="184"/>
      <c r="O287" s="184"/>
      <c r="P287" s="184"/>
      <c r="Q287" s="184"/>
    </row>
    <row r="288" spans="1:17" s="213" customFormat="1" ht="40.5">
      <c r="A288" s="184"/>
      <c r="B288" s="184"/>
      <c r="C288" s="375" t="s">
        <v>87</v>
      </c>
      <c r="D288" s="369">
        <v>310000</v>
      </c>
      <c r="E288" s="370">
        <v>1</v>
      </c>
      <c r="F288" s="182"/>
      <c r="G288" s="182">
        <f t="shared" si="18"/>
        <v>310000</v>
      </c>
      <c r="H288" s="182"/>
      <c r="I288" s="182"/>
      <c r="J288" s="182"/>
      <c r="K288" s="182">
        <f t="shared" si="19"/>
        <v>310000</v>
      </c>
      <c r="L288" s="646" t="s">
        <v>259</v>
      </c>
      <c r="M288" s="184"/>
      <c r="N288" s="184"/>
      <c r="O288" s="184"/>
      <c r="P288" s="184"/>
      <c r="Q288" s="184"/>
    </row>
    <row r="289" spans="1:17" s="213" customFormat="1" ht="40.5">
      <c r="A289" s="184"/>
      <c r="B289" s="184"/>
      <c r="C289" s="376" t="s">
        <v>299</v>
      </c>
      <c r="D289" s="371">
        <v>550000</v>
      </c>
      <c r="E289" s="365">
        <v>1</v>
      </c>
      <c r="F289" s="182"/>
      <c r="G289" s="182">
        <f t="shared" si="18"/>
        <v>550000</v>
      </c>
      <c r="H289" s="182"/>
      <c r="I289" s="182"/>
      <c r="J289" s="182"/>
      <c r="K289" s="182">
        <f t="shared" si="19"/>
        <v>550000</v>
      </c>
      <c r="L289" s="646" t="s">
        <v>262</v>
      </c>
      <c r="M289" s="184"/>
      <c r="N289" s="184"/>
      <c r="O289" s="184"/>
      <c r="P289" s="184"/>
      <c r="Q289" s="184"/>
    </row>
    <row r="290" spans="1:17" s="213" customFormat="1" ht="20.25">
      <c r="A290" s="184"/>
      <c r="B290" s="184"/>
      <c r="C290" s="372" t="s">
        <v>300</v>
      </c>
      <c r="D290" s="364">
        <v>260000</v>
      </c>
      <c r="E290" s="365">
        <v>1</v>
      </c>
      <c r="F290" s="182"/>
      <c r="G290" s="182">
        <f t="shared" si="18"/>
        <v>260000</v>
      </c>
      <c r="H290" s="182"/>
      <c r="I290" s="182"/>
      <c r="J290" s="182"/>
      <c r="K290" s="182">
        <f t="shared" si="19"/>
        <v>260000</v>
      </c>
      <c r="L290" s="646" t="s">
        <v>262</v>
      </c>
      <c r="M290" s="184"/>
      <c r="N290" s="184"/>
      <c r="O290" s="184"/>
      <c r="P290" s="184"/>
      <c r="Q290" s="184"/>
    </row>
    <row r="291" spans="1:17" s="213" customFormat="1" ht="20.25">
      <c r="A291" s="184"/>
      <c r="B291" s="184"/>
      <c r="C291" s="366" t="s">
        <v>221</v>
      </c>
      <c r="D291" s="367">
        <f>3400000/4</f>
        <v>850000</v>
      </c>
      <c r="E291" s="365">
        <v>4</v>
      </c>
      <c r="F291" s="182"/>
      <c r="G291" s="182">
        <f>2*D291</f>
        <v>1700000</v>
      </c>
      <c r="H291" s="182"/>
      <c r="I291" s="182"/>
      <c r="J291" s="182">
        <f>G291</f>
        <v>1700000</v>
      </c>
      <c r="K291" s="182">
        <f t="shared" si="19"/>
        <v>3400000</v>
      </c>
      <c r="L291" s="646" t="s">
        <v>442</v>
      </c>
      <c r="M291" s="184"/>
      <c r="N291" s="184"/>
      <c r="O291" s="184"/>
      <c r="P291" s="184"/>
      <c r="Q291" s="184"/>
    </row>
    <row r="292" spans="1:17" s="213" customFormat="1" ht="20.25">
      <c r="A292" s="184"/>
      <c r="B292" s="184"/>
      <c r="C292" s="366" t="s">
        <v>301</v>
      </c>
      <c r="D292" s="367">
        <f>1400000/E292</f>
        <v>700000</v>
      </c>
      <c r="E292" s="365">
        <v>2</v>
      </c>
      <c r="F292" s="182"/>
      <c r="G292" s="182">
        <f>D292</f>
        <v>700000</v>
      </c>
      <c r="H292" s="182"/>
      <c r="I292" s="182"/>
      <c r="J292" s="182">
        <f>G292</f>
        <v>700000</v>
      </c>
      <c r="K292" s="182">
        <f t="shared" ref="K292:K322" si="20">SUM(F292:J292)</f>
        <v>1400000</v>
      </c>
      <c r="L292" s="646" t="s">
        <v>442</v>
      </c>
      <c r="M292" s="184"/>
      <c r="N292" s="184"/>
      <c r="O292" s="184"/>
      <c r="P292" s="184"/>
      <c r="Q292" s="184"/>
    </row>
    <row r="293" spans="1:17" s="213" customFormat="1" ht="20.25">
      <c r="A293" s="184"/>
      <c r="B293" s="184"/>
      <c r="C293" s="365" t="s">
        <v>302</v>
      </c>
      <c r="D293" s="373">
        <v>1500000</v>
      </c>
      <c r="E293" s="365">
        <v>1</v>
      </c>
      <c r="F293" s="182"/>
      <c r="G293" s="182">
        <f>D293</f>
        <v>1500000</v>
      </c>
      <c r="H293" s="182"/>
      <c r="I293" s="182"/>
      <c r="J293" s="182"/>
      <c r="K293" s="182">
        <f t="shared" si="20"/>
        <v>1500000</v>
      </c>
      <c r="L293" s="646" t="s">
        <v>266</v>
      </c>
      <c r="M293" s="184"/>
      <c r="N293" s="184"/>
      <c r="O293" s="184"/>
      <c r="P293" s="184"/>
      <c r="Q293" s="184"/>
    </row>
    <row r="294" spans="1:17" s="213" customFormat="1" ht="20.25">
      <c r="A294" s="184"/>
      <c r="B294" s="184"/>
      <c r="C294" s="366" t="s">
        <v>303</v>
      </c>
      <c r="D294" s="367">
        <v>1400000</v>
      </c>
      <c r="E294" s="365">
        <v>1</v>
      </c>
      <c r="F294" s="182"/>
      <c r="G294" s="182">
        <f>D294</f>
        <v>1400000</v>
      </c>
      <c r="H294" s="182"/>
      <c r="I294" s="182"/>
      <c r="J294" s="182"/>
      <c r="K294" s="182">
        <f t="shared" si="20"/>
        <v>1400000</v>
      </c>
      <c r="L294" s="646" t="s">
        <v>442</v>
      </c>
      <c r="M294" s="184"/>
      <c r="N294" s="184"/>
      <c r="O294" s="184"/>
      <c r="P294" s="184"/>
      <c r="Q294" s="184"/>
    </row>
    <row r="295" spans="1:17" s="213" customFormat="1" ht="20.25">
      <c r="A295" s="184"/>
      <c r="B295" s="184"/>
      <c r="C295" s="366" t="s">
        <v>304</v>
      </c>
      <c r="D295" s="367">
        <v>2000000</v>
      </c>
      <c r="E295" s="365">
        <v>2</v>
      </c>
      <c r="F295" s="182"/>
      <c r="G295" s="182">
        <f>D295</f>
        <v>2000000</v>
      </c>
      <c r="H295" s="182"/>
      <c r="I295" s="182">
        <f>G295</f>
        <v>2000000</v>
      </c>
      <c r="J295" s="182"/>
      <c r="K295" s="182">
        <f t="shared" si="20"/>
        <v>4000000</v>
      </c>
      <c r="L295" s="646" t="s">
        <v>442</v>
      </c>
      <c r="M295" s="184"/>
      <c r="N295" s="184"/>
      <c r="O295" s="184"/>
      <c r="P295" s="184"/>
      <c r="Q295" s="184"/>
    </row>
    <row r="296" spans="1:17" s="213" customFormat="1" ht="20.25">
      <c r="A296" s="184"/>
      <c r="B296" s="184"/>
      <c r="C296" s="366" t="s">
        <v>305</v>
      </c>
      <c r="D296" s="367">
        <v>605000</v>
      </c>
      <c r="E296" s="365">
        <v>11</v>
      </c>
      <c r="F296" s="182"/>
      <c r="G296" s="182">
        <f>D296/E296*11</f>
        <v>605000</v>
      </c>
      <c r="H296" s="182"/>
      <c r="I296" s="182"/>
      <c r="J296" s="182"/>
      <c r="K296" s="182">
        <f t="shared" si="20"/>
        <v>605000</v>
      </c>
      <c r="L296" s="646" t="s">
        <v>442</v>
      </c>
      <c r="M296" s="184"/>
      <c r="N296" s="184"/>
      <c r="O296" s="184"/>
      <c r="P296" s="184"/>
      <c r="Q296" s="184"/>
    </row>
    <row r="297" spans="1:17" s="213" customFormat="1" ht="20.25">
      <c r="A297" s="184"/>
      <c r="B297" s="184"/>
      <c r="C297" s="368" t="s">
        <v>265</v>
      </c>
      <c r="D297" s="367">
        <v>460000</v>
      </c>
      <c r="E297" s="365">
        <v>1</v>
      </c>
      <c r="F297" s="182"/>
      <c r="G297" s="182">
        <f t="shared" ref="G297:G307" si="21">D297</f>
        <v>460000</v>
      </c>
      <c r="H297" s="182"/>
      <c r="I297" s="182"/>
      <c r="J297" s="182"/>
      <c r="K297" s="182">
        <f t="shared" si="20"/>
        <v>460000</v>
      </c>
      <c r="L297" s="646" t="s">
        <v>443</v>
      </c>
      <c r="M297" s="184"/>
      <c r="N297" s="184"/>
      <c r="O297" s="184"/>
      <c r="P297" s="184"/>
      <c r="Q297" s="184"/>
    </row>
    <row r="298" spans="1:17" s="213" customFormat="1" ht="40.5">
      <c r="A298" s="184"/>
      <c r="B298" s="184"/>
      <c r="C298" s="363" t="s">
        <v>306</v>
      </c>
      <c r="D298" s="369">
        <v>1350000</v>
      </c>
      <c r="E298" s="370">
        <v>1</v>
      </c>
      <c r="F298" s="182"/>
      <c r="G298" s="182">
        <f t="shared" si="21"/>
        <v>1350000</v>
      </c>
      <c r="H298" s="182"/>
      <c r="I298" s="182"/>
      <c r="J298" s="182"/>
      <c r="K298" s="182">
        <f t="shared" si="20"/>
        <v>1350000</v>
      </c>
      <c r="L298" s="646" t="s">
        <v>259</v>
      </c>
      <c r="M298" s="184"/>
      <c r="N298" s="184"/>
      <c r="O298" s="184"/>
      <c r="P298" s="184"/>
      <c r="Q298" s="184"/>
    </row>
    <row r="299" spans="1:17" s="213" customFormat="1" ht="20.25">
      <c r="A299" s="184"/>
      <c r="B299" s="184"/>
      <c r="C299" s="372" t="s">
        <v>307</v>
      </c>
      <c r="D299" s="364">
        <v>400000</v>
      </c>
      <c r="E299" s="365">
        <v>1</v>
      </c>
      <c r="F299" s="182"/>
      <c r="G299" s="182">
        <f t="shared" si="21"/>
        <v>400000</v>
      </c>
      <c r="H299" s="182"/>
      <c r="I299" s="182"/>
      <c r="J299" s="182"/>
      <c r="K299" s="182">
        <f t="shared" si="20"/>
        <v>400000</v>
      </c>
      <c r="L299" s="646" t="s">
        <v>262</v>
      </c>
      <c r="M299" s="184"/>
      <c r="N299" s="184"/>
      <c r="O299" s="184"/>
      <c r="P299" s="184"/>
      <c r="Q299" s="184"/>
    </row>
    <row r="300" spans="1:17" s="213" customFormat="1" ht="20.25">
      <c r="A300" s="184"/>
      <c r="B300" s="184"/>
      <c r="C300" s="372" t="s">
        <v>308</v>
      </c>
      <c r="D300" s="364">
        <v>165000</v>
      </c>
      <c r="E300" s="365">
        <v>1</v>
      </c>
      <c r="F300" s="182"/>
      <c r="G300" s="182">
        <f t="shared" si="21"/>
        <v>165000</v>
      </c>
      <c r="H300" s="182"/>
      <c r="I300" s="182"/>
      <c r="J300" s="182"/>
      <c r="K300" s="182">
        <f t="shared" si="20"/>
        <v>165000</v>
      </c>
      <c r="L300" s="646" t="s">
        <v>262</v>
      </c>
      <c r="M300" s="184"/>
      <c r="N300" s="184"/>
      <c r="O300" s="184"/>
      <c r="P300" s="184"/>
      <c r="Q300" s="184"/>
    </row>
    <row r="301" spans="1:17" s="213" customFormat="1" ht="20.25">
      <c r="A301" s="184"/>
      <c r="B301" s="184"/>
      <c r="C301" s="374" t="s">
        <v>309</v>
      </c>
      <c r="D301" s="364">
        <v>160000</v>
      </c>
      <c r="E301" s="365">
        <v>1</v>
      </c>
      <c r="F301" s="182"/>
      <c r="G301" s="182">
        <f t="shared" si="21"/>
        <v>160000</v>
      </c>
      <c r="H301" s="182"/>
      <c r="I301" s="182"/>
      <c r="J301" s="182"/>
      <c r="K301" s="182">
        <f t="shared" si="20"/>
        <v>160000</v>
      </c>
      <c r="L301" s="646" t="s">
        <v>262</v>
      </c>
      <c r="M301" s="184"/>
      <c r="N301" s="184"/>
      <c r="O301" s="184"/>
      <c r="P301" s="184"/>
      <c r="Q301" s="184"/>
    </row>
    <row r="302" spans="1:17" s="213" customFormat="1" ht="56.25">
      <c r="A302" s="184"/>
      <c r="B302" s="184"/>
      <c r="C302" s="368" t="s">
        <v>310</v>
      </c>
      <c r="D302" s="373">
        <v>1294000</v>
      </c>
      <c r="E302" s="365">
        <v>1</v>
      </c>
      <c r="F302" s="182"/>
      <c r="G302" s="182">
        <f t="shared" si="21"/>
        <v>1294000</v>
      </c>
      <c r="H302" s="182"/>
      <c r="I302" s="182"/>
      <c r="J302" s="182"/>
      <c r="K302" s="182">
        <f t="shared" si="20"/>
        <v>1294000</v>
      </c>
      <c r="L302" s="646" t="s">
        <v>269</v>
      </c>
      <c r="M302" s="184"/>
      <c r="N302" s="184"/>
      <c r="O302" s="184"/>
      <c r="P302" s="184"/>
      <c r="Q302" s="184"/>
    </row>
    <row r="303" spans="1:17" s="213" customFormat="1" ht="37.5">
      <c r="A303" s="184"/>
      <c r="B303" s="184"/>
      <c r="C303" s="368" t="s">
        <v>311</v>
      </c>
      <c r="D303" s="373">
        <v>70000</v>
      </c>
      <c r="E303" s="365">
        <v>1</v>
      </c>
      <c r="F303" s="182"/>
      <c r="G303" s="182">
        <f t="shared" si="21"/>
        <v>70000</v>
      </c>
      <c r="H303" s="182"/>
      <c r="I303" s="182"/>
      <c r="J303" s="182"/>
      <c r="K303" s="182">
        <f t="shared" si="20"/>
        <v>70000</v>
      </c>
      <c r="L303" s="646" t="s">
        <v>271</v>
      </c>
      <c r="M303" s="184"/>
      <c r="N303" s="184"/>
      <c r="O303" s="184"/>
      <c r="P303" s="184"/>
      <c r="Q303" s="184"/>
    </row>
    <row r="304" spans="1:17" ht="20.25">
      <c r="A304" s="359"/>
      <c r="B304" s="360"/>
      <c r="C304" s="299" t="s">
        <v>312</v>
      </c>
      <c r="D304" s="297">
        <v>50000</v>
      </c>
      <c r="E304" s="280">
        <v>1</v>
      </c>
      <c r="F304" s="182"/>
      <c r="G304" s="182">
        <f t="shared" si="21"/>
        <v>50000</v>
      </c>
      <c r="H304" s="182"/>
      <c r="I304" s="182"/>
      <c r="J304" s="182"/>
      <c r="K304" s="361">
        <f t="shared" si="20"/>
        <v>50000</v>
      </c>
      <c r="L304" s="646" t="s">
        <v>271</v>
      </c>
      <c r="M304" s="184"/>
      <c r="N304" s="360"/>
      <c r="O304" s="360"/>
      <c r="P304" s="360"/>
      <c r="Q304" s="360"/>
    </row>
    <row r="305" spans="1:17" ht="20.25">
      <c r="A305" s="359"/>
      <c r="B305" s="360"/>
      <c r="C305" s="299" t="s">
        <v>313</v>
      </c>
      <c r="D305" s="297">
        <v>75000</v>
      </c>
      <c r="E305" s="280">
        <v>1</v>
      </c>
      <c r="F305" s="182"/>
      <c r="G305" s="182">
        <f t="shared" si="21"/>
        <v>75000</v>
      </c>
      <c r="H305" s="182"/>
      <c r="I305" s="182"/>
      <c r="J305" s="182"/>
      <c r="K305" s="361">
        <f t="shared" si="20"/>
        <v>75000</v>
      </c>
      <c r="L305" s="646" t="s">
        <v>271</v>
      </c>
      <c r="M305" s="184"/>
      <c r="N305" s="360"/>
      <c r="O305" s="360"/>
      <c r="P305" s="360"/>
      <c r="Q305" s="360"/>
    </row>
    <row r="306" spans="1:17" ht="37.5">
      <c r="A306" s="359"/>
      <c r="B306" s="360"/>
      <c r="C306" s="299" t="s">
        <v>314</v>
      </c>
      <c r="D306" s="297">
        <v>480000</v>
      </c>
      <c r="E306" s="280">
        <v>1</v>
      </c>
      <c r="F306" s="182"/>
      <c r="G306" s="182">
        <f t="shared" si="21"/>
        <v>480000</v>
      </c>
      <c r="H306" s="182"/>
      <c r="I306" s="182"/>
      <c r="J306" s="182"/>
      <c r="K306" s="361">
        <f t="shared" si="20"/>
        <v>480000</v>
      </c>
      <c r="L306" s="646" t="s">
        <v>271</v>
      </c>
      <c r="M306" s="184"/>
      <c r="N306" s="360"/>
      <c r="O306" s="360"/>
      <c r="P306" s="360"/>
      <c r="Q306" s="360"/>
    </row>
    <row r="307" spans="1:17" ht="20.25">
      <c r="A307" s="359"/>
      <c r="B307" s="360"/>
      <c r="C307" s="280" t="s">
        <v>315</v>
      </c>
      <c r="D307" s="279">
        <v>250000</v>
      </c>
      <c r="E307" s="280">
        <v>1</v>
      </c>
      <c r="F307" s="182"/>
      <c r="G307" s="182">
        <f t="shared" si="21"/>
        <v>250000</v>
      </c>
      <c r="H307" s="182"/>
      <c r="I307" s="182"/>
      <c r="J307" s="182"/>
      <c r="K307" s="361">
        <f t="shared" si="20"/>
        <v>250000</v>
      </c>
      <c r="L307" s="646" t="s">
        <v>280</v>
      </c>
      <c r="M307" s="184"/>
      <c r="N307" s="360"/>
      <c r="O307" s="360"/>
      <c r="P307" s="360"/>
      <c r="Q307" s="360"/>
    </row>
    <row r="308" spans="1:17" ht="37.5">
      <c r="A308" s="359"/>
      <c r="B308" s="360"/>
      <c r="C308" s="298" t="s">
        <v>316</v>
      </c>
      <c r="D308" s="279">
        <v>280000</v>
      </c>
      <c r="E308" s="280">
        <v>4</v>
      </c>
      <c r="F308" s="182"/>
      <c r="G308" s="182">
        <f>D308/E308*4</f>
        <v>280000</v>
      </c>
      <c r="H308" s="182"/>
      <c r="I308" s="182"/>
      <c r="J308" s="182"/>
      <c r="K308" s="361">
        <f t="shared" si="20"/>
        <v>280000</v>
      </c>
      <c r="L308" s="646" t="s">
        <v>280</v>
      </c>
      <c r="M308" s="184"/>
      <c r="N308" s="360"/>
      <c r="O308" s="360"/>
      <c r="P308" s="360"/>
      <c r="Q308" s="360"/>
    </row>
    <row r="309" spans="1:17" ht="37.5">
      <c r="A309" s="359"/>
      <c r="B309" s="360"/>
      <c r="C309" s="298" t="s">
        <v>317</v>
      </c>
      <c r="D309" s="279">
        <v>160000</v>
      </c>
      <c r="E309" s="280">
        <v>1</v>
      </c>
      <c r="F309" s="182"/>
      <c r="G309" s="182">
        <f t="shared" ref="G309:G318" si="22">D309</f>
        <v>160000</v>
      </c>
      <c r="H309" s="182"/>
      <c r="I309" s="182"/>
      <c r="J309" s="182"/>
      <c r="K309" s="361">
        <f t="shared" si="20"/>
        <v>160000</v>
      </c>
      <c r="L309" s="646" t="s">
        <v>280</v>
      </c>
      <c r="M309" s="184"/>
      <c r="N309" s="360"/>
      <c r="O309" s="360"/>
      <c r="P309" s="360"/>
      <c r="Q309" s="360"/>
    </row>
    <row r="310" spans="1:17" ht="37.5">
      <c r="A310" s="359"/>
      <c r="B310" s="360"/>
      <c r="C310" s="298" t="s">
        <v>318</v>
      </c>
      <c r="D310" s="279">
        <v>160000</v>
      </c>
      <c r="E310" s="280">
        <v>1</v>
      </c>
      <c r="F310" s="182"/>
      <c r="G310" s="182">
        <f t="shared" si="22"/>
        <v>160000</v>
      </c>
      <c r="H310" s="182"/>
      <c r="I310" s="182"/>
      <c r="J310" s="182"/>
      <c r="K310" s="361">
        <f t="shared" si="20"/>
        <v>160000</v>
      </c>
      <c r="L310" s="646" t="s">
        <v>280</v>
      </c>
      <c r="M310" s="184"/>
      <c r="N310" s="360"/>
      <c r="O310" s="360"/>
      <c r="P310" s="360"/>
      <c r="Q310" s="360"/>
    </row>
    <row r="311" spans="1:17" ht="20.25">
      <c r="A311" s="359"/>
      <c r="B311" s="360"/>
      <c r="C311" s="300" t="s">
        <v>319</v>
      </c>
      <c r="D311" s="301">
        <v>1489000</v>
      </c>
      <c r="E311" s="280">
        <v>1</v>
      </c>
      <c r="F311" s="182"/>
      <c r="G311" s="182">
        <f t="shared" si="22"/>
        <v>1489000</v>
      </c>
      <c r="H311" s="182"/>
      <c r="I311" s="182"/>
      <c r="J311" s="182"/>
      <c r="K311" s="361">
        <f t="shared" si="20"/>
        <v>1489000</v>
      </c>
      <c r="L311" s="646" t="s">
        <v>277</v>
      </c>
      <c r="M311" s="184"/>
      <c r="N311" s="360"/>
      <c r="O311" s="360"/>
      <c r="P311" s="360"/>
      <c r="Q311" s="360"/>
    </row>
    <row r="312" spans="1:17" ht="40.5">
      <c r="A312" s="359"/>
      <c r="B312" s="360"/>
      <c r="C312" s="319" t="s">
        <v>320</v>
      </c>
      <c r="D312" s="297">
        <v>44000</v>
      </c>
      <c r="E312" s="280">
        <v>1</v>
      </c>
      <c r="F312" s="182"/>
      <c r="G312" s="182">
        <f t="shared" si="22"/>
        <v>44000</v>
      </c>
      <c r="H312" s="182"/>
      <c r="I312" s="182"/>
      <c r="J312" s="182"/>
      <c r="K312" s="361">
        <f t="shared" si="20"/>
        <v>44000</v>
      </c>
      <c r="L312" s="646" t="s">
        <v>294</v>
      </c>
      <c r="M312" s="184"/>
      <c r="N312" s="360"/>
      <c r="O312" s="360"/>
      <c r="P312" s="360"/>
      <c r="Q312" s="360"/>
    </row>
    <row r="313" spans="1:17" ht="40.5">
      <c r="A313" s="359"/>
      <c r="B313" s="360"/>
      <c r="C313" s="320" t="s">
        <v>321</v>
      </c>
      <c r="D313" s="297">
        <v>70000</v>
      </c>
      <c r="E313" s="280">
        <v>1</v>
      </c>
      <c r="F313" s="182"/>
      <c r="G313" s="182">
        <f t="shared" si="22"/>
        <v>70000</v>
      </c>
      <c r="H313" s="182"/>
      <c r="I313" s="182"/>
      <c r="J313" s="182"/>
      <c r="K313" s="361">
        <f t="shared" si="20"/>
        <v>70000</v>
      </c>
      <c r="L313" s="646" t="s">
        <v>294</v>
      </c>
      <c r="M313" s="184"/>
      <c r="N313" s="360"/>
      <c r="O313" s="360"/>
      <c r="P313" s="360"/>
      <c r="Q313" s="360"/>
    </row>
    <row r="314" spans="1:17" ht="40.5">
      <c r="A314" s="359"/>
      <c r="B314" s="360"/>
      <c r="C314" s="320" t="s">
        <v>322</v>
      </c>
      <c r="D314" s="297">
        <v>15000</v>
      </c>
      <c r="E314" s="280">
        <v>1</v>
      </c>
      <c r="F314" s="182"/>
      <c r="G314" s="182">
        <f t="shared" si="22"/>
        <v>15000</v>
      </c>
      <c r="H314" s="182"/>
      <c r="I314" s="182"/>
      <c r="J314" s="182"/>
      <c r="K314" s="361">
        <f t="shared" si="20"/>
        <v>15000</v>
      </c>
      <c r="L314" s="646" t="s">
        <v>294</v>
      </c>
      <c r="M314" s="184"/>
      <c r="N314" s="360"/>
      <c r="O314" s="360"/>
      <c r="P314" s="360"/>
      <c r="Q314" s="360"/>
    </row>
    <row r="315" spans="1:17" ht="37.5">
      <c r="A315" s="359"/>
      <c r="B315" s="360"/>
      <c r="C315" s="305" t="s">
        <v>323</v>
      </c>
      <c r="D315" s="297">
        <v>19000</v>
      </c>
      <c r="E315" s="280">
        <v>1</v>
      </c>
      <c r="F315" s="182"/>
      <c r="G315" s="182">
        <f t="shared" si="22"/>
        <v>19000</v>
      </c>
      <c r="H315" s="182"/>
      <c r="I315" s="182"/>
      <c r="J315" s="182"/>
      <c r="K315" s="361">
        <f t="shared" si="20"/>
        <v>19000</v>
      </c>
      <c r="L315" s="646" t="s">
        <v>294</v>
      </c>
      <c r="M315" s="184"/>
      <c r="N315" s="360"/>
      <c r="O315" s="360"/>
      <c r="P315" s="360"/>
      <c r="Q315" s="360"/>
    </row>
    <row r="316" spans="1:17" ht="37.5">
      <c r="A316" s="359"/>
      <c r="B316" s="360"/>
      <c r="C316" s="298" t="s">
        <v>324</v>
      </c>
      <c r="D316" s="279">
        <v>60000</v>
      </c>
      <c r="E316" s="280">
        <v>1</v>
      </c>
      <c r="F316" s="182"/>
      <c r="G316" s="182">
        <f t="shared" si="22"/>
        <v>60000</v>
      </c>
      <c r="H316" s="182"/>
      <c r="I316" s="182"/>
      <c r="J316" s="182"/>
      <c r="K316" s="361">
        <f t="shared" si="20"/>
        <v>60000</v>
      </c>
      <c r="L316" s="646" t="s">
        <v>375</v>
      </c>
      <c r="M316" s="184"/>
      <c r="N316" s="360"/>
      <c r="O316" s="360"/>
      <c r="P316" s="360"/>
      <c r="Q316" s="360"/>
    </row>
    <row r="317" spans="1:17" ht="20.25">
      <c r="A317" s="359"/>
      <c r="B317" s="360"/>
      <c r="C317" s="298" t="s">
        <v>325</v>
      </c>
      <c r="D317" s="279">
        <v>300000</v>
      </c>
      <c r="E317" s="280">
        <v>1</v>
      </c>
      <c r="F317" s="182"/>
      <c r="G317" s="182">
        <f t="shared" si="22"/>
        <v>300000</v>
      </c>
      <c r="H317" s="182"/>
      <c r="I317" s="182"/>
      <c r="J317" s="182"/>
      <c r="K317" s="361">
        <f t="shared" si="20"/>
        <v>300000</v>
      </c>
      <c r="L317" s="646" t="s">
        <v>280</v>
      </c>
      <c r="M317" s="184"/>
      <c r="N317" s="360"/>
      <c r="O317" s="360"/>
      <c r="P317" s="360"/>
      <c r="Q317" s="360"/>
    </row>
    <row r="318" spans="1:17" ht="20.25">
      <c r="A318" s="359"/>
      <c r="B318" s="360"/>
      <c r="C318" s="298" t="s">
        <v>326</v>
      </c>
      <c r="D318" s="279">
        <v>22000</v>
      </c>
      <c r="E318" s="280">
        <v>2</v>
      </c>
      <c r="F318" s="182"/>
      <c r="G318" s="182">
        <f t="shared" si="22"/>
        <v>22000</v>
      </c>
      <c r="H318" s="182"/>
      <c r="I318" s="182"/>
      <c r="J318" s="182"/>
      <c r="K318" s="361">
        <f t="shared" si="20"/>
        <v>22000</v>
      </c>
      <c r="L318" s="646" t="s">
        <v>280</v>
      </c>
      <c r="M318" s="184"/>
      <c r="N318" s="360"/>
      <c r="O318" s="360"/>
      <c r="P318" s="360"/>
      <c r="Q318" s="360"/>
    </row>
    <row r="319" spans="1:17" ht="37.5">
      <c r="A319" s="359"/>
      <c r="B319" s="360"/>
      <c r="C319" s="298" t="s">
        <v>327</v>
      </c>
      <c r="D319" s="297">
        <v>150000</v>
      </c>
      <c r="E319" s="280">
        <v>1</v>
      </c>
      <c r="F319" s="182"/>
      <c r="G319" s="182">
        <f>D319</f>
        <v>150000</v>
      </c>
      <c r="H319" s="182"/>
      <c r="I319" s="182"/>
      <c r="J319" s="182"/>
      <c r="K319" s="361">
        <f t="shared" si="20"/>
        <v>150000</v>
      </c>
      <c r="L319" s="647" t="s">
        <v>287</v>
      </c>
      <c r="M319" s="184"/>
      <c r="N319" s="360"/>
      <c r="O319" s="360"/>
      <c r="P319" s="360"/>
      <c r="Q319" s="360"/>
    </row>
    <row r="320" spans="1:17" ht="37.5">
      <c r="A320" s="359"/>
      <c r="B320" s="360"/>
      <c r="C320" s="298" t="s">
        <v>328</v>
      </c>
      <c r="D320" s="297">
        <v>450000</v>
      </c>
      <c r="E320" s="280">
        <v>1</v>
      </c>
      <c r="F320" s="182"/>
      <c r="G320" s="182">
        <f>D320</f>
        <v>450000</v>
      </c>
      <c r="H320" s="182"/>
      <c r="I320" s="182"/>
      <c r="J320" s="182"/>
      <c r="K320" s="361">
        <f t="shared" si="20"/>
        <v>450000</v>
      </c>
      <c r="L320" s="647" t="s">
        <v>287</v>
      </c>
      <c r="M320" s="184"/>
      <c r="N320" s="360"/>
      <c r="O320" s="360"/>
      <c r="P320" s="360"/>
      <c r="Q320" s="360"/>
    </row>
    <row r="321" spans="1:17" ht="37.5">
      <c r="A321" s="359"/>
      <c r="B321" s="360"/>
      <c r="C321" s="298" t="s">
        <v>329</v>
      </c>
      <c r="D321" s="297">
        <v>250000</v>
      </c>
      <c r="E321" s="280">
        <v>1</v>
      </c>
      <c r="F321" s="182"/>
      <c r="G321" s="182">
        <f>D321</f>
        <v>250000</v>
      </c>
      <c r="H321" s="182"/>
      <c r="I321" s="182"/>
      <c r="J321" s="182"/>
      <c r="K321" s="361">
        <f t="shared" si="20"/>
        <v>250000</v>
      </c>
      <c r="L321" s="647" t="s">
        <v>287</v>
      </c>
      <c r="M321" s="184"/>
      <c r="N321" s="360"/>
      <c r="O321" s="360"/>
      <c r="P321" s="360"/>
      <c r="Q321" s="360"/>
    </row>
    <row r="322" spans="1:17" ht="20.25">
      <c r="A322" s="359"/>
      <c r="B322" s="360"/>
      <c r="C322" s="305" t="s">
        <v>330</v>
      </c>
      <c r="D322" s="297">
        <v>32000</v>
      </c>
      <c r="E322" s="280">
        <v>1</v>
      </c>
      <c r="F322" s="182"/>
      <c r="G322" s="182">
        <f>D322</f>
        <v>32000</v>
      </c>
      <c r="H322" s="182"/>
      <c r="I322" s="182"/>
      <c r="J322" s="182"/>
      <c r="K322" s="361">
        <f t="shared" si="20"/>
        <v>32000</v>
      </c>
      <c r="L322" s="646" t="s">
        <v>294</v>
      </c>
      <c r="M322" s="184"/>
      <c r="N322" s="360"/>
      <c r="O322" s="360"/>
      <c r="P322" s="360"/>
      <c r="Q322" s="360"/>
    </row>
    <row r="323" spans="1:17" ht="20.25">
      <c r="A323" s="359"/>
      <c r="B323" s="360"/>
      <c r="C323" s="305" t="s">
        <v>331</v>
      </c>
      <c r="D323" s="279">
        <v>15000</v>
      </c>
      <c r="E323" s="280">
        <v>1</v>
      </c>
      <c r="F323" s="182"/>
      <c r="G323" s="182">
        <f t="shared" ref="G323:G330" si="23">D323</f>
        <v>15000</v>
      </c>
      <c r="H323" s="182"/>
      <c r="I323" s="182"/>
      <c r="J323" s="182"/>
      <c r="K323" s="361">
        <f t="shared" ref="K323:K330" si="24">SUM(G323:J323)</f>
        <v>15000</v>
      </c>
      <c r="L323" s="646" t="s">
        <v>294</v>
      </c>
      <c r="M323" s="184"/>
      <c r="N323" s="360"/>
      <c r="O323" s="360"/>
      <c r="P323" s="360"/>
      <c r="Q323" s="360"/>
    </row>
    <row r="324" spans="1:17" ht="56.25">
      <c r="A324" s="359"/>
      <c r="B324" s="360"/>
      <c r="C324" s="305" t="s">
        <v>332</v>
      </c>
      <c r="D324" s="279">
        <v>47000</v>
      </c>
      <c r="E324" s="280">
        <v>1</v>
      </c>
      <c r="F324" s="182"/>
      <c r="G324" s="182">
        <f t="shared" si="23"/>
        <v>47000</v>
      </c>
      <c r="H324" s="182"/>
      <c r="I324" s="182"/>
      <c r="J324" s="182"/>
      <c r="K324" s="361">
        <f t="shared" si="24"/>
        <v>47000</v>
      </c>
      <c r="L324" s="646" t="s">
        <v>294</v>
      </c>
      <c r="M324" s="184"/>
      <c r="N324" s="360"/>
      <c r="O324" s="360"/>
      <c r="P324" s="360"/>
      <c r="Q324" s="360"/>
    </row>
    <row r="325" spans="1:17" ht="37.5">
      <c r="A325" s="359"/>
      <c r="B325" s="360"/>
      <c r="C325" s="305" t="s">
        <v>333</v>
      </c>
      <c r="D325" s="279">
        <v>75000</v>
      </c>
      <c r="E325" s="280">
        <v>1</v>
      </c>
      <c r="F325" s="182"/>
      <c r="G325" s="182">
        <f t="shared" si="23"/>
        <v>75000</v>
      </c>
      <c r="H325" s="182"/>
      <c r="I325" s="182"/>
      <c r="J325" s="182"/>
      <c r="K325" s="361">
        <f t="shared" si="24"/>
        <v>75000</v>
      </c>
      <c r="L325" s="646" t="s">
        <v>294</v>
      </c>
      <c r="M325" s="184"/>
      <c r="N325" s="360"/>
      <c r="O325" s="360"/>
      <c r="P325" s="360"/>
      <c r="Q325" s="360"/>
    </row>
    <row r="326" spans="1:17" ht="20.25">
      <c r="A326" s="359"/>
      <c r="B326" s="360"/>
      <c r="C326" s="305" t="s">
        <v>334</v>
      </c>
      <c r="D326" s="279">
        <v>22000</v>
      </c>
      <c r="E326" s="280">
        <v>1</v>
      </c>
      <c r="F326" s="182"/>
      <c r="G326" s="182">
        <f t="shared" si="23"/>
        <v>22000</v>
      </c>
      <c r="H326" s="182"/>
      <c r="I326" s="182"/>
      <c r="J326" s="182"/>
      <c r="K326" s="361">
        <f t="shared" si="24"/>
        <v>22000</v>
      </c>
      <c r="L326" s="646" t="s">
        <v>294</v>
      </c>
      <c r="M326" s="184"/>
      <c r="N326" s="360"/>
      <c r="O326" s="360"/>
      <c r="P326" s="360"/>
      <c r="Q326" s="360"/>
    </row>
    <row r="327" spans="1:17" ht="37.5">
      <c r="A327" s="359"/>
      <c r="B327" s="360"/>
      <c r="C327" s="305" t="s">
        <v>335</v>
      </c>
      <c r="D327" s="279">
        <v>9900</v>
      </c>
      <c r="E327" s="280">
        <v>1</v>
      </c>
      <c r="F327" s="182"/>
      <c r="G327" s="182">
        <f t="shared" si="23"/>
        <v>9900</v>
      </c>
      <c r="H327" s="182"/>
      <c r="I327" s="182"/>
      <c r="J327" s="182"/>
      <c r="K327" s="361">
        <f t="shared" si="24"/>
        <v>9900</v>
      </c>
      <c r="L327" s="646" t="s">
        <v>294</v>
      </c>
      <c r="M327" s="184"/>
      <c r="N327" s="360"/>
      <c r="O327" s="360"/>
      <c r="P327" s="360"/>
      <c r="Q327" s="360"/>
    </row>
    <row r="328" spans="1:17" ht="37.5">
      <c r="A328" s="359"/>
      <c r="B328" s="360"/>
      <c r="C328" s="305" t="s">
        <v>336</v>
      </c>
      <c r="D328" s="279">
        <v>13000</v>
      </c>
      <c r="E328" s="280">
        <v>1</v>
      </c>
      <c r="F328" s="182"/>
      <c r="G328" s="182">
        <f t="shared" si="23"/>
        <v>13000</v>
      </c>
      <c r="H328" s="182"/>
      <c r="I328" s="182"/>
      <c r="J328" s="182"/>
      <c r="K328" s="361">
        <f t="shared" si="24"/>
        <v>13000</v>
      </c>
      <c r="L328" s="646" t="s">
        <v>294</v>
      </c>
      <c r="M328" s="184"/>
      <c r="N328" s="360"/>
      <c r="O328" s="360"/>
      <c r="P328" s="360"/>
      <c r="Q328" s="360"/>
    </row>
    <row r="329" spans="1:17" ht="37.5">
      <c r="A329" s="359"/>
      <c r="B329" s="360"/>
      <c r="C329" s="305" t="s">
        <v>337</v>
      </c>
      <c r="D329" s="279">
        <v>130000</v>
      </c>
      <c r="E329" s="280">
        <v>1</v>
      </c>
      <c r="F329" s="182"/>
      <c r="G329" s="182">
        <f t="shared" si="23"/>
        <v>130000</v>
      </c>
      <c r="H329" s="182"/>
      <c r="I329" s="182"/>
      <c r="J329" s="182"/>
      <c r="K329" s="361">
        <f t="shared" si="24"/>
        <v>130000</v>
      </c>
      <c r="L329" s="646" t="s">
        <v>294</v>
      </c>
      <c r="M329" s="184"/>
      <c r="N329" s="360"/>
      <c r="O329" s="360"/>
      <c r="P329" s="360"/>
      <c r="Q329" s="360"/>
    </row>
    <row r="330" spans="1:17" ht="37.5">
      <c r="A330" s="359"/>
      <c r="B330" s="360"/>
      <c r="C330" s="305" t="s">
        <v>338</v>
      </c>
      <c r="D330" s="279">
        <v>18000</v>
      </c>
      <c r="E330" s="280">
        <v>1</v>
      </c>
      <c r="F330" s="182"/>
      <c r="G330" s="182">
        <f t="shared" si="23"/>
        <v>18000</v>
      </c>
      <c r="H330" s="182"/>
      <c r="I330" s="182"/>
      <c r="J330" s="182"/>
      <c r="K330" s="361">
        <f t="shared" si="24"/>
        <v>18000</v>
      </c>
      <c r="L330" s="646" t="s">
        <v>294</v>
      </c>
      <c r="M330" s="184"/>
      <c r="N330" s="360"/>
      <c r="O330" s="360"/>
      <c r="P330" s="360"/>
      <c r="Q330" s="360"/>
    </row>
    <row r="331" spans="1:17" ht="56.25">
      <c r="A331" s="359"/>
      <c r="B331" s="360"/>
      <c r="C331" s="285" t="s">
        <v>310</v>
      </c>
      <c r="D331" s="279">
        <v>1294000</v>
      </c>
      <c r="E331" s="280">
        <v>1</v>
      </c>
      <c r="F331" s="182"/>
      <c r="G331" s="182"/>
      <c r="H331" s="182">
        <f>D331</f>
        <v>1294000</v>
      </c>
      <c r="I331" s="182"/>
      <c r="J331" s="182"/>
      <c r="K331" s="361">
        <f t="shared" ref="K331:K365" si="25">SUM(H331:J331)</f>
        <v>1294000</v>
      </c>
      <c r="L331" s="646" t="s">
        <v>252</v>
      </c>
      <c r="M331" s="184"/>
      <c r="N331" s="360"/>
      <c r="O331" s="360"/>
      <c r="P331" s="360"/>
      <c r="Q331" s="360"/>
    </row>
    <row r="332" spans="1:17" ht="20.25">
      <c r="A332" s="359"/>
      <c r="B332" s="360"/>
      <c r="C332" s="285" t="s">
        <v>339</v>
      </c>
      <c r="D332" s="279">
        <v>380000</v>
      </c>
      <c r="E332" s="280">
        <v>1</v>
      </c>
      <c r="F332" s="182"/>
      <c r="G332" s="182"/>
      <c r="H332" s="182">
        <f t="shared" ref="H332:H336" si="26">D332</f>
        <v>380000</v>
      </c>
      <c r="I332" s="182"/>
      <c r="J332" s="182"/>
      <c r="K332" s="361">
        <f t="shared" si="25"/>
        <v>380000</v>
      </c>
      <c r="L332" s="646" t="s">
        <v>252</v>
      </c>
      <c r="M332" s="184"/>
      <c r="N332" s="360"/>
      <c r="O332" s="360"/>
      <c r="P332" s="360"/>
      <c r="Q332" s="360"/>
    </row>
    <row r="333" spans="1:17" ht="20.25">
      <c r="A333" s="359"/>
      <c r="B333" s="360"/>
      <c r="C333" s="288" t="s">
        <v>265</v>
      </c>
      <c r="D333" s="289">
        <v>460000</v>
      </c>
      <c r="E333" s="280">
        <v>1</v>
      </c>
      <c r="F333" s="182"/>
      <c r="G333" s="182"/>
      <c r="H333" s="182">
        <f t="shared" si="26"/>
        <v>460000</v>
      </c>
      <c r="I333" s="182"/>
      <c r="J333" s="182"/>
      <c r="K333" s="361">
        <f t="shared" si="25"/>
        <v>460000</v>
      </c>
      <c r="L333" s="646" t="s">
        <v>259</v>
      </c>
      <c r="M333" s="184"/>
      <c r="N333" s="360"/>
      <c r="O333" s="360"/>
      <c r="P333" s="360"/>
      <c r="Q333" s="360"/>
    </row>
    <row r="334" spans="1:17" ht="40.5">
      <c r="A334" s="359"/>
      <c r="B334" s="360"/>
      <c r="C334" s="288" t="s">
        <v>340</v>
      </c>
      <c r="D334" s="289">
        <v>650000</v>
      </c>
      <c r="E334" s="280">
        <v>1</v>
      </c>
      <c r="F334" s="182"/>
      <c r="G334" s="182"/>
      <c r="H334" s="182">
        <f t="shared" si="26"/>
        <v>650000</v>
      </c>
      <c r="I334" s="182"/>
      <c r="J334" s="182"/>
      <c r="K334" s="361">
        <f t="shared" si="25"/>
        <v>650000</v>
      </c>
      <c r="L334" s="646" t="s">
        <v>259</v>
      </c>
      <c r="M334" s="184"/>
      <c r="N334" s="360"/>
      <c r="O334" s="360"/>
      <c r="P334" s="360"/>
      <c r="Q334" s="360"/>
    </row>
    <row r="335" spans="1:17" ht="20.25">
      <c r="A335" s="359"/>
      <c r="B335" s="360"/>
      <c r="C335" s="329" t="s">
        <v>341</v>
      </c>
      <c r="D335" s="294">
        <v>1200000</v>
      </c>
      <c r="E335" s="280">
        <v>1</v>
      </c>
      <c r="F335" s="182"/>
      <c r="G335" s="182"/>
      <c r="H335" s="182">
        <f t="shared" si="26"/>
        <v>1200000</v>
      </c>
      <c r="I335" s="182"/>
      <c r="J335" s="182"/>
      <c r="K335" s="361">
        <f t="shared" si="25"/>
        <v>1200000</v>
      </c>
      <c r="L335" s="646" t="s">
        <v>262</v>
      </c>
      <c r="M335" s="184"/>
      <c r="N335" s="360"/>
      <c r="O335" s="360"/>
      <c r="P335" s="360"/>
      <c r="Q335" s="360"/>
    </row>
    <row r="336" spans="1:17" ht="20.25">
      <c r="A336" s="359"/>
      <c r="B336" s="360"/>
      <c r="C336" s="318" t="s">
        <v>75</v>
      </c>
      <c r="D336" s="294">
        <v>260000</v>
      </c>
      <c r="E336" s="280">
        <v>1</v>
      </c>
      <c r="F336" s="182"/>
      <c r="G336" s="182"/>
      <c r="H336" s="182">
        <f t="shared" si="26"/>
        <v>260000</v>
      </c>
      <c r="I336" s="182"/>
      <c r="J336" s="182"/>
      <c r="K336" s="361">
        <f t="shared" si="25"/>
        <v>260000</v>
      </c>
      <c r="L336" s="646" t="s">
        <v>262</v>
      </c>
      <c r="M336" s="184"/>
      <c r="N336" s="360"/>
      <c r="O336" s="360"/>
      <c r="P336" s="360"/>
      <c r="Q336" s="360"/>
    </row>
    <row r="337" spans="1:17" ht="56.25">
      <c r="A337" s="359"/>
      <c r="B337" s="360"/>
      <c r="C337" s="298" t="s">
        <v>92</v>
      </c>
      <c r="D337" s="304">
        <f>960000/2</f>
        <v>480000</v>
      </c>
      <c r="E337" s="280">
        <v>2</v>
      </c>
      <c r="F337" s="182"/>
      <c r="G337" s="182"/>
      <c r="H337" s="182">
        <f>D337*2</f>
        <v>960000</v>
      </c>
      <c r="I337" s="182"/>
      <c r="J337" s="182"/>
      <c r="K337" s="361">
        <f t="shared" si="25"/>
        <v>960000</v>
      </c>
      <c r="L337" s="646" t="s">
        <v>269</v>
      </c>
      <c r="M337" s="184"/>
      <c r="N337" s="360"/>
      <c r="O337" s="360"/>
      <c r="P337" s="360"/>
      <c r="Q337" s="360"/>
    </row>
    <row r="338" spans="1:17" ht="37.5">
      <c r="A338" s="359"/>
      <c r="B338" s="360"/>
      <c r="C338" s="299" t="s">
        <v>342</v>
      </c>
      <c r="D338" s="297">
        <f>540000/9</f>
        <v>60000</v>
      </c>
      <c r="E338" s="280">
        <v>9</v>
      </c>
      <c r="F338" s="182"/>
      <c r="G338" s="182"/>
      <c r="H338" s="182">
        <f>9*D338</f>
        <v>540000</v>
      </c>
      <c r="I338" s="182"/>
      <c r="J338" s="182"/>
      <c r="K338" s="361">
        <f t="shared" si="25"/>
        <v>540000</v>
      </c>
      <c r="L338" s="646" t="s">
        <v>271</v>
      </c>
      <c r="M338" s="184"/>
      <c r="N338" s="360"/>
      <c r="O338" s="360"/>
      <c r="P338" s="360"/>
      <c r="Q338" s="360"/>
    </row>
    <row r="339" spans="1:17" ht="20.25">
      <c r="A339" s="359"/>
      <c r="B339" s="360"/>
      <c r="C339" s="299" t="s">
        <v>343</v>
      </c>
      <c r="D339" s="297">
        <v>310000</v>
      </c>
      <c r="E339" s="280">
        <v>1</v>
      </c>
      <c r="F339" s="182"/>
      <c r="G339" s="182"/>
      <c r="H339" s="182">
        <f>D339</f>
        <v>310000</v>
      </c>
      <c r="I339" s="182"/>
      <c r="J339" s="182"/>
      <c r="K339" s="361">
        <f t="shared" si="25"/>
        <v>310000</v>
      </c>
      <c r="L339" s="646" t="s">
        <v>271</v>
      </c>
      <c r="M339" s="184"/>
      <c r="N339" s="360"/>
      <c r="O339" s="360"/>
      <c r="P339" s="360"/>
      <c r="Q339" s="360"/>
    </row>
    <row r="340" spans="1:17" ht="37.5">
      <c r="A340" s="359"/>
      <c r="B340" s="360"/>
      <c r="C340" s="299" t="s">
        <v>101</v>
      </c>
      <c r="D340" s="297">
        <v>100000</v>
      </c>
      <c r="E340" s="280">
        <v>1</v>
      </c>
      <c r="F340" s="182"/>
      <c r="G340" s="182"/>
      <c r="H340" s="182">
        <f t="shared" ref="H340:H351" si="27">D340</f>
        <v>100000</v>
      </c>
      <c r="I340" s="182"/>
      <c r="J340" s="182"/>
      <c r="K340" s="361">
        <f t="shared" si="25"/>
        <v>100000</v>
      </c>
      <c r="L340" s="646" t="s">
        <v>271</v>
      </c>
      <c r="M340" s="184"/>
      <c r="N340" s="360"/>
      <c r="O340" s="360"/>
      <c r="P340" s="360"/>
      <c r="Q340" s="360"/>
    </row>
    <row r="341" spans="1:17" ht="20.25">
      <c r="A341" s="359"/>
      <c r="B341" s="360"/>
      <c r="C341" s="300" t="s">
        <v>344</v>
      </c>
      <c r="D341" s="301">
        <v>120000</v>
      </c>
      <c r="E341" s="280">
        <v>1</v>
      </c>
      <c r="F341" s="182"/>
      <c r="G341" s="182"/>
      <c r="H341" s="182">
        <f t="shared" si="27"/>
        <v>120000</v>
      </c>
      <c r="I341" s="182"/>
      <c r="J341" s="182"/>
      <c r="K341" s="361">
        <f t="shared" si="25"/>
        <v>120000</v>
      </c>
      <c r="L341" s="646" t="s">
        <v>277</v>
      </c>
      <c r="M341" s="184"/>
      <c r="N341" s="360"/>
      <c r="O341" s="360"/>
      <c r="P341" s="360"/>
      <c r="Q341" s="360"/>
    </row>
    <row r="342" spans="1:17" ht="20.25">
      <c r="A342" s="359"/>
      <c r="B342" s="360"/>
      <c r="C342" s="300" t="s">
        <v>345</v>
      </c>
      <c r="D342" s="301">
        <v>1294000</v>
      </c>
      <c r="E342" s="280">
        <v>1</v>
      </c>
      <c r="F342" s="182"/>
      <c r="G342" s="182"/>
      <c r="H342" s="182">
        <f t="shared" si="27"/>
        <v>1294000</v>
      </c>
      <c r="I342" s="182"/>
      <c r="J342" s="182"/>
      <c r="K342" s="361">
        <f t="shared" si="25"/>
        <v>1294000</v>
      </c>
      <c r="L342" s="646" t="s">
        <v>277</v>
      </c>
      <c r="M342" s="184"/>
      <c r="N342" s="360"/>
      <c r="O342" s="360"/>
      <c r="P342" s="360"/>
      <c r="Q342" s="360"/>
    </row>
    <row r="343" spans="1:17" ht="56.25">
      <c r="A343" s="359"/>
      <c r="B343" s="360"/>
      <c r="C343" s="299" t="s">
        <v>346</v>
      </c>
      <c r="D343" s="303">
        <v>870000</v>
      </c>
      <c r="E343" s="280">
        <v>1</v>
      </c>
      <c r="F343" s="182"/>
      <c r="G343" s="182"/>
      <c r="H343" s="182">
        <f t="shared" si="27"/>
        <v>870000</v>
      </c>
      <c r="I343" s="182"/>
      <c r="J343" s="182"/>
      <c r="K343" s="361">
        <f t="shared" si="25"/>
        <v>870000</v>
      </c>
      <c r="L343" s="646" t="s">
        <v>277</v>
      </c>
      <c r="M343" s="184"/>
      <c r="N343" s="360"/>
      <c r="O343" s="360"/>
      <c r="P343" s="360"/>
      <c r="Q343" s="360"/>
    </row>
    <row r="344" spans="1:17" ht="35.25">
      <c r="A344" s="359"/>
      <c r="B344" s="360"/>
      <c r="C344" s="298" t="s">
        <v>347</v>
      </c>
      <c r="D344" s="279">
        <v>760000</v>
      </c>
      <c r="E344" s="280">
        <v>1</v>
      </c>
      <c r="F344" s="182"/>
      <c r="G344" s="182"/>
      <c r="H344" s="182">
        <f t="shared" si="27"/>
        <v>760000</v>
      </c>
      <c r="I344" s="182"/>
      <c r="J344" s="182"/>
      <c r="K344" s="361">
        <f t="shared" si="25"/>
        <v>760000</v>
      </c>
      <c r="L344" s="646" t="s">
        <v>280</v>
      </c>
      <c r="M344" s="184"/>
      <c r="N344" s="360"/>
      <c r="O344" s="360"/>
      <c r="P344" s="360"/>
      <c r="Q344" s="360"/>
    </row>
    <row r="345" spans="1:17" ht="37.5">
      <c r="A345" s="359"/>
      <c r="B345" s="360"/>
      <c r="C345" s="298" t="s">
        <v>348</v>
      </c>
      <c r="D345" s="279">
        <v>100000</v>
      </c>
      <c r="E345" s="280">
        <v>1</v>
      </c>
      <c r="F345" s="182"/>
      <c r="G345" s="182"/>
      <c r="H345" s="182">
        <f t="shared" si="27"/>
        <v>100000</v>
      </c>
      <c r="I345" s="182"/>
      <c r="J345" s="182"/>
      <c r="K345" s="361">
        <f t="shared" si="25"/>
        <v>100000</v>
      </c>
      <c r="L345" s="646" t="s">
        <v>280</v>
      </c>
      <c r="M345" s="184"/>
      <c r="N345" s="360"/>
      <c r="O345" s="360"/>
      <c r="P345" s="360"/>
      <c r="Q345" s="360"/>
    </row>
    <row r="346" spans="1:17" ht="20.25">
      <c r="A346" s="359"/>
      <c r="B346" s="360"/>
      <c r="C346" s="280" t="s">
        <v>349</v>
      </c>
      <c r="D346" s="279">
        <v>54000</v>
      </c>
      <c r="E346" s="280">
        <v>1</v>
      </c>
      <c r="F346" s="182"/>
      <c r="G346" s="182"/>
      <c r="H346" s="182">
        <f t="shared" si="27"/>
        <v>54000</v>
      </c>
      <c r="I346" s="182"/>
      <c r="J346" s="182"/>
      <c r="K346" s="361">
        <f t="shared" si="25"/>
        <v>54000</v>
      </c>
      <c r="L346" s="646" t="s">
        <v>280</v>
      </c>
      <c r="M346" s="184"/>
      <c r="N346" s="360"/>
      <c r="O346" s="360"/>
      <c r="P346" s="360"/>
      <c r="Q346" s="360"/>
    </row>
    <row r="347" spans="1:17" ht="20.25">
      <c r="A347" s="359"/>
      <c r="B347" s="360"/>
      <c r="C347" s="280" t="s">
        <v>77</v>
      </c>
      <c r="D347" s="279">
        <v>81000</v>
      </c>
      <c r="E347" s="280">
        <v>1</v>
      </c>
      <c r="F347" s="182"/>
      <c r="G347" s="182"/>
      <c r="H347" s="182">
        <f t="shared" si="27"/>
        <v>81000</v>
      </c>
      <c r="I347" s="182"/>
      <c r="J347" s="182"/>
      <c r="K347" s="361">
        <f t="shared" si="25"/>
        <v>81000</v>
      </c>
      <c r="L347" s="646" t="s">
        <v>280</v>
      </c>
      <c r="M347" s="184"/>
      <c r="N347" s="360"/>
      <c r="O347" s="360"/>
      <c r="P347" s="360"/>
      <c r="Q347" s="360"/>
    </row>
    <row r="348" spans="1:17" ht="37.5">
      <c r="A348" s="359"/>
      <c r="B348" s="360"/>
      <c r="C348" s="298" t="s">
        <v>292</v>
      </c>
      <c r="D348" s="279">
        <v>150000</v>
      </c>
      <c r="E348" s="280">
        <v>1</v>
      </c>
      <c r="F348" s="182"/>
      <c r="G348" s="182"/>
      <c r="H348" s="182">
        <f t="shared" si="27"/>
        <v>150000</v>
      </c>
      <c r="I348" s="182"/>
      <c r="J348" s="182"/>
      <c r="K348" s="361">
        <f t="shared" si="25"/>
        <v>150000</v>
      </c>
      <c r="L348" s="646" t="s">
        <v>280</v>
      </c>
      <c r="M348" s="184"/>
      <c r="N348" s="360"/>
      <c r="O348" s="360"/>
      <c r="P348" s="360"/>
      <c r="Q348" s="360"/>
    </row>
    <row r="349" spans="1:17" ht="20.25">
      <c r="A349" s="359"/>
      <c r="B349" s="360"/>
      <c r="C349" s="298" t="s">
        <v>312</v>
      </c>
      <c r="D349" s="279">
        <v>50000</v>
      </c>
      <c r="E349" s="280">
        <v>1</v>
      </c>
      <c r="F349" s="182"/>
      <c r="G349" s="182"/>
      <c r="H349" s="182">
        <f t="shared" si="27"/>
        <v>50000</v>
      </c>
      <c r="I349" s="182"/>
      <c r="J349" s="182"/>
      <c r="K349" s="361">
        <f t="shared" si="25"/>
        <v>50000</v>
      </c>
      <c r="L349" s="646" t="s">
        <v>280</v>
      </c>
      <c r="M349" s="184"/>
      <c r="N349" s="360"/>
      <c r="O349" s="360"/>
      <c r="P349" s="360"/>
      <c r="Q349" s="360"/>
    </row>
    <row r="350" spans="1:17" ht="37.5">
      <c r="A350" s="359"/>
      <c r="B350" s="360"/>
      <c r="C350" s="298" t="s">
        <v>295</v>
      </c>
      <c r="D350" s="279">
        <v>25000</v>
      </c>
      <c r="E350" s="280">
        <v>1</v>
      </c>
      <c r="F350" s="182"/>
      <c r="G350" s="182"/>
      <c r="H350" s="182">
        <f t="shared" si="27"/>
        <v>25000</v>
      </c>
      <c r="I350" s="182"/>
      <c r="J350" s="182"/>
      <c r="K350" s="361">
        <f t="shared" si="25"/>
        <v>25000</v>
      </c>
      <c r="L350" s="646" t="s">
        <v>280</v>
      </c>
      <c r="M350" s="184"/>
      <c r="N350" s="360"/>
      <c r="O350" s="360"/>
      <c r="P350" s="360"/>
      <c r="Q350" s="360"/>
    </row>
    <row r="351" spans="1:17" ht="20.25">
      <c r="A351" s="359"/>
      <c r="B351" s="360"/>
      <c r="C351" s="298" t="s">
        <v>257</v>
      </c>
      <c r="D351" s="279">
        <v>11000</v>
      </c>
      <c r="E351" s="280">
        <v>1</v>
      </c>
      <c r="F351" s="182"/>
      <c r="G351" s="182"/>
      <c r="H351" s="182">
        <f t="shared" si="27"/>
        <v>11000</v>
      </c>
      <c r="I351" s="182"/>
      <c r="J351" s="182"/>
      <c r="K351" s="361">
        <f t="shared" si="25"/>
        <v>11000</v>
      </c>
      <c r="L351" s="646" t="s">
        <v>280</v>
      </c>
      <c r="M351" s="184"/>
      <c r="N351" s="360"/>
      <c r="O351" s="360"/>
      <c r="P351" s="360"/>
      <c r="Q351" s="360"/>
    </row>
    <row r="352" spans="1:17" ht="20.25">
      <c r="A352" s="359"/>
      <c r="B352" s="360"/>
      <c r="C352" s="280" t="s">
        <v>350</v>
      </c>
      <c r="D352" s="297">
        <v>1700000</v>
      </c>
      <c r="E352" s="280">
        <v>1</v>
      </c>
      <c r="F352" s="182"/>
      <c r="G352" s="182"/>
      <c r="H352" s="182">
        <f>D352</f>
        <v>1700000</v>
      </c>
      <c r="I352" s="182"/>
      <c r="J352" s="182"/>
      <c r="K352" s="361">
        <f t="shared" si="25"/>
        <v>1700000</v>
      </c>
      <c r="L352" s="646" t="s">
        <v>266</v>
      </c>
      <c r="M352" s="184"/>
      <c r="N352" s="360"/>
      <c r="O352" s="360"/>
      <c r="P352" s="360"/>
      <c r="Q352" s="360"/>
    </row>
    <row r="353" spans="1:17" ht="37.5">
      <c r="A353" s="359"/>
      <c r="B353" s="360"/>
      <c r="C353" s="305" t="s">
        <v>320</v>
      </c>
      <c r="D353" s="279">
        <v>44000</v>
      </c>
      <c r="E353" s="280">
        <v>1</v>
      </c>
      <c r="F353" s="182"/>
      <c r="G353" s="182"/>
      <c r="H353" s="182">
        <f t="shared" ref="H353:H365" si="28">D353</f>
        <v>44000</v>
      </c>
      <c r="I353" s="182"/>
      <c r="J353" s="182"/>
      <c r="K353" s="361">
        <f t="shared" si="25"/>
        <v>44000</v>
      </c>
      <c r="L353" s="646" t="s">
        <v>294</v>
      </c>
      <c r="M353" s="184"/>
      <c r="N353" s="360"/>
      <c r="O353" s="360"/>
      <c r="P353" s="360"/>
      <c r="Q353" s="360"/>
    </row>
    <row r="354" spans="1:17" ht="37.5">
      <c r="A354" s="359"/>
      <c r="B354" s="360"/>
      <c r="C354" s="305" t="s">
        <v>321</v>
      </c>
      <c r="D354" s="279">
        <v>70000</v>
      </c>
      <c r="E354" s="280">
        <v>1</v>
      </c>
      <c r="F354" s="182"/>
      <c r="G354" s="182"/>
      <c r="H354" s="182">
        <f t="shared" si="28"/>
        <v>70000</v>
      </c>
      <c r="I354" s="182"/>
      <c r="J354" s="182"/>
      <c r="K354" s="361">
        <f t="shared" si="25"/>
        <v>70000</v>
      </c>
      <c r="L354" s="646" t="s">
        <v>294</v>
      </c>
      <c r="M354" s="184"/>
      <c r="N354" s="360"/>
      <c r="O354" s="360"/>
      <c r="P354" s="360"/>
      <c r="Q354" s="360"/>
    </row>
    <row r="355" spans="1:17" ht="56.25">
      <c r="A355" s="359"/>
      <c r="B355" s="360"/>
      <c r="C355" s="305" t="s">
        <v>351</v>
      </c>
      <c r="D355" s="279">
        <v>45000</v>
      </c>
      <c r="E355" s="280">
        <v>1</v>
      </c>
      <c r="F355" s="182"/>
      <c r="G355" s="182"/>
      <c r="H355" s="182">
        <f t="shared" si="28"/>
        <v>45000</v>
      </c>
      <c r="I355" s="182"/>
      <c r="J355" s="182"/>
      <c r="K355" s="361">
        <f t="shared" si="25"/>
        <v>45000</v>
      </c>
      <c r="L355" s="646" t="s">
        <v>294</v>
      </c>
      <c r="M355" s="184"/>
      <c r="N355" s="360"/>
      <c r="O355" s="360"/>
      <c r="P355" s="360"/>
      <c r="Q355" s="360"/>
    </row>
    <row r="356" spans="1:17" ht="37.5">
      <c r="A356" s="359"/>
      <c r="B356" s="360"/>
      <c r="C356" s="305" t="s">
        <v>352</v>
      </c>
      <c r="D356" s="279">
        <v>15000</v>
      </c>
      <c r="E356" s="280">
        <v>1</v>
      </c>
      <c r="F356" s="182"/>
      <c r="G356" s="182"/>
      <c r="H356" s="182">
        <f t="shared" si="28"/>
        <v>15000</v>
      </c>
      <c r="I356" s="182"/>
      <c r="J356" s="182"/>
      <c r="K356" s="361">
        <f t="shared" si="25"/>
        <v>15000</v>
      </c>
      <c r="L356" s="646" t="s">
        <v>294</v>
      </c>
      <c r="M356" s="184"/>
      <c r="N356" s="360"/>
      <c r="O356" s="360"/>
      <c r="P356" s="360"/>
      <c r="Q356" s="360"/>
    </row>
    <row r="357" spans="1:17" ht="37.5">
      <c r="A357" s="359"/>
      <c r="B357" s="360"/>
      <c r="C357" s="305" t="s">
        <v>353</v>
      </c>
      <c r="D357" s="279">
        <v>25000</v>
      </c>
      <c r="E357" s="280">
        <v>1</v>
      </c>
      <c r="F357" s="182"/>
      <c r="G357" s="182"/>
      <c r="H357" s="182">
        <f t="shared" si="28"/>
        <v>25000</v>
      </c>
      <c r="I357" s="182"/>
      <c r="J357" s="182"/>
      <c r="K357" s="361">
        <f t="shared" si="25"/>
        <v>25000</v>
      </c>
      <c r="L357" s="646" t="s">
        <v>294</v>
      </c>
      <c r="M357" s="184"/>
      <c r="N357" s="360"/>
      <c r="O357" s="360"/>
      <c r="P357" s="360"/>
      <c r="Q357" s="360"/>
    </row>
    <row r="358" spans="1:17" ht="20.25">
      <c r="A358" s="359"/>
      <c r="B358" s="360"/>
      <c r="C358" s="305" t="s">
        <v>334</v>
      </c>
      <c r="D358" s="279">
        <v>22000</v>
      </c>
      <c r="E358" s="280">
        <v>1</v>
      </c>
      <c r="F358" s="182"/>
      <c r="G358" s="182"/>
      <c r="H358" s="182">
        <f t="shared" si="28"/>
        <v>22000</v>
      </c>
      <c r="I358" s="182"/>
      <c r="J358" s="182"/>
      <c r="K358" s="361">
        <f t="shared" si="25"/>
        <v>22000</v>
      </c>
      <c r="L358" s="646" t="s">
        <v>294</v>
      </c>
      <c r="M358" s="184"/>
      <c r="N358" s="360"/>
      <c r="O358" s="360"/>
      <c r="P358" s="360"/>
      <c r="Q358" s="360"/>
    </row>
    <row r="359" spans="1:17" ht="56.25">
      <c r="A359" s="359"/>
      <c r="B359" s="360"/>
      <c r="C359" s="305" t="s">
        <v>354</v>
      </c>
      <c r="D359" s="279">
        <v>37000</v>
      </c>
      <c r="E359" s="280">
        <v>1</v>
      </c>
      <c r="F359" s="182"/>
      <c r="G359" s="182"/>
      <c r="H359" s="182">
        <f t="shared" si="28"/>
        <v>37000</v>
      </c>
      <c r="I359" s="182"/>
      <c r="J359" s="182"/>
      <c r="K359" s="361">
        <f t="shared" si="25"/>
        <v>37000</v>
      </c>
      <c r="L359" s="646" t="s">
        <v>294</v>
      </c>
      <c r="M359" s="184"/>
      <c r="N359" s="360"/>
      <c r="O359" s="360"/>
      <c r="P359" s="360"/>
      <c r="Q359" s="360"/>
    </row>
    <row r="360" spans="1:17" ht="56.25">
      <c r="A360" s="359"/>
      <c r="B360" s="360"/>
      <c r="C360" s="305" t="s">
        <v>355</v>
      </c>
      <c r="D360" s="279">
        <v>30000</v>
      </c>
      <c r="E360" s="280">
        <v>1</v>
      </c>
      <c r="F360" s="182"/>
      <c r="G360" s="182"/>
      <c r="H360" s="182">
        <f t="shared" si="28"/>
        <v>30000</v>
      </c>
      <c r="I360" s="182"/>
      <c r="J360" s="182"/>
      <c r="K360" s="361">
        <f t="shared" si="25"/>
        <v>30000</v>
      </c>
      <c r="L360" s="646" t="s">
        <v>294</v>
      </c>
      <c r="M360" s="184"/>
      <c r="N360" s="360"/>
      <c r="O360" s="360"/>
      <c r="P360" s="360"/>
      <c r="Q360" s="360"/>
    </row>
    <row r="361" spans="1:17" ht="37.5">
      <c r="A361" s="359"/>
      <c r="B361" s="360"/>
      <c r="C361" s="305" t="s">
        <v>356</v>
      </c>
      <c r="D361" s="279">
        <v>50000</v>
      </c>
      <c r="E361" s="280">
        <v>1</v>
      </c>
      <c r="F361" s="182"/>
      <c r="G361" s="182"/>
      <c r="H361" s="182">
        <f t="shared" si="28"/>
        <v>50000</v>
      </c>
      <c r="I361" s="182"/>
      <c r="J361" s="182"/>
      <c r="K361" s="361">
        <f t="shared" si="25"/>
        <v>50000</v>
      </c>
      <c r="L361" s="646" t="s">
        <v>294</v>
      </c>
      <c r="M361" s="184"/>
      <c r="N361" s="360"/>
      <c r="O361" s="360"/>
      <c r="P361" s="360"/>
      <c r="Q361" s="360"/>
    </row>
    <row r="362" spans="1:17" ht="37.5">
      <c r="A362" s="359"/>
      <c r="B362" s="360"/>
      <c r="C362" s="305" t="s">
        <v>357</v>
      </c>
      <c r="D362" s="279">
        <v>17000</v>
      </c>
      <c r="E362" s="280">
        <v>1</v>
      </c>
      <c r="F362" s="182"/>
      <c r="G362" s="182"/>
      <c r="H362" s="182">
        <f t="shared" si="28"/>
        <v>17000</v>
      </c>
      <c r="I362" s="182"/>
      <c r="J362" s="182"/>
      <c r="K362" s="361">
        <f t="shared" si="25"/>
        <v>17000</v>
      </c>
      <c r="L362" s="646" t="s">
        <v>294</v>
      </c>
      <c r="M362" s="184"/>
      <c r="N362" s="360"/>
      <c r="O362" s="360"/>
      <c r="P362" s="360"/>
      <c r="Q362" s="360"/>
    </row>
    <row r="363" spans="1:17" ht="20.25">
      <c r="A363" s="359"/>
      <c r="B363" s="360"/>
      <c r="C363" s="305" t="s">
        <v>358</v>
      </c>
      <c r="D363" s="279">
        <v>20000</v>
      </c>
      <c r="E363" s="280">
        <v>1</v>
      </c>
      <c r="F363" s="182"/>
      <c r="G363" s="182"/>
      <c r="H363" s="182">
        <f t="shared" si="28"/>
        <v>20000</v>
      </c>
      <c r="I363" s="182"/>
      <c r="J363" s="182"/>
      <c r="K363" s="361">
        <f t="shared" si="25"/>
        <v>20000</v>
      </c>
      <c r="L363" s="646" t="s">
        <v>294</v>
      </c>
      <c r="M363" s="184"/>
      <c r="N363" s="360"/>
      <c r="O363" s="360"/>
      <c r="P363" s="360"/>
      <c r="Q363" s="360"/>
    </row>
    <row r="364" spans="1:17" ht="37.5">
      <c r="A364" s="359"/>
      <c r="B364" s="360"/>
      <c r="C364" s="305" t="s">
        <v>359</v>
      </c>
      <c r="D364" s="279">
        <v>165000</v>
      </c>
      <c r="E364" s="280">
        <v>1</v>
      </c>
      <c r="F364" s="182"/>
      <c r="G364" s="182"/>
      <c r="H364" s="182">
        <f t="shared" si="28"/>
        <v>165000</v>
      </c>
      <c r="I364" s="182"/>
      <c r="J364" s="182"/>
      <c r="K364" s="361">
        <f t="shared" si="25"/>
        <v>165000</v>
      </c>
      <c r="L364" s="646" t="s">
        <v>294</v>
      </c>
      <c r="M364" s="184"/>
      <c r="N364" s="360"/>
      <c r="O364" s="360"/>
      <c r="P364" s="360"/>
      <c r="Q364" s="360"/>
    </row>
    <row r="365" spans="1:17" ht="20.25">
      <c r="A365" s="359"/>
      <c r="B365" s="360"/>
      <c r="C365" s="305" t="s">
        <v>360</v>
      </c>
      <c r="D365" s="279">
        <v>81000</v>
      </c>
      <c r="E365" s="280">
        <v>1</v>
      </c>
      <c r="F365" s="182"/>
      <c r="G365" s="182"/>
      <c r="H365" s="182">
        <f t="shared" si="28"/>
        <v>81000</v>
      </c>
      <c r="I365" s="182"/>
      <c r="J365" s="182"/>
      <c r="K365" s="361">
        <f t="shared" si="25"/>
        <v>81000</v>
      </c>
      <c r="L365" s="646" t="s">
        <v>294</v>
      </c>
      <c r="M365" s="184"/>
      <c r="N365" s="360"/>
      <c r="O365" s="360"/>
      <c r="P365" s="360"/>
      <c r="Q365" s="360"/>
    </row>
    <row r="366" spans="1:17" ht="20.25">
      <c r="A366" s="359"/>
      <c r="B366" s="360"/>
      <c r="C366" s="280" t="s">
        <v>361</v>
      </c>
      <c r="D366" s="279">
        <v>100000</v>
      </c>
      <c r="E366" s="280">
        <v>1</v>
      </c>
      <c r="F366" s="182"/>
      <c r="G366" s="182"/>
      <c r="H366" s="182"/>
      <c r="I366" s="182">
        <f>D366</f>
        <v>100000</v>
      </c>
      <c r="J366" s="182"/>
      <c r="K366" s="361">
        <f t="shared" ref="K366:K396" si="29">SUM(I366:J366)</f>
        <v>100000</v>
      </c>
      <c r="L366" s="646" t="s">
        <v>245</v>
      </c>
      <c r="M366" s="184"/>
      <c r="N366" s="360"/>
      <c r="O366" s="360"/>
      <c r="P366" s="360"/>
      <c r="Q366" s="360"/>
    </row>
    <row r="367" spans="1:17" ht="20.25">
      <c r="A367" s="359"/>
      <c r="B367" s="360"/>
      <c r="C367" s="278" t="s">
        <v>362</v>
      </c>
      <c r="D367" s="279">
        <v>2200000</v>
      </c>
      <c r="E367" s="280">
        <v>1</v>
      </c>
      <c r="F367" s="182"/>
      <c r="G367" s="182"/>
      <c r="H367" s="182"/>
      <c r="I367" s="182">
        <f>D367</f>
        <v>2200000</v>
      </c>
      <c r="J367" s="182"/>
      <c r="K367" s="361">
        <f t="shared" si="29"/>
        <v>2200000</v>
      </c>
      <c r="L367" s="646" t="s">
        <v>245</v>
      </c>
      <c r="M367" s="184"/>
      <c r="N367" s="360"/>
      <c r="O367" s="360"/>
      <c r="P367" s="360"/>
      <c r="Q367" s="360"/>
    </row>
    <row r="368" spans="1:17" ht="20.25">
      <c r="A368" s="359"/>
      <c r="B368" s="360"/>
      <c r="C368" s="293" t="s">
        <v>363</v>
      </c>
      <c r="D368" s="294">
        <v>480000</v>
      </c>
      <c r="E368" s="280">
        <v>1</v>
      </c>
      <c r="F368" s="182"/>
      <c r="G368" s="182"/>
      <c r="H368" s="182"/>
      <c r="I368" s="182">
        <f t="shared" ref="I368:I396" si="30">D368</f>
        <v>480000</v>
      </c>
      <c r="J368" s="182"/>
      <c r="K368" s="361">
        <f t="shared" si="29"/>
        <v>480000</v>
      </c>
      <c r="L368" s="646" t="s">
        <v>262</v>
      </c>
      <c r="M368" s="184"/>
      <c r="N368" s="360"/>
      <c r="O368" s="360"/>
      <c r="P368" s="360"/>
      <c r="Q368" s="360"/>
    </row>
    <row r="369" spans="1:17" ht="37.5">
      <c r="A369" s="359"/>
      <c r="B369" s="360"/>
      <c r="C369" s="285" t="s">
        <v>195</v>
      </c>
      <c r="D369" s="279">
        <v>2000000</v>
      </c>
      <c r="E369" s="280">
        <v>1</v>
      </c>
      <c r="F369" s="182"/>
      <c r="G369" s="182"/>
      <c r="H369" s="182"/>
      <c r="I369" s="182">
        <f t="shared" si="30"/>
        <v>2000000</v>
      </c>
      <c r="J369" s="182"/>
      <c r="K369" s="361">
        <f t="shared" si="29"/>
        <v>2000000</v>
      </c>
      <c r="L369" s="646" t="s">
        <v>252</v>
      </c>
      <c r="M369" s="184"/>
      <c r="N369" s="360"/>
      <c r="O369" s="360"/>
      <c r="P369" s="360"/>
      <c r="Q369" s="360"/>
    </row>
    <row r="370" spans="1:17" ht="20.25">
      <c r="A370" s="359"/>
      <c r="B370" s="360"/>
      <c r="C370" s="318" t="s">
        <v>364</v>
      </c>
      <c r="D370" s="294">
        <v>375000</v>
      </c>
      <c r="E370" s="280">
        <v>1</v>
      </c>
      <c r="F370" s="182"/>
      <c r="G370" s="182"/>
      <c r="H370" s="182"/>
      <c r="I370" s="182">
        <f t="shared" si="30"/>
        <v>375000</v>
      </c>
      <c r="J370" s="182"/>
      <c r="K370" s="361">
        <f t="shared" si="29"/>
        <v>375000</v>
      </c>
      <c r="L370" s="646" t="s">
        <v>262</v>
      </c>
      <c r="M370" s="184"/>
      <c r="N370" s="360"/>
      <c r="O370" s="360"/>
      <c r="P370" s="360"/>
      <c r="Q370" s="360"/>
    </row>
    <row r="371" spans="1:17" ht="60.75">
      <c r="A371" s="359"/>
      <c r="B371" s="360"/>
      <c r="C371" s="288" t="s">
        <v>365</v>
      </c>
      <c r="D371" s="289">
        <v>500000</v>
      </c>
      <c r="E371" s="280">
        <v>1</v>
      </c>
      <c r="F371" s="182"/>
      <c r="G371" s="182"/>
      <c r="H371" s="182"/>
      <c r="I371" s="182">
        <f t="shared" si="30"/>
        <v>500000</v>
      </c>
      <c r="J371" s="182"/>
      <c r="K371" s="361">
        <f t="shared" si="29"/>
        <v>500000</v>
      </c>
      <c r="L371" s="646" t="s">
        <v>259</v>
      </c>
      <c r="M371" s="184"/>
      <c r="N371" s="360"/>
      <c r="O371" s="360"/>
      <c r="P371" s="360"/>
      <c r="Q371" s="360"/>
    </row>
    <row r="372" spans="1:17" ht="20.25">
      <c r="A372" s="359"/>
      <c r="B372" s="360"/>
      <c r="C372" s="280" t="s">
        <v>366</v>
      </c>
      <c r="D372" s="297">
        <v>2000000</v>
      </c>
      <c r="E372" s="280">
        <v>1</v>
      </c>
      <c r="F372" s="182"/>
      <c r="G372" s="182"/>
      <c r="H372" s="182"/>
      <c r="I372" s="182">
        <f t="shared" si="30"/>
        <v>2000000</v>
      </c>
      <c r="J372" s="182"/>
      <c r="K372" s="361">
        <f t="shared" si="29"/>
        <v>2000000</v>
      </c>
      <c r="L372" s="646" t="s">
        <v>266</v>
      </c>
      <c r="M372" s="184"/>
      <c r="N372" s="360"/>
      <c r="O372" s="360"/>
      <c r="P372" s="360"/>
      <c r="Q372" s="360"/>
    </row>
    <row r="373" spans="1:17" ht="40.5">
      <c r="A373" s="359"/>
      <c r="B373" s="360"/>
      <c r="C373" s="288" t="s">
        <v>367</v>
      </c>
      <c r="D373" s="289">
        <v>550000</v>
      </c>
      <c r="E373" s="280">
        <v>1</v>
      </c>
      <c r="F373" s="182"/>
      <c r="G373" s="182"/>
      <c r="H373" s="182"/>
      <c r="I373" s="182">
        <f t="shared" si="30"/>
        <v>550000</v>
      </c>
      <c r="J373" s="182"/>
      <c r="K373" s="361">
        <f t="shared" si="29"/>
        <v>550000</v>
      </c>
      <c r="L373" s="646" t="s">
        <v>259</v>
      </c>
      <c r="M373" s="184"/>
      <c r="N373" s="360"/>
      <c r="O373" s="360"/>
      <c r="P373" s="360"/>
      <c r="Q373" s="360"/>
    </row>
    <row r="374" spans="1:17" ht="60.75">
      <c r="A374" s="359"/>
      <c r="B374" s="360"/>
      <c r="C374" s="288" t="s">
        <v>368</v>
      </c>
      <c r="D374" s="289">
        <v>700000</v>
      </c>
      <c r="E374" s="280">
        <v>1</v>
      </c>
      <c r="F374" s="182"/>
      <c r="G374" s="182"/>
      <c r="H374" s="182"/>
      <c r="I374" s="182">
        <f t="shared" si="30"/>
        <v>700000</v>
      </c>
      <c r="J374" s="182"/>
      <c r="K374" s="361">
        <f t="shared" si="29"/>
        <v>700000</v>
      </c>
      <c r="L374" s="646" t="s">
        <v>259</v>
      </c>
      <c r="M374" s="184"/>
      <c r="N374" s="360"/>
      <c r="O374" s="360"/>
      <c r="P374" s="360"/>
      <c r="Q374" s="360"/>
    </row>
    <row r="375" spans="1:17" ht="56.25">
      <c r="A375" s="359"/>
      <c r="B375" s="360"/>
      <c r="C375" s="298" t="s">
        <v>369</v>
      </c>
      <c r="D375" s="297">
        <v>150000</v>
      </c>
      <c r="E375" s="280">
        <v>1</v>
      </c>
      <c r="F375" s="182"/>
      <c r="G375" s="182"/>
      <c r="H375" s="182"/>
      <c r="I375" s="182">
        <f t="shared" si="30"/>
        <v>150000</v>
      </c>
      <c r="J375" s="182"/>
      <c r="K375" s="361">
        <f t="shared" si="29"/>
        <v>150000</v>
      </c>
      <c r="L375" s="646" t="s">
        <v>269</v>
      </c>
      <c r="M375" s="184"/>
      <c r="N375" s="360"/>
      <c r="O375" s="360"/>
      <c r="P375" s="360"/>
      <c r="Q375" s="360"/>
    </row>
    <row r="376" spans="1:17" ht="37.5">
      <c r="A376" s="359"/>
      <c r="B376" s="360"/>
      <c r="C376" s="305" t="s">
        <v>320</v>
      </c>
      <c r="D376" s="279">
        <v>44000</v>
      </c>
      <c r="E376" s="280">
        <v>1</v>
      </c>
      <c r="F376" s="182"/>
      <c r="G376" s="182"/>
      <c r="H376" s="182"/>
      <c r="I376" s="182">
        <f t="shared" si="30"/>
        <v>44000</v>
      </c>
      <c r="J376" s="182"/>
      <c r="K376" s="361">
        <f t="shared" si="29"/>
        <v>44000</v>
      </c>
      <c r="L376" s="646" t="s">
        <v>294</v>
      </c>
      <c r="M376" s="184"/>
      <c r="N376" s="360"/>
      <c r="O376" s="360"/>
      <c r="P376" s="360"/>
      <c r="Q376" s="360"/>
    </row>
    <row r="377" spans="1:17" ht="37.5">
      <c r="A377" s="359"/>
      <c r="B377" s="360"/>
      <c r="C377" s="305" t="s">
        <v>321</v>
      </c>
      <c r="D377" s="279">
        <v>70000</v>
      </c>
      <c r="E377" s="280">
        <v>1</v>
      </c>
      <c r="F377" s="182"/>
      <c r="G377" s="182"/>
      <c r="H377" s="182"/>
      <c r="I377" s="182">
        <f t="shared" si="30"/>
        <v>70000</v>
      </c>
      <c r="J377" s="182"/>
      <c r="K377" s="361">
        <f t="shared" si="29"/>
        <v>70000</v>
      </c>
      <c r="L377" s="646" t="s">
        <v>294</v>
      </c>
      <c r="M377" s="184"/>
      <c r="N377" s="360"/>
      <c r="O377" s="360"/>
      <c r="P377" s="360"/>
      <c r="Q377" s="360"/>
    </row>
    <row r="378" spans="1:17" ht="37.5">
      <c r="A378" s="359"/>
      <c r="B378" s="360"/>
      <c r="C378" s="298" t="s">
        <v>370</v>
      </c>
      <c r="D378" s="297">
        <v>1507000</v>
      </c>
      <c r="E378" s="280">
        <v>1</v>
      </c>
      <c r="F378" s="182"/>
      <c r="G378" s="182"/>
      <c r="H378" s="182"/>
      <c r="I378" s="182">
        <f t="shared" si="30"/>
        <v>1507000</v>
      </c>
      <c r="J378" s="182"/>
      <c r="K378" s="361">
        <f t="shared" si="29"/>
        <v>1507000</v>
      </c>
      <c r="L378" s="646" t="s">
        <v>269</v>
      </c>
      <c r="M378" s="184"/>
      <c r="N378" s="360"/>
      <c r="O378" s="360"/>
      <c r="P378" s="360"/>
      <c r="Q378" s="360"/>
    </row>
    <row r="379" spans="1:17" ht="37.5">
      <c r="A379" s="359"/>
      <c r="B379" s="360"/>
      <c r="C379" s="299" t="s">
        <v>371</v>
      </c>
      <c r="D379" s="297">
        <v>1000000</v>
      </c>
      <c r="E379" s="280">
        <v>1</v>
      </c>
      <c r="F379" s="182"/>
      <c r="G379" s="182"/>
      <c r="H379" s="182"/>
      <c r="I379" s="182">
        <f t="shared" si="30"/>
        <v>1000000</v>
      </c>
      <c r="J379" s="182"/>
      <c r="K379" s="361">
        <f t="shared" si="29"/>
        <v>1000000</v>
      </c>
      <c r="L379" s="646" t="s">
        <v>271</v>
      </c>
      <c r="M379" s="184"/>
      <c r="N379" s="360"/>
      <c r="O379" s="360"/>
      <c r="P379" s="360"/>
      <c r="Q379" s="360"/>
    </row>
    <row r="380" spans="1:17" ht="37.5">
      <c r="A380" s="359"/>
      <c r="B380" s="360"/>
      <c r="C380" s="299" t="s">
        <v>279</v>
      </c>
      <c r="D380" s="297">
        <v>260000</v>
      </c>
      <c r="E380" s="280">
        <v>1</v>
      </c>
      <c r="F380" s="182"/>
      <c r="G380" s="182"/>
      <c r="H380" s="182"/>
      <c r="I380" s="182">
        <f t="shared" si="30"/>
        <v>260000</v>
      </c>
      <c r="J380" s="182"/>
      <c r="K380" s="361">
        <f t="shared" si="29"/>
        <v>260000</v>
      </c>
      <c r="L380" s="646" t="s">
        <v>271</v>
      </c>
      <c r="M380" s="184"/>
      <c r="N380" s="360"/>
      <c r="O380" s="360"/>
      <c r="P380" s="360"/>
      <c r="Q380" s="360"/>
    </row>
    <row r="381" spans="1:17" ht="20.25">
      <c r="A381" s="359"/>
      <c r="B381" s="360"/>
      <c r="C381" s="300" t="s">
        <v>372</v>
      </c>
      <c r="D381" s="301">
        <v>450000</v>
      </c>
      <c r="E381" s="280">
        <v>1</v>
      </c>
      <c r="F381" s="182"/>
      <c r="G381" s="182"/>
      <c r="H381" s="182"/>
      <c r="I381" s="182">
        <f t="shared" si="30"/>
        <v>450000</v>
      </c>
      <c r="J381" s="182"/>
      <c r="K381" s="361">
        <f t="shared" si="29"/>
        <v>450000</v>
      </c>
      <c r="L381" s="646" t="s">
        <v>277</v>
      </c>
      <c r="M381" s="184"/>
      <c r="N381" s="360"/>
      <c r="O381" s="360"/>
      <c r="P381" s="360"/>
      <c r="Q381" s="360"/>
    </row>
    <row r="382" spans="1:17" ht="20.25">
      <c r="A382" s="359"/>
      <c r="B382" s="360"/>
      <c r="C382" s="300" t="s">
        <v>265</v>
      </c>
      <c r="D382" s="301">
        <v>460000</v>
      </c>
      <c r="E382" s="280">
        <v>1</v>
      </c>
      <c r="F382" s="182"/>
      <c r="G382" s="182"/>
      <c r="H382" s="182"/>
      <c r="I382" s="182">
        <f t="shared" si="30"/>
        <v>460000</v>
      </c>
      <c r="J382" s="182"/>
      <c r="K382" s="361">
        <f t="shared" si="29"/>
        <v>460000</v>
      </c>
      <c r="L382" s="646" t="s">
        <v>277</v>
      </c>
      <c r="M382" s="184"/>
      <c r="N382" s="360"/>
      <c r="O382" s="360"/>
      <c r="P382" s="360"/>
      <c r="Q382" s="360"/>
    </row>
    <row r="383" spans="1:17" ht="20.25">
      <c r="A383" s="359"/>
      <c r="B383" s="360"/>
      <c r="C383" s="300" t="s">
        <v>282</v>
      </c>
      <c r="D383" s="301">
        <v>175000</v>
      </c>
      <c r="E383" s="280">
        <v>1</v>
      </c>
      <c r="F383" s="182"/>
      <c r="G383" s="182"/>
      <c r="H383" s="182"/>
      <c r="I383" s="182">
        <f t="shared" si="30"/>
        <v>175000</v>
      </c>
      <c r="J383" s="182"/>
      <c r="K383" s="361">
        <f t="shared" si="29"/>
        <v>175000</v>
      </c>
      <c r="L383" s="646" t="s">
        <v>277</v>
      </c>
      <c r="M383" s="184"/>
      <c r="N383" s="360"/>
      <c r="O383" s="360"/>
      <c r="P383" s="360"/>
      <c r="Q383" s="360"/>
    </row>
    <row r="384" spans="1:17" ht="20.25">
      <c r="A384" s="359"/>
      <c r="B384" s="360"/>
      <c r="C384" s="300" t="s">
        <v>373</v>
      </c>
      <c r="D384" s="301">
        <v>400000</v>
      </c>
      <c r="E384" s="280">
        <v>1</v>
      </c>
      <c r="F384" s="182"/>
      <c r="G384" s="182"/>
      <c r="H384" s="182"/>
      <c r="I384" s="182">
        <f t="shared" si="30"/>
        <v>400000</v>
      </c>
      <c r="J384" s="182"/>
      <c r="K384" s="361">
        <f t="shared" si="29"/>
        <v>400000</v>
      </c>
      <c r="L384" s="646" t="s">
        <v>277</v>
      </c>
      <c r="M384" s="184"/>
      <c r="N384" s="360"/>
      <c r="O384" s="360"/>
      <c r="P384" s="360"/>
      <c r="Q384" s="360"/>
    </row>
    <row r="385" spans="1:17" ht="37.5">
      <c r="A385" s="359"/>
      <c r="B385" s="360"/>
      <c r="C385" s="298" t="s">
        <v>374</v>
      </c>
      <c r="D385" s="279">
        <v>1198000</v>
      </c>
      <c r="E385" s="280">
        <v>1</v>
      </c>
      <c r="F385" s="182"/>
      <c r="G385" s="182"/>
      <c r="H385" s="182"/>
      <c r="I385" s="182">
        <f t="shared" si="30"/>
        <v>1198000</v>
      </c>
      <c r="J385" s="182"/>
      <c r="K385" s="361">
        <f t="shared" si="29"/>
        <v>1198000</v>
      </c>
      <c r="L385" s="646" t="s">
        <v>375</v>
      </c>
      <c r="M385" s="184"/>
      <c r="N385" s="360"/>
      <c r="O385" s="360"/>
      <c r="P385" s="360"/>
      <c r="Q385" s="360"/>
    </row>
    <row r="386" spans="1:17" ht="37.5">
      <c r="A386" s="359"/>
      <c r="B386" s="360"/>
      <c r="C386" s="298" t="s">
        <v>376</v>
      </c>
      <c r="D386" s="279">
        <v>120000</v>
      </c>
      <c r="E386" s="280">
        <v>1</v>
      </c>
      <c r="F386" s="182"/>
      <c r="G386" s="182"/>
      <c r="H386" s="182"/>
      <c r="I386" s="182">
        <f t="shared" si="30"/>
        <v>120000</v>
      </c>
      <c r="J386" s="182"/>
      <c r="K386" s="361">
        <f t="shared" si="29"/>
        <v>120000</v>
      </c>
      <c r="L386" s="646" t="s">
        <v>375</v>
      </c>
      <c r="M386" s="184"/>
      <c r="N386" s="360"/>
      <c r="O386" s="360"/>
      <c r="P386" s="360"/>
      <c r="Q386" s="360"/>
    </row>
    <row r="387" spans="1:17" ht="37.5">
      <c r="A387" s="359"/>
      <c r="B387" s="360"/>
      <c r="C387" s="299" t="s">
        <v>377</v>
      </c>
      <c r="D387" s="303">
        <v>330000</v>
      </c>
      <c r="E387" s="280">
        <v>1</v>
      </c>
      <c r="F387" s="182"/>
      <c r="G387" s="182"/>
      <c r="H387" s="182"/>
      <c r="I387" s="182">
        <f t="shared" si="30"/>
        <v>330000</v>
      </c>
      <c r="J387" s="182"/>
      <c r="K387" s="361">
        <f t="shared" si="29"/>
        <v>330000</v>
      </c>
      <c r="L387" s="646" t="s">
        <v>277</v>
      </c>
      <c r="M387" s="184"/>
      <c r="N387" s="360"/>
      <c r="O387" s="360"/>
      <c r="P387" s="360"/>
      <c r="Q387" s="360"/>
    </row>
    <row r="388" spans="1:17" ht="37.5">
      <c r="A388" s="359"/>
      <c r="B388" s="360"/>
      <c r="C388" s="299" t="s">
        <v>378</v>
      </c>
      <c r="D388" s="303">
        <v>650000</v>
      </c>
      <c r="E388" s="280">
        <v>1</v>
      </c>
      <c r="F388" s="182"/>
      <c r="G388" s="182"/>
      <c r="H388" s="182"/>
      <c r="I388" s="182">
        <f t="shared" si="30"/>
        <v>650000</v>
      </c>
      <c r="J388" s="182"/>
      <c r="K388" s="361">
        <f t="shared" si="29"/>
        <v>650000</v>
      </c>
      <c r="L388" s="646" t="s">
        <v>277</v>
      </c>
      <c r="M388" s="184"/>
      <c r="N388" s="360"/>
      <c r="O388" s="360"/>
      <c r="P388" s="360"/>
      <c r="Q388" s="360"/>
    </row>
    <row r="389" spans="1:17" ht="37.5">
      <c r="A389" s="359"/>
      <c r="B389" s="360"/>
      <c r="C389" s="305" t="s">
        <v>352</v>
      </c>
      <c r="D389" s="279">
        <v>15000</v>
      </c>
      <c r="E389" s="280">
        <v>1</v>
      </c>
      <c r="F389" s="182"/>
      <c r="G389" s="182"/>
      <c r="H389" s="182"/>
      <c r="I389" s="182">
        <f t="shared" si="30"/>
        <v>15000</v>
      </c>
      <c r="J389" s="182"/>
      <c r="K389" s="361">
        <f t="shared" si="29"/>
        <v>15000</v>
      </c>
      <c r="L389" s="646" t="s">
        <v>294</v>
      </c>
      <c r="M389" s="184"/>
      <c r="N389" s="360"/>
      <c r="O389" s="360"/>
      <c r="P389" s="360"/>
      <c r="Q389" s="360"/>
    </row>
    <row r="390" spans="1:17" ht="37.5">
      <c r="A390" s="359"/>
      <c r="B390" s="360"/>
      <c r="C390" s="305" t="s">
        <v>379</v>
      </c>
      <c r="D390" s="279">
        <v>15000</v>
      </c>
      <c r="E390" s="280">
        <v>1</v>
      </c>
      <c r="F390" s="182"/>
      <c r="G390" s="182"/>
      <c r="H390" s="182"/>
      <c r="I390" s="182">
        <f t="shared" si="30"/>
        <v>15000</v>
      </c>
      <c r="J390" s="182"/>
      <c r="K390" s="361">
        <f t="shared" si="29"/>
        <v>15000</v>
      </c>
      <c r="L390" s="646" t="s">
        <v>294</v>
      </c>
      <c r="M390" s="184"/>
      <c r="N390" s="360"/>
      <c r="O390" s="360"/>
      <c r="P390" s="360"/>
      <c r="Q390" s="360"/>
    </row>
    <row r="391" spans="1:17" ht="20.25">
      <c r="A391" s="359"/>
      <c r="B391" s="360"/>
      <c r="C391" s="305" t="s">
        <v>380</v>
      </c>
      <c r="D391" s="279">
        <v>13000</v>
      </c>
      <c r="E391" s="280">
        <v>1</v>
      </c>
      <c r="F391" s="182"/>
      <c r="G391" s="182"/>
      <c r="H391" s="182"/>
      <c r="I391" s="182">
        <f t="shared" si="30"/>
        <v>13000</v>
      </c>
      <c r="J391" s="182"/>
      <c r="K391" s="361">
        <f t="shared" si="29"/>
        <v>13000</v>
      </c>
      <c r="L391" s="646" t="s">
        <v>294</v>
      </c>
      <c r="M391" s="184"/>
      <c r="N391" s="360"/>
      <c r="O391" s="360"/>
      <c r="P391" s="360"/>
      <c r="Q391" s="360"/>
    </row>
    <row r="392" spans="1:17" ht="56.25">
      <c r="A392" s="359"/>
      <c r="B392" s="360"/>
      <c r="C392" s="305" t="s">
        <v>381</v>
      </c>
      <c r="D392" s="279">
        <v>28000</v>
      </c>
      <c r="E392" s="280">
        <v>1</v>
      </c>
      <c r="F392" s="182"/>
      <c r="G392" s="182"/>
      <c r="H392" s="182"/>
      <c r="I392" s="182">
        <f t="shared" si="30"/>
        <v>28000</v>
      </c>
      <c r="J392" s="182"/>
      <c r="K392" s="361">
        <f t="shared" si="29"/>
        <v>28000</v>
      </c>
      <c r="L392" s="646" t="s">
        <v>294</v>
      </c>
      <c r="M392" s="184"/>
      <c r="N392" s="360"/>
      <c r="O392" s="360"/>
      <c r="P392" s="360"/>
      <c r="Q392" s="360"/>
    </row>
    <row r="393" spans="1:17" ht="37.5">
      <c r="A393" s="359"/>
      <c r="B393" s="360"/>
      <c r="C393" s="305" t="s">
        <v>382</v>
      </c>
      <c r="D393" s="279">
        <v>18000</v>
      </c>
      <c r="E393" s="280">
        <v>1</v>
      </c>
      <c r="F393" s="182"/>
      <c r="G393" s="182"/>
      <c r="H393" s="182"/>
      <c r="I393" s="182">
        <f t="shared" si="30"/>
        <v>18000</v>
      </c>
      <c r="J393" s="182"/>
      <c r="K393" s="361">
        <f t="shared" si="29"/>
        <v>18000</v>
      </c>
      <c r="L393" s="646" t="s">
        <v>294</v>
      </c>
      <c r="M393" s="184"/>
      <c r="N393" s="360"/>
      <c r="O393" s="360"/>
      <c r="P393" s="360"/>
      <c r="Q393" s="360"/>
    </row>
    <row r="394" spans="1:17" ht="20.25">
      <c r="A394" s="359"/>
      <c r="B394" s="360"/>
      <c r="C394" s="305" t="s">
        <v>383</v>
      </c>
      <c r="D394" s="279">
        <v>150000</v>
      </c>
      <c r="E394" s="280">
        <v>1</v>
      </c>
      <c r="F394" s="182"/>
      <c r="G394" s="182"/>
      <c r="H394" s="182"/>
      <c r="I394" s="182">
        <f t="shared" si="30"/>
        <v>150000</v>
      </c>
      <c r="J394" s="182"/>
      <c r="K394" s="361">
        <f t="shared" si="29"/>
        <v>150000</v>
      </c>
      <c r="L394" s="646" t="s">
        <v>294</v>
      </c>
      <c r="M394" s="184"/>
      <c r="N394" s="360"/>
      <c r="O394" s="360"/>
      <c r="P394" s="360"/>
      <c r="Q394" s="360"/>
    </row>
    <row r="395" spans="1:17" ht="20.25">
      <c r="A395" s="359"/>
      <c r="B395" s="360"/>
      <c r="C395" s="305" t="s">
        <v>384</v>
      </c>
      <c r="D395" s="279">
        <v>245000</v>
      </c>
      <c r="E395" s="280">
        <v>1</v>
      </c>
      <c r="F395" s="182"/>
      <c r="G395" s="182"/>
      <c r="H395" s="182"/>
      <c r="I395" s="182">
        <f t="shared" si="30"/>
        <v>245000</v>
      </c>
      <c r="J395" s="182"/>
      <c r="K395" s="361">
        <f t="shared" si="29"/>
        <v>245000</v>
      </c>
      <c r="L395" s="646" t="s">
        <v>294</v>
      </c>
      <c r="M395" s="184"/>
      <c r="N395" s="360"/>
      <c r="O395" s="360"/>
      <c r="P395" s="360"/>
      <c r="Q395" s="360"/>
    </row>
    <row r="396" spans="1:17" ht="37.5">
      <c r="A396" s="359"/>
      <c r="B396" s="360"/>
      <c r="C396" s="305" t="s">
        <v>322</v>
      </c>
      <c r="D396" s="279">
        <v>15000</v>
      </c>
      <c r="E396" s="280">
        <v>1</v>
      </c>
      <c r="F396" s="182"/>
      <c r="G396" s="182"/>
      <c r="H396" s="182"/>
      <c r="I396" s="182">
        <f t="shared" si="30"/>
        <v>15000</v>
      </c>
      <c r="J396" s="182"/>
      <c r="K396" s="361">
        <f t="shared" si="29"/>
        <v>15000</v>
      </c>
      <c r="L396" s="646" t="s">
        <v>294</v>
      </c>
      <c r="M396" s="184"/>
      <c r="N396" s="360"/>
      <c r="O396" s="360"/>
      <c r="P396" s="360"/>
      <c r="Q396" s="360"/>
    </row>
    <row r="397" spans="1:17" ht="20.25">
      <c r="A397" s="359"/>
      <c r="B397" s="360"/>
      <c r="C397" s="280" t="s">
        <v>385</v>
      </c>
      <c r="D397" s="279">
        <v>5000000</v>
      </c>
      <c r="E397" s="282">
        <v>1</v>
      </c>
      <c r="F397" s="182"/>
      <c r="G397" s="182"/>
      <c r="H397" s="182"/>
      <c r="I397" s="182"/>
      <c r="J397" s="182">
        <f>D397</f>
        <v>5000000</v>
      </c>
      <c r="K397" s="361">
        <f t="shared" ref="K397:K424" si="31">SUM(J397)</f>
        <v>5000000</v>
      </c>
      <c r="L397" s="646" t="s">
        <v>245</v>
      </c>
      <c r="M397" s="184"/>
      <c r="N397" s="360"/>
      <c r="O397" s="360"/>
      <c r="P397" s="360"/>
      <c r="Q397" s="360"/>
    </row>
    <row r="398" spans="1:17" ht="20.25">
      <c r="A398" s="359"/>
      <c r="B398" s="360"/>
      <c r="C398" s="280" t="s">
        <v>386</v>
      </c>
      <c r="D398" s="297">
        <v>1700000</v>
      </c>
      <c r="E398" s="276">
        <v>1</v>
      </c>
      <c r="F398" s="182"/>
      <c r="G398" s="182"/>
      <c r="H398" s="182"/>
      <c r="I398" s="182"/>
      <c r="J398" s="182">
        <f>D398</f>
        <v>1700000</v>
      </c>
      <c r="K398" s="361">
        <f t="shared" si="31"/>
        <v>1700000</v>
      </c>
      <c r="L398" s="646" t="s">
        <v>269</v>
      </c>
      <c r="M398" s="184"/>
      <c r="N398" s="360"/>
      <c r="O398" s="360"/>
      <c r="P398" s="360"/>
      <c r="Q398" s="360"/>
    </row>
    <row r="399" spans="1:17" ht="56.25">
      <c r="A399" s="359"/>
      <c r="B399" s="360"/>
      <c r="C399" s="299" t="s">
        <v>387</v>
      </c>
      <c r="D399" s="297">
        <v>207000</v>
      </c>
      <c r="E399" s="276">
        <v>1</v>
      </c>
      <c r="F399" s="182"/>
      <c r="G399" s="182"/>
      <c r="H399" s="182"/>
      <c r="I399" s="182"/>
      <c r="J399" s="182">
        <f>D399</f>
        <v>207000</v>
      </c>
      <c r="K399" s="361">
        <f t="shared" si="31"/>
        <v>207000</v>
      </c>
      <c r="L399" s="646" t="s">
        <v>271</v>
      </c>
      <c r="M399" s="184"/>
      <c r="N399" s="360"/>
      <c r="O399" s="360"/>
      <c r="P399" s="360"/>
      <c r="Q399" s="360"/>
    </row>
    <row r="400" spans="1:17" ht="37.5">
      <c r="A400" s="359"/>
      <c r="B400" s="360"/>
      <c r="C400" s="299" t="s">
        <v>388</v>
      </c>
      <c r="D400" s="297">
        <v>910000</v>
      </c>
      <c r="E400" s="276">
        <v>1</v>
      </c>
      <c r="F400" s="182"/>
      <c r="G400" s="182"/>
      <c r="H400" s="182"/>
      <c r="I400" s="182"/>
      <c r="J400" s="182">
        <f>D400</f>
        <v>910000</v>
      </c>
      <c r="K400" s="361">
        <f t="shared" si="31"/>
        <v>910000</v>
      </c>
      <c r="L400" s="646" t="s">
        <v>271</v>
      </c>
      <c r="M400" s="184"/>
      <c r="N400" s="360"/>
      <c r="O400" s="360"/>
      <c r="P400" s="360"/>
      <c r="Q400" s="360"/>
    </row>
    <row r="401" spans="1:17" ht="35.450000000000003" customHeight="1">
      <c r="A401" s="359"/>
      <c r="B401" s="360"/>
      <c r="C401" s="299" t="s">
        <v>389</v>
      </c>
      <c r="D401" s="303">
        <v>70000</v>
      </c>
      <c r="E401" s="276">
        <v>2</v>
      </c>
      <c r="F401" s="182"/>
      <c r="G401" s="182"/>
      <c r="H401" s="182"/>
      <c r="I401" s="182"/>
      <c r="J401" s="182">
        <f>D401*E401</f>
        <v>140000</v>
      </c>
      <c r="K401" s="361">
        <f t="shared" si="31"/>
        <v>140000</v>
      </c>
      <c r="L401" s="646" t="s">
        <v>271</v>
      </c>
      <c r="M401" s="184"/>
      <c r="N401" s="360"/>
      <c r="O401" s="360"/>
      <c r="P401" s="360"/>
      <c r="Q401" s="360"/>
    </row>
    <row r="402" spans="1:17" ht="20.25">
      <c r="A402" s="359"/>
      <c r="B402" s="360"/>
      <c r="C402" s="300" t="s">
        <v>92</v>
      </c>
      <c r="D402" s="301">
        <v>480000</v>
      </c>
      <c r="E402" s="300">
        <v>1</v>
      </c>
      <c r="F402" s="182"/>
      <c r="G402" s="182"/>
      <c r="H402" s="182"/>
      <c r="I402" s="182"/>
      <c r="J402" s="182">
        <f t="shared" ref="J402:J407" si="32">D402</f>
        <v>480000</v>
      </c>
      <c r="K402" s="361">
        <f t="shared" si="31"/>
        <v>480000</v>
      </c>
      <c r="L402" s="646" t="s">
        <v>277</v>
      </c>
      <c r="M402" s="184"/>
      <c r="N402" s="360"/>
      <c r="O402" s="360"/>
      <c r="P402" s="360"/>
      <c r="Q402" s="360"/>
    </row>
    <row r="403" spans="1:17" ht="20.25">
      <c r="A403" s="359"/>
      <c r="B403" s="360"/>
      <c r="C403" s="300" t="s">
        <v>390</v>
      </c>
      <c r="D403" s="301">
        <v>930000</v>
      </c>
      <c r="E403" s="300">
        <v>1</v>
      </c>
      <c r="F403" s="182"/>
      <c r="G403" s="182"/>
      <c r="H403" s="182"/>
      <c r="I403" s="182"/>
      <c r="J403" s="182">
        <f t="shared" si="32"/>
        <v>930000</v>
      </c>
      <c r="K403" s="361">
        <f t="shared" si="31"/>
        <v>930000</v>
      </c>
      <c r="L403" s="646" t="s">
        <v>277</v>
      </c>
      <c r="M403" s="184"/>
      <c r="N403" s="360"/>
      <c r="O403" s="360"/>
      <c r="P403" s="360"/>
      <c r="Q403" s="360"/>
    </row>
    <row r="404" spans="1:17" ht="56.25">
      <c r="A404" s="359"/>
      <c r="B404" s="360"/>
      <c r="C404" s="299" t="s">
        <v>391</v>
      </c>
      <c r="D404" s="303">
        <v>39000</v>
      </c>
      <c r="E404" s="276">
        <v>1</v>
      </c>
      <c r="F404" s="182"/>
      <c r="G404" s="182"/>
      <c r="H404" s="182"/>
      <c r="I404" s="182"/>
      <c r="J404" s="182">
        <f t="shared" si="32"/>
        <v>39000</v>
      </c>
      <c r="K404" s="361">
        <f t="shared" si="31"/>
        <v>39000</v>
      </c>
      <c r="L404" s="646" t="s">
        <v>392</v>
      </c>
      <c r="M404" s="184"/>
      <c r="N404" s="360"/>
      <c r="O404" s="360"/>
      <c r="P404" s="360"/>
      <c r="Q404" s="360"/>
    </row>
    <row r="405" spans="1:17" ht="20.25">
      <c r="A405" s="359"/>
      <c r="B405" s="360"/>
      <c r="C405" s="299" t="s">
        <v>393</v>
      </c>
      <c r="D405" s="303">
        <v>97000</v>
      </c>
      <c r="E405" s="276">
        <v>1</v>
      </c>
      <c r="F405" s="182"/>
      <c r="G405" s="182"/>
      <c r="H405" s="182"/>
      <c r="I405" s="182"/>
      <c r="J405" s="182">
        <f t="shared" si="32"/>
        <v>97000</v>
      </c>
      <c r="K405" s="361">
        <f t="shared" si="31"/>
        <v>97000</v>
      </c>
      <c r="L405" s="646" t="s">
        <v>392</v>
      </c>
      <c r="M405" s="184"/>
      <c r="N405" s="360"/>
      <c r="O405" s="360"/>
      <c r="P405" s="360"/>
      <c r="Q405" s="360"/>
    </row>
    <row r="406" spans="1:17" ht="37.5">
      <c r="A406" s="359"/>
      <c r="B406" s="360"/>
      <c r="C406" s="299" t="s">
        <v>394</v>
      </c>
      <c r="D406" s="303">
        <v>760000</v>
      </c>
      <c r="E406" s="276">
        <v>1</v>
      </c>
      <c r="F406" s="182"/>
      <c r="G406" s="182"/>
      <c r="H406" s="182"/>
      <c r="I406" s="182"/>
      <c r="J406" s="182">
        <f t="shared" si="32"/>
        <v>760000</v>
      </c>
      <c r="K406" s="361">
        <f t="shared" si="31"/>
        <v>760000</v>
      </c>
      <c r="L406" s="646" t="s">
        <v>392</v>
      </c>
      <c r="M406" s="184"/>
      <c r="N406" s="360"/>
      <c r="O406" s="360"/>
      <c r="P406" s="360"/>
      <c r="Q406" s="360"/>
    </row>
    <row r="407" spans="1:17" ht="56.25">
      <c r="A407" s="359"/>
      <c r="B407" s="360"/>
      <c r="C407" s="298" t="s">
        <v>395</v>
      </c>
      <c r="D407" s="279">
        <v>1133000</v>
      </c>
      <c r="E407" s="276">
        <v>1</v>
      </c>
      <c r="F407" s="182"/>
      <c r="G407" s="182"/>
      <c r="H407" s="182"/>
      <c r="I407" s="182"/>
      <c r="J407" s="182">
        <f t="shared" si="32"/>
        <v>1133000</v>
      </c>
      <c r="K407" s="361">
        <f t="shared" si="31"/>
        <v>1133000</v>
      </c>
      <c r="L407" s="646" t="s">
        <v>280</v>
      </c>
      <c r="M407" s="184"/>
      <c r="N407" s="360"/>
      <c r="O407" s="360"/>
      <c r="P407" s="360"/>
      <c r="Q407" s="360"/>
    </row>
    <row r="408" spans="1:17" ht="20.25">
      <c r="A408" s="359"/>
      <c r="B408" s="360"/>
      <c r="C408" s="298" t="s">
        <v>313</v>
      </c>
      <c r="D408" s="279">
        <v>75000</v>
      </c>
      <c r="E408" s="276">
        <v>1</v>
      </c>
      <c r="F408" s="182"/>
      <c r="G408" s="182"/>
      <c r="H408" s="182"/>
      <c r="I408" s="182"/>
      <c r="J408" s="182">
        <f t="shared" ref="J408:J424" si="33">D408</f>
        <v>75000</v>
      </c>
      <c r="K408" s="361">
        <f t="shared" si="31"/>
        <v>75000</v>
      </c>
      <c r="L408" s="646" t="s">
        <v>280</v>
      </c>
      <c r="M408" s="184"/>
      <c r="N408" s="360"/>
      <c r="O408" s="360"/>
      <c r="P408" s="360"/>
      <c r="Q408" s="360"/>
    </row>
    <row r="409" spans="1:17" ht="20.25">
      <c r="A409" s="359"/>
      <c r="B409" s="360"/>
      <c r="C409" s="298" t="s">
        <v>326</v>
      </c>
      <c r="D409" s="279">
        <v>22000</v>
      </c>
      <c r="E409" s="276">
        <v>2</v>
      </c>
      <c r="F409" s="182"/>
      <c r="G409" s="182"/>
      <c r="H409" s="182"/>
      <c r="I409" s="182"/>
      <c r="J409" s="182">
        <f t="shared" si="33"/>
        <v>22000</v>
      </c>
      <c r="K409" s="361">
        <f t="shared" si="31"/>
        <v>22000</v>
      </c>
      <c r="L409" s="646" t="s">
        <v>280</v>
      </c>
      <c r="M409" s="184"/>
      <c r="N409" s="360"/>
      <c r="O409" s="360"/>
      <c r="P409" s="360"/>
      <c r="Q409" s="360"/>
    </row>
    <row r="410" spans="1:17" ht="37.5">
      <c r="A410" s="359"/>
      <c r="B410" s="360"/>
      <c r="C410" s="285" t="s">
        <v>396</v>
      </c>
      <c r="D410" s="279">
        <v>930000</v>
      </c>
      <c r="E410" s="276">
        <v>1</v>
      </c>
      <c r="F410" s="182"/>
      <c r="G410" s="182"/>
      <c r="H410" s="182"/>
      <c r="I410" s="182"/>
      <c r="J410" s="182">
        <f t="shared" si="33"/>
        <v>930000</v>
      </c>
      <c r="K410" s="361">
        <f t="shared" si="31"/>
        <v>930000</v>
      </c>
      <c r="L410" s="646" t="s">
        <v>252</v>
      </c>
      <c r="M410" s="184"/>
      <c r="N410" s="360"/>
      <c r="O410" s="360"/>
      <c r="P410" s="360"/>
      <c r="Q410" s="360"/>
    </row>
    <row r="411" spans="1:17" ht="20.25">
      <c r="A411" s="359"/>
      <c r="B411" s="360"/>
      <c r="C411" s="285" t="s">
        <v>397</v>
      </c>
      <c r="D411" s="279">
        <v>750000</v>
      </c>
      <c r="E411" s="276">
        <v>1</v>
      </c>
      <c r="F411" s="182"/>
      <c r="G411" s="182"/>
      <c r="H411" s="182"/>
      <c r="I411" s="182"/>
      <c r="J411" s="182">
        <f t="shared" si="33"/>
        <v>750000</v>
      </c>
      <c r="K411" s="361">
        <f t="shared" si="31"/>
        <v>750000</v>
      </c>
      <c r="L411" s="646" t="s">
        <v>252</v>
      </c>
      <c r="M411" s="184"/>
      <c r="N411" s="360"/>
      <c r="O411" s="360"/>
      <c r="P411" s="360"/>
      <c r="Q411" s="360"/>
    </row>
    <row r="412" spans="1:17" ht="37.5">
      <c r="A412" s="359"/>
      <c r="B412" s="360"/>
      <c r="C412" s="305" t="s">
        <v>321</v>
      </c>
      <c r="D412" s="279">
        <v>70000</v>
      </c>
      <c r="E412" s="276">
        <v>1</v>
      </c>
      <c r="F412" s="182"/>
      <c r="G412" s="182"/>
      <c r="H412" s="182"/>
      <c r="I412" s="182"/>
      <c r="J412" s="182">
        <f t="shared" si="33"/>
        <v>70000</v>
      </c>
      <c r="K412" s="361">
        <f t="shared" si="31"/>
        <v>70000</v>
      </c>
      <c r="L412" s="646" t="s">
        <v>294</v>
      </c>
      <c r="M412" s="184"/>
      <c r="N412" s="360"/>
      <c r="O412" s="360"/>
      <c r="P412" s="360"/>
      <c r="Q412" s="360"/>
    </row>
    <row r="413" spans="1:17" ht="20.25">
      <c r="A413" s="359"/>
      <c r="B413" s="360"/>
      <c r="C413" s="305" t="s">
        <v>398</v>
      </c>
      <c r="D413" s="279">
        <v>11000</v>
      </c>
      <c r="E413" s="276">
        <v>1</v>
      </c>
      <c r="F413" s="182"/>
      <c r="G413" s="182"/>
      <c r="H413" s="182"/>
      <c r="I413" s="182"/>
      <c r="J413" s="182">
        <f t="shared" si="33"/>
        <v>11000</v>
      </c>
      <c r="K413" s="361">
        <f t="shared" si="31"/>
        <v>11000</v>
      </c>
      <c r="L413" s="646" t="s">
        <v>294</v>
      </c>
      <c r="M413" s="184"/>
      <c r="N413" s="360"/>
      <c r="O413" s="360"/>
      <c r="P413" s="360"/>
      <c r="Q413" s="360"/>
    </row>
    <row r="414" spans="1:17" ht="37.5">
      <c r="A414" s="359"/>
      <c r="B414" s="360"/>
      <c r="C414" s="305" t="s">
        <v>352</v>
      </c>
      <c r="D414" s="279">
        <v>15000</v>
      </c>
      <c r="E414" s="276">
        <v>1</v>
      </c>
      <c r="F414" s="182"/>
      <c r="G414" s="182"/>
      <c r="H414" s="182"/>
      <c r="I414" s="182"/>
      <c r="J414" s="182">
        <f t="shared" si="33"/>
        <v>15000</v>
      </c>
      <c r="K414" s="361">
        <f t="shared" si="31"/>
        <v>15000</v>
      </c>
      <c r="L414" s="646" t="s">
        <v>294</v>
      </c>
      <c r="M414" s="184"/>
      <c r="N414" s="360"/>
      <c r="O414" s="360"/>
      <c r="P414" s="360"/>
      <c r="Q414" s="360"/>
    </row>
    <row r="415" spans="1:17" ht="20.25">
      <c r="A415" s="359"/>
      <c r="B415" s="360"/>
      <c r="C415" s="305" t="s">
        <v>399</v>
      </c>
      <c r="D415" s="279">
        <v>20000</v>
      </c>
      <c r="E415" s="276">
        <v>1</v>
      </c>
      <c r="F415" s="182"/>
      <c r="G415" s="182"/>
      <c r="H415" s="182"/>
      <c r="I415" s="182"/>
      <c r="J415" s="182">
        <f t="shared" si="33"/>
        <v>20000</v>
      </c>
      <c r="K415" s="361">
        <f t="shared" si="31"/>
        <v>20000</v>
      </c>
      <c r="L415" s="646" t="s">
        <v>294</v>
      </c>
      <c r="M415" s="184"/>
      <c r="N415" s="360"/>
      <c r="O415" s="360"/>
      <c r="P415" s="360"/>
      <c r="Q415" s="360"/>
    </row>
    <row r="416" spans="1:17" ht="56.25">
      <c r="A416" s="359"/>
      <c r="B416" s="360"/>
      <c r="C416" s="305" t="s">
        <v>355</v>
      </c>
      <c r="D416" s="279">
        <v>30000</v>
      </c>
      <c r="E416" s="276">
        <v>1</v>
      </c>
      <c r="F416" s="182"/>
      <c r="G416" s="182"/>
      <c r="H416" s="182"/>
      <c r="I416" s="182"/>
      <c r="J416" s="182">
        <f t="shared" si="33"/>
        <v>30000</v>
      </c>
      <c r="K416" s="361">
        <f t="shared" si="31"/>
        <v>30000</v>
      </c>
      <c r="L416" s="646" t="s">
        <v>294</v>
      </c>
      <c r="M416" s="184"/>
      <c r="N416" s="360"/>
      <c r="O416" s="360"/>
      <c r="P416" s="360"/>
      <c r="Q416" s="360"/>
    </row>
    <row r="417" spans="1:17" ht="20.25">
      <c r="A417" s="359"/>
      <c r="B417" s="360"/>
      <c r="C417" s="305" t="s">
        <v>400</v>
      </c>
      <c r="D417" s="279">
        <v>380000</v>
      </c>
      <c r="E417" s="276">
        <v>1</v>
      </c>
      <c r="F417" s="182"/>
      <c r="G417" s="182"/>
      <c r="H417" s="182"/>
      <c r="I417" s="182"/>
      <c r="J417" s="182">
        <f t="shared" si="33"/>
        <v>380000</v>
      </c>
      <c r="K417" s="361">
        <f t="shared" si="31"/>
        <v>380000</v>
      </c>
      <c r="L417" s="646" t="s">
        <v>294</v>
      </c>
      <c r="M417" s="184"/>
      <c r="N417" s="360"/>
      <c r="O417" s="360"/>
      <c r="P417" s="360"/>
      <c r="Q417" s="360"/>
    </row>
    <row r="418" spans="1:17" ht="20.25">
      <c r="A418" s="359"/>
      <c r="B418" s="360"/>
      <c r="C418" s="305" t="s">
        <v>401</v>
      </c>
      <c r="D418" s="279">
        <v>20000</v>
      </c>
      <c r="E418" s="276">
        <v>1</v>
      </c>
      <c r="F418" s="182"/>
      <c r="G418" s="182"/>
      <c r="H418" s="182"/>
      <c r="I418" s="182"/>
      <c r="J418" s="182">
        <f t="shared" si="33"/>
        <v>20000</v>
      </c>
      <c r="K418" s="361">
        <f t="shared" si="31"/>
        <v>20000</v>
      </c>
      <c r="L418" s="646" t="s">
        <v>294</v>
      </c>
      <c r="M418" s="184"/>
      <c r="N418" s="360"/>
      <c r="O418" s="360"/>
      <c r="P418" s="360"/>
      <c r="Q418" s="360"/>
    </row>
    <row r="419" spans="1:17" ht="60.75">
      <c r="A419" s="359"/>
      <c r="B419" s="360"/>
      <c r="C419" s="288" t="s">
        <v>402</v>
      </c>
      <c r="D419" s="289">
        <v>1340000</v>
      </c>
      <c r="E419" s="286">
        <v>1</v>
      </c>
      <c r="F419" s="182"/>
      <c r="G419" s="182"/>
      <c r="H419" s="182"/>
      <c r="I419" s="182"/>
      <c r="J419" s="182">
        <f t="shared" si="33"/>
        <v>1340000</v>
      </c>
      <c r="K419" s="361">
        <f t="shared" si="31"/>
        <v>1340000</v>
      </c>
      <c r="L419" s="646" t="s">
        <v>259</v>
      </c>
      <c r="M419" s="184"/>
      <c r="N419" s="360"/>
      <c r="O419" s="360"/>
      <c r="P419" s="360"/>
      <c r="Q419" s="360"/>
    </row>
    <row r="420" spans="1:17" ht="60.75">
      <c r="A420" s="359"/>
      <c r="B420" s="360"/>
      <c r="C420" s="288" t="s">
        <v>403</v>
      </c>
      <c r="D420" s="289">
        <v>280000</v>
      </c>
      <c r="E420" s="286">
        <v>1</v>
      </c>
      <c r="F420" s="182"/>
      <c r="G420" s="182"/>
      <c r="H420" s="182"/>
      <c r="I420" s="182"/>
      <c r="J420" s="182">
        <f t="shared" si="33"/>
        <v>280000</v>
      </c>
      <c r="K420" s="361">
        <f t="shared" si="31"/>
        <v>280000</v>
      </c>
      <c r="L420" s="646" t="s">
        <v>259</v>
      </c>
      <c r="M420" s="184"/>
      <c r="N420" s="360"/>
      <c r="O420" s="360"/>
      <c r="P420" s="360"/>
      <c r="Q420" s="360"/>
    </row>
    <row r="421" spans="1:17" ht="40.5">
      <c r="A421" s="359"/>
      <c r="B421" s="360"/>
      <c r="C421" s="288" t="s">
        <v>404</v>
      </c>
      <c r="D421" s="289">
        <v>160000</v>
      </c>
      <c r="E421" s="291">
        <v>1</v>
      </c>
      <c r="F421" s="182"/>
      <c r="G421" s="182"/>
      <c r="H421" s="182"/>
      <c r="I421" s="182"/>
      <c r="J421" s="182">
        <f t="shared" si="33"/>
        <v>160000</v>
      </c>
      <c r="K421" s="361">
        <f t="shared" si="31"/>
        <v>160000</v>
      </c>
      <c r="L421" s="646" t="s">
        <v>259</v>
      </c>
      <c r="M421" s="184"/>
      <c r="N421" s="360"/>
      <c r="O421" s="360"/>
      <c r="P421" s="360"/>
      <c r="Q421" s="360"/>
    </row>
    <row r="422" spans="1:17" ht="40.5">
      <c r="A422" s="359"/>
      <c r="B422" s="360"/>
      <c r="C422" s="288" t="s">
        <v>333</v>
      </c>
      <c r="D422" s="289">
        <v>75000</v>
      </c>
      <c r="E422" s="291">
        <v>1</v>
      </c>
      <c r="F422" s="182"/>
      <c r="G422" s="182"/>
      <c r="H422" s="182"/>
      <c r="I422" s="182"/>
      <c r="J422" s="182">
        <f t="shared" si="33"/>
        <v>75000</v>
      </c>
      <c r="K422" s="361">
        <f t="shared" si="31"/>
        <v>75000</v>
      </c>
      <c r="L422" s="646" t="s">
        <v>259</v>
      </c>
      <c r="M422" s="184"/>
      <c r="N422" s="360"/>
      <c r="O422" s="360"/>
      <c r="P422" s="360"/>
      <c r="Q422" s="360"/>
    </row>
    <row r="423" spans="1:17" ht="20.25">
      <c r="A423" s="359"/>
      <c r="B423" s="360"/>
      <c r="C423" s="318" t="s">
        <v>397</v>
      </c>
      <c r="D423" s="294">
        <v>750000</v>
      </c>
      <c r="E423" s="295">
        <v>1</v>
      </c>
      <c r="F423" s="182"/>
      <c r="G423" s="182"/>
      <c r="H423" s="182"/>
      <c r="I423" s="182"/>
      <c r="J423" s="182">
        <f t="shared" si="33"/>
        <v>750000</v>
      </c>
      <c r="K423" s="361">
        <f t="shared" si="31"/>
        <v>750000</v>
      </c>
      <c r="L423" s="646" t="s">
        <v>262</v>
      </c>
      <c r="M423" s="184"/>
      <c r="N423" s="360"/>
      <c r="O423" s="360"/>
      <c r="P423" s="360"/>
      <c r="Q423" s="360"/>
    </row>
    <row r="424" spans="1:17" ht="20.25">
      <c r="A424" s="359"/>
      <c r="B424" s="360"/>
      <c r="C424" s="318" t="s">
        <v>405</v>
      </c>
      <c r="D424" s="294">
        <v>700000</v>
      </c>
      <c r="E424" s="295">
        <v>1</v>
      </c>
      <c r="F424" s="182"/>
      <c r="G424" s="182"/>
      <c r="H424" s="182"/>
      <c r="I424" s="182"/>
      <c r="J424" s="182">
        <f t="shared" si="33"/>
        <v>700000</v>
      </c>
      <c r="K424" s="361">
        <f t="shared" si="31"/>
        <v>700000</v>
      </c>
      <c r="L424" s="646" t="s">
        <v>262</v>
      </c>
      <c r="M424" s="184"/>
      <c r="N424" s="360"/>
      <c r="O424" s="360"/>
      <c r="P424" s="360"/>
      <c r="Q424" s="360"/>
    </row>
    <row r="425" spans="1:17" ht="37.5">
      <c r="A425" s="359"/>
      <c r="B425" s="360"/>
      <c r="C425" s="348" t="s">
        <v>406</v>
      </c>
      <c r="D425" s="349">
        <v>787000</v>
      </c>
      <c r="E425" s="295">
        <v>1</v>
      </c>
      <c r="F425" s="182">
        <f>D425</f>
        <v>787000</v>
      </c>
      <c r="G425" s="182"/>
      <c r="H425" s="182"/>
      <c r="I425" s="182"/>
      <c r="J425" s="182"/>
      <c r="K425" s="361">
        <f>SUM(F425:J425)</f>
        <v>787000</v>
      </c>
      <c r="L425" s="646" t="s">
        <v>407</v>
      </c>
      <c r="M425" s="184"/>
      <c r="N425" s="360"/>
      <c r="O425" s="360"/>
      <c r="P425" s="360"/>
      <c r="Q425" s="360"/>
    </row>
    <row r="426" spans="1:17" ht="37.5">
      <c r="A426" s="359"/>
      <c r="B426" s="360"/>
      <c r="C426" s="348" t="s">
        <v>406</v>
      </c>
      <c r="D426" s="349">
        <v>787000</v>
      </c>
      <c r="E426" s="295">
        <v>1</v>
      </c>
      <c r="F426" s="182">
        <f t="shared" ref="F426:F427" si="34">D426</f>
        <v>787000</v>
      </c>
      <c r="G426" s="182"/>
      <c r="H426" s="182"/>
      <c r="I426" s="182"/>
      <c r="J426" s="182"/>
      <c r="K426" s="361">
        <f>SUM(F426:J426)</f>
        <v>787000</v>
      </c>
      <c r="L426" s="646" t="s">
        <v>408</v>
      </c>
      <c r="M426" s="184"/>
      <c r="N426" s="360"/>
      <c r="O426" s="360"/>
      <c r="P426" s="360"/>
      <c r="Q426" s="360"/>
    </row>
    <row r="427" spans="1:17" ht="37.5">
      <c r="A427" s="359"/>
      <c r="B427" s="360"/>
      <c r="C427" s="348" t="s">
        <v>406</v>
      </c>
      <c r="D427" s="349">
        <v>787000</v>
      </c>
      <c r="E427" s="295">
        <v>1</v>
      </c>
      <c r="F427" s="182">
        <f t="shared" si="34"/>
        <v>787000</v>
      </c>
      <c r="G427" s="182"/>
      <c r="H427" s="182"/>
      <c r="I427" s="182"/>
      <c r="J427" s="182"/>
      <c r="K427" s="361">
        <f>SUM(F427:J427)</f>
        <v>787000</v>
      </c>
      <c r="L427" s="646" t="s">
        <v>409</v>
      </c>
      <c r="M427" s="184"/>
      <c r="N427" s="360"/>
      <c r="O427" s="360"/>
      <c r="P427" s="360"/>
      <c r="Q427" s="360"/>
    </row>
    <row r="428" spans="1:17" ht="20.25">
      <c r="A428" s="359"/>
      <c r="B428" s="360"/>
      <c r="C428" s="356" t="s">
        <v>265</v>
      </c>
      <c r="D428" s="357">
        <v>460000</v>
      </c>
      <c r="E428" s="295">
        <v>1</v>
      </c>
      <c r="F428" s="182"/>
      <c r="G428" s="182">
        <f>D428</f>
        <v>460000</v>
      </c>
      <c r="H428" s="182"/>
      <c r="I428" s="182"/>
      <c r="J428" s="182"/>
      <c r="K428" s="361">
        <f>SUM(G428:J428)</f>
        <v>460000</v>
      </c>
      <c r="L428" s="646" t="s">
        <v>410</v>
      </c>
      <c r="M428" s="184"/>
      <c r="N428" s="360"/>
      <c r="O428" s="360"/>
      <c r="P428" s="360"/>
      <c r="Q428" s="360"/>
    </row>
    <row r="429" spans="1:17" ht="20.25">
      <c r="A429" s="359"/>
      <c r="B429" s="360"/>
      <c r="C429" s="356" t="s">
        <v>265</v>
      </c>
      <c r="D429" s="357">
        <v>460000</v>
      </c>
      <c r="E429" s="295">
        <v>1</v>
      </c>
      <c r="F429" s="182"/>
      <c r="G429" s="182">
        <f t="shared" ref="G429:G432" si="35">D429</f>
        <v>460000</v>
      </c>
      <c r="H429" s="182"/>
      <c r="I429" s="182"/>
      <c r="J429" s="182"/>
      <c r="K429" s="361">
        <f>SUM(G429:J429)</f>
        <v>460000</v>
      </c>
      <c r="L429" s="646" t="s">
        <v>411</v>
      </c>
      <c r="M429" s="184"/>
      <c r="N429" s="360"/>
      <c r="O429" s="360"/>
      <c r="P429" s="360"/>
      <c r="Q429" s="360"/>
    </row>
    <row r="430" spans="1:17" ht="20.25">
      <c r="A430" s="359"/>
      <c r="B430" s="360"/>
      <c r="C430" s="356" t="s">
        <v>265</v>
      </c>
      <c r="D430" s="357">
        <v>460000</v>
      </c>
      <c r="E430" s="295">
        <v>1</v>
      </c>
      <c r="F430" s="182"/>
      <c r="G430" s="182">
        <f t="shared" si="35"/>
        <v>460000</v>
      </c>
      <c r="H430" s="182"/>
      <c r="I430" s="182"/>
      <c r="J430" s="182"/>
      <c r="K430" s="361">
        <f>SUM(G430:J430)</f>
        <v>460000</v>
      </c>
      <c r="L430" s="646" t="s">
        <v>412</v>
      </c>
      <c r="M430" s="184"/>
      <c r="N430" s="360"/>
      <c r="O430" s="360"/>
      <c r="P430" s="360"/>
      <c r="Q430" s="360"/>
    </row>
    <row r="431" spans="1:17" ht="20.25">
      <c r="A431" s="359"/>
      <c r="B431" s="360"/>
      <c r="C431" s="356" t="s">
        <v>265</v>
      </c>
      <c r="D431" s="357">
        <v>460000</v>
      </c>
      <c r="E431" s="295">
        <v>1</v>
      </c>
      <c r="F431" s="182"/>
      <c r="G431" s="182">
        <f t="shared" si="35"/>
        <v>460000</v>
      </c>
      <c r="H431" s="182"/>
      <c r="I431" s="182"/>
      <c r="J431" s="182"/>
      <c r="K431" s="361">
        <f>SUM(G431:J431)</f>
        <v>460000</v>
      </c>
      <c r="L431" s="646" t="s">
        <v>413</v>
      </c>
      <c r="M431" s="184"/>
      <c r="N431" s="360"/>
      <c r="O431" s="360"/>
      <c r="P431" s="360"/>
      <c r="Q431" s="360"/>
    </row>
    <row r="432" spans="1:17" ht="20.25">
      <c r="A432" s="359"/>
      <c r="B432" s="360"/>
      <c r="C432" s="356" t="s">
        <v>265</v>
      </c>
      <c r="D432" s="357">
        <v>460000</v>
      </c>
      <c r="E432" s="295">
        <v>1</v>
      </c>
      <c r="F432" s="182"/>
      <c r="G432" s="182">
        <f t="shared" si="35"/>
        <v>460000</v>
      </c>
      <c r="H432" s="182"/>
      <c r="I432" s="182"/>
      <c r="J432" s="182"/>
      <c r="K432" s="361">
        <f>SUM(G432:J432)</f>
        <v>460000</v>
      </c>
      <c r="L432" s="646" t="s">
        <v>414</v>
      </c>
      <c r="M432" s="184"/>
      <c r="N432" s="360"/>
      <c r="O432" s="360"/>
      <c r="P432" s="360"/>
      <c r="Q432" s="360"/>
    </row>
    <row r="433" spans="1:17" ht="20.25">
      <c r="A433" s="359"/>
      <c r="B433" s="360"/>
      <c r="C433" s="356" t="s">
        <v>265</v>
      </c>
      <c r="D433" s="357">
        <v>460000</v>
      </c>
      <c r="E433" s="295">
        <v>1</v>
      </c>
      <c r="F433" s="182"/>
      <c r="G433" s="182"/>
      <c r="H433" s="182">
        <f>D433</f>
        <v>460000</v>
      </c>
      <c r="I433" s="182"/>
      <c r="J433" s="182"/>
      <c r="K433" s="361">
        <f>SUM(H433:J433)</f>
        <v>460000</v>
      </c>
      <c r="L433" s="648" t="s">
        <v>415</v>
      </c>
      <c r="M433" s="184"/>
      <c r="N433" s="360"/>
      <c r="O433" s="360"/>
      <c r="P433" s="360"/>
      <c r="Q433" s="360"/>
    </row>
    <row r="434" spans="1:17" ht="20.25">
      <c r="A434" s="359"/>
      <c r="B434" s="360"/>
      <c r="C434" s="356" t="s">
        <v>265</v>
      </c>
      <c r="D434" s="357">
        <v>460000</v>
      </c>
      <c r="E434" s="295">
        <v>1</v>
      </c>
      <c r="F434" s="182"/>
      <c r="G434" s="182"/>
      <c r="H434" s="182">
        <f t="shared" ref="H434:H437" si="36">D434</f>
        <v>460000</v>
      </c>
      <c r="I434" s="182"/>
      <c r="J434" s="182"/>
      <c r="K434" s="361">
        <f>SUM(H434:J434)</f>
        <v>460000</v>
      </c>
      <c r="L434" s="648" t="s">
        <v>416</v>
      </c>
      <c r="M434" s="184"/>
      <c r="N434" s="360"/>
      <c r="O434" s="360"/>
      <c r="P434" s="360"/>
      <c r="Q434" s="360"/>
    </row>
    <row r="435" spans="1:17" ht="20.25">
      <c r="A435" s="359"/>
      <c r="B435" s="360"/>
      <c r="C435" s="356" t="s">
        <v>265</v>
      </c>
      <c r="D435" s="357">
        <v>460000</v>
      </c>
      <c r="E435" s="295">
        <v>1</v>
      </c>
      <c r="F435" s="182"/>
      <c r="G435" s="182"/>
      <c r="H435" s="182">
        <f t="shared" si="36"/>
        <v>460000</v>
      </c>
      <c r="I435" s="182"/>
      <c r="J435" s="182"/>
      <c r="K435" s="361">
        <f>SUM(H435:J435)</f>
        <v>460000</v>
      </c>
      <c r="L435" s="648" t="s">
        <v>417</v>
      </c>
      <c r="M435" s="184"/>
      <c r="N435" s="360"/>
      <c r="O435" s="360"/>
      <c r="P435" s="360"/>
      <c r="Q435" s="360"/>
    </row>
    <row r="436" spans="1:17" ht="20.25">
      <c r="A436" s="359"/>
      <c r="B436" s="360"/>
      <c r="C436" s="356" t="s">
        <v>265</v>
      </c>
      <c r="D436" s="357">
        <v>460000</v>
      </c>
      <c r="E436" s="295">
        <v>1</v>
      </c>
      <c r="F436" s="182"/>
      <c r="G436" s="182"/>
      <c r="H436" s="182">
        <f t="shared" si="36"/>
        <v>460000</v>
      </c>
      <c r="I436" s="182"/>
      <c r="J436" s="182"/>
      <c r="K436" s="361">
        <f>SUM(H436:J436)</f>
        <v>460000</v>
      </c>
      <c r="L436" s="646" t="s">
        <v>418</v>
      </c>
      <c r="M436" s="184"/>
      <c r="N436" s="360"/>
      <c r="O436" s="360"/>
      <c r="P436" s="360"/>
      <c r="Q436" s="360"/>
    </row>
    <row r="437" spans="1:17" ht="20.25">
      <c r="A437" s="359"/>
      <c r="B437" s="360"/>
      <c r="C437" s="356" t="s">
        <v>265</v>
      </c>
      <c r="D437" s="357">
        <v>460000</v>
      </c>
      <c r="E437" s="295">
        <v>1</v>
      </c>
      <c r="F437" s="182"/>
      <c r="G437" s="182"/>
      <c r="H437" s="182">
        <f t="shared" si="36"/>
        <v>460000</v>
      </c>
      <c r="I437" s="182"/>
      <c r="J437" s="182"/>
      <c r="K437" s="361">
        <f>SUM(H437:J437)</f>
        <v>460000</v>
      </c>
      <c r="L437" s="646" t="s">
        <v>419</v>
      </c>
      <c r="M437" s="184"/>
      <c r="N437" s="360"/>
      <c r="O437" s="360"/>
      <c r="P437" s="360"/>
      <c r="Q437" s="360"/>
    </row>
    <row r="438" spans="1:17" ht="20.25">
      <c r="A438" s="359"/>
      <c r="B438" s="360"/>
      <c r="C438" s="356" t="s">
        <v>265</v>
      </c>
      <c r="D438" s="357">
        <v>460000</v>
      </c>
      <c r="E438" s="295">
        <v>1</v>
      </c>
      <c r="F438" s="182"/>
      <c r="G438" s="182"/>
      <c r="H438" s="182"/>
      <c r="I438" s="182">
        <f>D438</f>
        <v>460000</v>
      </c>
      <c r="J438" s="182"/>
      <c r="K438" s="361">
        <f t="shared" ref="K438:K469" si="37">SUM(I438:J438)</f>
        <v>460000</v>
      </c>
      <c r="L438" s="646" t="s">
        <v>420</v>
      </c>
      <c r="M438" s="184"/>
      <c r="N438" s="360"/>
      <c r="O438" s="360"/>
      <c r="P438" s="360"/>
      <c r="Q438" s="360"/>
    </row>
    <row r="439" spans="1:17" ht="20.25">
      <c r="A439" s="359"/>
      <c r="B439" s="360"/>
      <c r="C439" s="350" t="s">
        <v>421</v>
      </c>
      <c r="D439" s="357">
        <v>300000</v>
      </c>
      <c r="E439" s="295">
        <v>1</v>
      </c>
      <c r="F439" s="182"/>
      <c r="G439" s="182"/>
      <c r="H439" s="182"/>
      <c r="I439" s="182">
        <f t="shared" ref="I439:I440" si="38">D439</f>
        <v>300000</v>
      </c>
      <c r="J439" s="182"/>
      <c r="K439" s="361">
        <f t="shared" si="37"/>
        <v>300000</v>
      </c>
      <c r="L439" s="646" t="s">
        <v>422</v>
      </c>
      <c r="M439" s="184"/>
      <c r="N439" s="360"/>
      <c r="O439" s="360"/>
      <c r="P439" s="360"/>
      <c r="Q439" s="360"/>
    </row>
    <row r="440" spans="1:17" ht="20.25">
      <c r="A440" s="359"/>
      <c r="B440" s="360"/>
      <c r="C440" s="350" t="s">
        <v>421</v>
      </c>
      <c r="D440" s="357">
        <v>300000</v>
      </c>
      <c r="E440" s="295">
        <v>1</v>
      </c>
      <c r="F440" s="182"/>
      <c r="G440" s="182"/>
      <c r="H440" s="182"/>
      <c r="I440" s="182">
        <f t="shared" si="38"/>
        <v>300000</v>
      </c>
      <c r="J440" s="182"/>
      <c r="K440" s="361">
        <f t="shared" si="37"/>
        <v>300000</v>
      </c>
      <c r="L440" s="646" t="s">
        <v>423</v>
      </c>
      <c r="M440" s="184"/>
      <c r="N440" s="360"/>
      <c r="O440" s="360"/>
      <c r="P440" s="360"/>
      <c r="Q440" s="360"/>
    </row>
    <row r="441" spans="1:17" ht="20.25">
      <c r="A441" s="359"/>
      <c r="B441" s="360"/>
      <c r="C441" s="350" t="s">
        <v>424</v>
      </c>
      <c r="D441" s="357">
        <v>110000</v>
      </c>
      <c r="E441" s="295">
        <v>1</v>
      </c>
      <c r="F441" s="182"/>
      <c r="G441" s="182"/>
      <c r="H441" s="182"/>
      <c r="I441" s="182"/>
      <c r="J441" s="182">
        <f>D441</f>
        <v>110000</v>
      </c>
      <c r="K441" s="361">
        <f t="shared" si="37"/>
        <v>110000</v>
      </c>
      <c r="L441" s="646" t="s">
        <v>425</v>
      </c>
      <c r="M441" s="184"/>
      <c r="N441" s="360"/>
      <c r="O441" s="360"/>
      <c r="P441" s="360"/>
      <c r="Q441" s="360"/>
    </row>
    <row r="442" spans="1:17" ht="20.25">
      <c r="A442" s="359"/>
      <c r="B442" s="360"/>
      <c r="C442" s="350" t="s">
        <v>424</v>
      </c>
      <c r="D442" s="357">
        <v>110000</v>
      </c>
      <c r="E442" s="295">
        <v>1</v>
      </c>
      <c r="F442" s="182"/>
      <c r="G442" s="182"/>
      <c r="H442" s="182"/>
      <c r="I442" s="182"/>
      <c r="J442" s="182">
        <f t="shared" ref="J442:J469" si="39">D442</f>
        <v>110000</v>
      </c>
      <c r="K442" s="361">
        <f t="shared" si="37"/>
        <v>110000</v>
      </c>
      <c r="L442" s="646" t="s">
        <v>426</v>
      </c>
      <c r="M442" s="184"/>
      <c r="N442" s="360"/>
      <c r="O442" s="360"/>
      <c r="P442" s="360"/>
      <c r="Q442" s="360"/>
    </row>
    <row r="443" spans="1:17" ht="20.25">
      <c r="A443" s="359"/>
      <c r="B443" s="360"/>
      <c r="C443" s="350" t="s">
        <v>424</v>
      </c>
      <c r="D443" s="357">
        <v>110000</v>
      </c>
      <c r="E443" s="295">
        <v>1</v>
      </c>
      <c r="F443" s="182"/>
      <c r="G443" s="182"/>
      <c r="H443" s="182"/>
      <c r="I443" s="182"/>
      <c r="J443" s="182">
        <f t="shared" si="39"/>
        <v>110000</v>
      </c>
      <c r="K443" s="361">
        <f t="shared" si="37"/>
        <v>110000</v>
      </c>
      <c r="L443" s="646" t="s">
        <v>427</v>
      </c>
      <c r="M443" s="184"/>
      <c r="N443" s="360"/>
      <c r="O443" s="360"/>
      <c r="P443" s="360"/>
      <c r="Q443" s="360"/>
    </row>
    <row r="444" spans="1:17" ht="20.25">
      <c r="A444" s="359"/>
      <c r="B444" s="360"/>
      <c r="C444" s="356" t="s">
        <v>424</v>
      </c>
      <c r="D444" s="357">
        <v>110000</v>
      </c>
      <c r="E444" s="295">
        <v>1</v>
      </c>
      <c r="F444" s="182"/>
      <c r="G444" s="182"/>
      <c r="H444" s="182"/>
      <c r="I444" s="182"/>
      <c r="J444" s="182">
        <f t="shared" si="39"/>
        <v>110000</v>
      </c>
      <c r="K444" s="361">
        <f t="shared" si="37"/>
        <v>110000</v>
      </c>
      <c r="L444" s="646" t="s">
        <v>428</v>
      </c>
      <c r="M444" s="184"/>
      <c r="N444" s="360"/>
      <c r="O444" s="360"/>
      <c r="P444" s="360"/>
      <c r="Q444" s="360"/>
    </row>
    <row r="445" spans="1:17" ht="20.25">
      <c r="A445" s="359"/>
      <c r="B445" s="360"/>
      <c r="C445" s="350" t="s">
        <v>424</v>
      </c>
      <c r="D445" s="357">
        <v>110000</v>
      </c>
      <c r="E445" s="295">
        <v>1</v>
      </c>
      <c r="F445" s="182"/>
      <c r="G445" s="182"/>
      <c r="H445" s="182"/>
      <c r="I445" s="182"/>
      <c r="J445" s="182">
        <f t="shared" si="39"/>
        <v>110000</v>
      </c>
      <c r="K445" s="361">
        <f t="shared" si="37"/>
        <v>110000</v>
      </c>
      <c r="L445" s="646" t="s">
        <v>429</v>
      </c>
      <c r="M445" s="184"/>
      <c r="N445" s="360"/>
      <c r="O445" s="360"/>
      <c r="P445" s="360"/>
      <c r="Q445" s="360"/>
    </row>
    <row r="446" spans="1:17" ht="20.25">
      <c r="A446" s="359"/>
      <c r="B446" s="360"/>
      <c r="C446" s="350" t="s">
        <v>108</v>
      </c>
      <c r="D446" s="357">
        <v>70000</v>
      </c>
      <c r="E446" s="295">
        <v>1</v>
      </c>
      <c r="F446" s="182"/>
      <c r="G446" s="182"/>
      <c r="H446" s="182"/>
      <c r="I446" s="182"/>
      <c r="J446" s="182">
        <f t="shared" si="39"/>
        <v>70000</v>
      </c>
      <c r="K446" s="361">
        <f t="shared" si="37"/>
        <v>70000</v>
      </c>
      <c r="L446" s="646" t="s">
        <v>428</v>
      </c>
      <c r="M446" s="184"/>
      <c r="N446" s="360"/>
      <c r="O446" s="360"/>
      <c r="P446" s="360"/>
      <c r="Q446" s="360"/>
    </row>
    <row r="447" spans="1:17" ht="20.25">
      <c r="A447" s="359"/>
      <c r="B447" s="360"/>
      <c r="C447" s="350" t="s">
        <v>108</v>
      </c>
      <c r="D447" s="357">
        <v>70000</v>
      </c>
      <c r="E447" s="295">
        <v>1</v>
      </c>
      <c r="F447" s="182"/>
      <c r="G447" s="182"/>
      <c r="H447" s="182"/>
      <c r="I447" s="182"/>
      <c r="J447" s="182">
        <f t="shared" si="39"/>
        <v>70000</v>
      </c>
      <c r="K447" s="361">
        <f t="shared" si="37"/>
        <v>70000</v>
      </c>
      <c r="L447" s="646" t="s">
        <v>423</v>
      </c>
      <c r="M447" s="184"/>
      <c r="N447" s="360"/>
      <c r="O447" s="360"/>
      <c r="P447" s="360"/>
      <c r="Q447" s="360"/>
    </row>
    <row r="448" spans="1:17" ht="20.25">
      <c r="A448" s="359"/>
      <c r="B448" s="360"/>
      <c r="C448" s="350" t="s">
        <v>108</v>
      </c>
      <c r="D448" s="357">
        <v>70000</v>
      </c>
      <c r="E448" s="295">
        <v>1</v>
      </c>
      <c r="F448" s="182"/>
      <c r="G448" s="182"/>
      <c r="H448" s="182"/>
      <c r="I448" s="182"/>
      <c r="J448" s="182">
        <f t="shared" si="39"/>
        <v>70000</v>
      </c>
      <c r="K448" s="361">
        <f t="shared" si="37"/>
        <v>70000</v>
      </c>
      <c r="L448" s="646" t="s">
        <v>430</v>
      </c>
      <c r="M448" s="184"/>
      <c r="N448" s="360"/>
      <c r="O448" s="360"/>
      <c r="P448" s="360"/>
      <c r="Q448" s="360"/>
    </row>
    <row r="449" spans="1:17" ht="20.25">
      <c r="A449" s="359"/>
      <c r="B449" s="360"/>
      <c r="C449" s="350" t="s">
        <v>108</v>
      </c>
      <c r="D449" s="357">
        <v>70000</v>
      </c>
      <c r="E449" s="295">
        <v>1</v>
      </c>
      <c r="F449" s="182"/>
      <c r="G449" s="182"/>
      <c r="H449" s="182"/>
      <c r="I449" s="182"/>
      <c r="J449" s="182">
        <f t="shared" si="39"/>
        <v>70000</v>
      </c>
      <c r="K449" s="361">
        <f t="shared" si="37"/>
        <v>70000</v>
      </c>
      <c r="L449" s="646" t="s">
        <v>431</v>
      </c>
      <c r="M449" s="184"/>
      <c r="N449" s="360"/>
      <c r="O449" s="360"/>
      <c r="P449" s="360"/>
      <c r="Q449" s="360"/>
    </row>
    <row r="450" spans="1:17" ht="20.25">
      <c r="A450" s="359"/>
      <c r="B450" s="360"/>
      <c r="C450" s="350" t="s">
        <v>108</v>
      </c>
      <c r="D450" s="357">
        <v>70000</v>
      </c>
      <c r="E450" s="295">
        <v>1</v>
      </c>
      <c r="F450" s="182"/>
      <c r="G450" s="182"/>
      <c r="H450" s="182"/>
      <c r="I450" s="182"/>
      <c r="J450" s="182">
        <f t="shared" si="39"/>
        <v>70000</v>
      </c>
      <c r="K450" s="361">
        <f t="shared" si="37"/>
        <v>70000</v>
      </c>
      <c r="L450" s="646" t="s">
        <v>430</v>
      </c>
      <c r="M450" s="184"/>
      <c r="N450" s="360"/>
      <c r="O450" s="360"/>
      <c r="P450" s="360"/>
      <c r="Q450" s="360"/>
    </row>
    <row r="451" spans="1:17" ht="20.25">
      <c r="A451" s="359"/>
      <c r="B451" s="360"/>
      <c r="C451" s="350" t="s">
        <v>108</v>
      </c>
      <c r="D451" s="357">
        <v>70000</v>
      </c>
      <c r="E451" s="295">
        <v>1</v>
      </c>
      <c r="F451" s="182"/>
      <c r="G451" s="182"/>
      <c r="H451" s="182"/>
      <c r="I451" s="182"/>
      <c r="J451" s="182">
        <f t="shared" si="39"/>
        <v>70000</v>
      </c>
      <c r="K451" s="361">
        <f t="shared" si="37"/>
        <v>70000</v>
      </c>
      <c r="L451" s="646" t="s">
        <v>432</v>
      </c>
      <c r="M451" s="184"/>
      <c r="N451" s="360"/>
      <c r="O451" s="360"/>
      <c r="P451" s="360"/>
      <c r="Q451" s="360"/>
    </row>
    <row r="452" spans="1:17" ht="20.25">
      <c r="A452" s="359"/>
      <c r="B452" s="360"/>
      <c r="C452" s="350" t="s">
        <v>108</v>
      </c>
      <c r="D452" s="357">
        <v>70000</v>
      </c>
      <c r="E452" s="295">
        <v>1</v>
      </c>
      <c r="F452" s="182"/>
      <c r="G452" s="182"/>
      <c r="H452" s="182"/>
      <c r="I452" s="182"/>
      <c r="J452" s="182">
        <f t="shared" si="39"/>
        <v>70000</v>
      </c>
      <c r="K452" s="361">
        <f t="shared" si="37"/>
        <v>70000</v>
      </c>
      <c r="L452" s="646" t="s">
        <v>422</v>
      </c>
      <c r="M452" s="184"/>
      <c r="N452" s="360"/>
      <c r="O452" s="360"/>
      <c r="P452" s="360"/>
      <c r="Q452" s="360"/>
    </row>
    <row r="453" spans="1:17" ht="20.25">
      <c r="A453" s="359"/>
      <c r="B453" s="360"/>
      <c r="C453" s="356" t="s">
        <v>433</v>
      </c>
      <c r="D453" s="357">
        <v>11800</v>
      </c>
      <c r="E453" s="295">
        <v>1</v>
      </c>
      <c r="F453" s="182"/>
      <c r="G453" s="182"/>
      <c r="H453" s="182"/>
      <c r="I453" s="182"/>
      <c r="J453" s="182">
        <f t="shared" si="39"/>
        <v>11800</v>
      </c>
      <c r="K453" s="361">
        <f t="shared" si="37"/>
        <v>11800</v>
      </c>
      <c r="L453" s="646" t="s">
        <v>434</v>
      </c>
      <c r="M453" s="184"/>
      <c r="N453" s="360"/>
      <c r="O453" s="360"/>
      <c r="P453" s="360"/>
      <c r="Q453" s="360"/>
    </row>
    <row r="454" spans="1:17" ht="20.25">
      <c r="A454" s="359"/>
      <c r="B454" s="360"/>
      <c r="C454" s="356" t="s">
        <v>433</v>
      </c>
      <c r="D454" s="357">
        <v>11800</v>
      </c>
      <c r="E454" s="295">
        <v>1</v>
      </c>
      <c r="F454" s="182"/>
      <c r="G454" s="182"/>
      <c r="H454" s="182"/>
      <c r="I454" s="182"/>
      <c r="J454" s="182">
        <f t="shared" si="39"/>
        <v>11800</v>
      </c>
      <c r="K454" s="361">
        <f t="shared" si="37"/>
        <v>11800</v>
      </c>
      <c r="L454" s="646" t="s">
        <v>435</v>
      </c>
      <c r="M454" s="184"/>
      <c r="N454" s="360"/>
      <c r="O454" s="360"/>
      <c r="P454" s="360"/>
      <c r="Q454" s="360"/>
    </row>
    <row r="455" spans="1:17" ht="20.25">
      <c r="A455" s="359"/>
      <c r="B455" s="360"/>
      <c r="C455" s="356" t="s">
        <v>433</v>
      </c>
      <c r="D455" s="357">
        <v>11800</v>
      </c>
      <c r="E455" s="295">
        <v>1</v>
      </c>
      <c r="F455" s="182"/>
      <c r="G455" s="182"/>
      <c r="H455" s="182"/>
      <c r="I455" s="182"/>
      <c r="J455" s="182">
        <f t="shared" si="39"/>
        <v>11800</v>
      </c>
      <c r="K455" s="361">
        <f t="shared" si="37"/>
        <v>11800</v>
      </c>
      <c r="L455" s="646" t="s">
        <v>436</v>
      </c>
      <c r="M455" s="184"/>
      <c r="N455" s="360"/>
      <c r="O455" s="360"/>
      <c r="P455" s="360"/>
      <c r="Q455" s="360"/>
    </row>
    <row r="456" spans="1:17" ht="20.25">
      <c r="A456" s="359"/>
      <c r="B456" s="360"/>
      <c r="C456" s="356" t="s">
        <v>433</v>
      </c>
      <c r="D456" s="357">
        <v>11800</v>
      </c>
      <c r="E456" s="295">
        <v>1</v>
      </c>
      <c r="F456" s="182"/>
      <c r="G456" s="182"/>
      <c r="H456" s="182"/>
      <c r="I456" s="182"/>
      <c r="J456" s="182">
        <f t="shared" si="39"/>
        <v>11800</v>
      </c>
      <c r="K456" s="361">
        <f t="shared" si="37"/>
        <v>11800</v>
      </c>
      <c r="L456" s="646" t="s">
        <v>437</v>
      </c>
      <c r="M456" s="184"/>
      <c r="N456" s="360"/>
      <c r="O456" s="360"/>
      <c r="P456" s="360"/>
      <c r="Q456" s="360"/>
    </row>
    <row r="457" spans="1:17" ht="20.25">
      <c r="A457" s="359"/>
      <c r="B457" s="360"/>
      <c r="C457" s="356" t="s">
        <v>433</v>
      </c>
      <c r="D457" s="357">
        <v>11800</v>
      </c>
      <c r="E457" s="295">
        <v>1</v>
      </c>
      <c r="F457" s="182"/>
      <c r="G457" s="182"/>
      <c r="H457" s="182"/>
      <c r="I457" s="182"/>
      <c r="J457" s="182">
        <f t="shared" si="39"/>
        <v>11800</v>
      </c>
      <c r="K457" s="361">
        <f t="shared" si="37"/>
        <v>11800</v>
      </c>
      <c r="L457" s="646" t="s">
        <v>438</v>
      </c>
      <c r="M457" s="184"/>
      <c r="N457" s="360"/>
      <c r="O457" s="360"/>
      <c r="P457" s="360"/>
      <c r="Q457" s="360"/>
    </row>
    <row r="458" spans="1:17" ht="20.25">
      <c r="A458" s="359"/>
      <c r="B458" s="360"/>
      <c r="C458" s="356" t="s">
        <v>433</v>
      </c>
      <c r="D458" s="357">
        <v>11800</v>
      </c>
      <c r="E458" s="295">
        <v>1</v>
      </c>
      <c r="F458" s="182"/>
      <c r="G458" s="182"/>
      <c r="H458" s="182"/>
      <c r="I458" s="182"/>
      <c r="J458" s="182">
        <f t="shared" si="39"/>
        <v>11800</v>
      </c>
      <c r="K458" s="361">
        <f t="shared" si="37"/>
        <v>11800</v>
      </c>
      <c r="L458" s="646" t="s">
        <v>439</v>
      </c>
      <c r="M458" s="184"/>
      <c r="N458" s="360"/>
      <c r="O458" s="360"/>
      <c r="P458" s="360"/>
      <c r="Q458" s="360"/>
    </row>
    <row r="459" spans="1:17" ht="20.25">
      <c r="A459" s="359"/>
      <c r="B459" s="360"/>
      <c r="C459" s="356" t="s">
        <v>433</v>
      </c>
      <c r="D459" s="357">
        <v>11800</v>
      </c>
      <c r="E459" s="295">
        <v>1</v>
      </c>
      <c r="F459" s="182"/>
      <c r="G459" s="182"/>
      <c r="H459" s="182"/>
      <c r="I459" s="182"/>
      <c r="J459" s="182">
        <f t="shared" si="39"/>
        <v>11800</v>
      </c>
      <c r="K459" s="361">
        <f t="shared" si="37"/>
        <v>11800</v>
      </c>
      <c r="L459" s="646" t="s">
        <v>440</v>
      </c>
      <c r="M459" s="184"/>
      <c r="N459" s="360"/>
      <c r="O459" s="360"/>
      <c r="P459" s="360"/>
      <c r="Q459" s="360"/>
    </row>
    <row r="460" spans="1:17" ht="20.25">
      <c r="A460" s="359"/>
      <c r="B460" s="360"/>
      <c r="C460" s="356" t="s">
        <v>356</v>
      </c>
      <c r="D460" s="358">
        <v>65000</v>
      </c>
      <c r="E460" s="295">
        <v>1</v>
      </c>
      <c r="F460" s="182"/>
      <c r="G460" s="182"/>
      <c r="H460" s="182"/>
      <c r="I460" s="182"/>
      <c r="J460" s="182">
        <f t="shared" si="39"/>
        <v>65000</v>
      </c>
      <c r="K460" s="361">
        <f t="shared" si="37"/>
        <v>65000</v>
      </c>
      <c r="L460" s="646" t="s">
        <v>428</v>
      </c>
      <c r="M460" s="184"/>
      <c r="N460" s="360"/>
      <c r="O460" s="360"/>
      <c r="P460" s="360"/>
      <c r="Q460" s="360"/>
    </row>
    <row r="461" spans="1:17" ht="20.25">
      <c r="A461" s="359"/>
      <c r="B461" s="360"/>
      <c r="C461" s="356" t="s">
        <v>356</v>
      </c>
      <c r="D461" s="358">
        <v>65000</v>
      </c>
      <c r="E461" s="295">
        <v>1</v>
      </c>
      <c r="F461" s="182"/>
      <c r="G461" s="182"/>
      <c r="H461" s="182"/>
      <c r="I461" s="182"/>
      <c r="J461" s="182">
        <f t="shared" si="39"/>
        <v>65000</v>
      </c>
      <c r="K461" s="361">
        <f t="shared" si="37"/>
        <v>65000</v>
      </c>
      <c r="L461" s="646" t="s">
        <v>429</v>
      </c>
      <c r="M461" s="184"/>
      <c r="N461" s="360"/>
      <c r="O461" s="360"/>
      <c r="P461" s="360"/>
      <c r="Q461" s="360"/>
    </row>
    <row r="462" spans="1:17" ht="20.25">
      <c r="A462" s="359"/>
      <c r="B462" s="360"/>
      <c r="C462" s="356" t="s">
        <v>356</v>
      </c>
      <c r="D462" s="358">
        <v>65000</v>
      </c>
      <c r="E462" s="295">
        <v>1</v>
      </c>
      <c r="F462" s="182"/>
      <c r="G462" s="182"/>
      <c r="H462" s="182"/>
      <c r="I462" s="182"/>
      <c r="J462" s="182">
        <f t="shared" si="39"/>
        <v>65000</v>
      </c>
      <c r="K462" s="361">
        <f t="shared" si="37"/>
        <v>65000</v>
      </c>
      <c r="L462" s="646" t="s">
        <v>441</v>
      </c>
      <c r="M462" s="184"/>
      <c r="N462" s="360"/>
      <c r="O462" s="360"/>
      <c r="P462" s="360"/>
      <c r="Q462" s="360"/>
    </row>
    <row r="463" spans="1:17" ht="20.25">
      <c r="A463" s="359"/>
      <c r="B463" s="360"/>
      <c r="C463" s="356" t="s">
        <v>356</v>
      </c>
      <c r="D463" s="358">
        <v>65000</v>
      </c>
      <c r="E463" s="295">
        <v>1</v>
      </c>
      <c r="F463" s="182"/>
      <c r="G463" s="182"/>
      <c r="H463" s="182"/>
      <c r="I463" s="182"/>
      <c r="J463" s="182">
        <f t="shared" si="39"/>
        <v>65000</v>
      </c>
      <c r="K463" s="361">
        <f t="shared" si="37"/>
        <v>65000</v>
      </c>
      <c r="L463" s="646" t="s">
        <v>425</v>
      </c>
      <c r="M463" s="184"/>
      <c r="N463" s="360"/>
      <c r="O463" s="360"/>
      <c r="P463" s="360"/>
      <c r="Q463" s="360"/>
    </row>
    <row r="464" spans="1:17" ht="20.25">
      <c r="A464" s="359"/>
      <c r="B464" s="360"/>
      <c r="C464" s="356" t="s">
        <v>356</v>
      </c>
      <c r="D464" s="358">
        <v>65000</v>
      </c>
      <c r="E464" s="295">
        <v>1</v>
      </c>
      <c r="F464" s="182"/>
      <c r="G464" s="182"/>
      <c r="H464" s="182"/>
      <c r="I464" s="182"/>
      <c r="J464" s="182">
        <f t="shared" si="39"/>
        <v>65000</v>
      </c>
      <c r="K464" s="361">
        <f t="shared" si="37"/>
        <v>65000</v>
      </c>
      <c r="L464" s="646" t="s">
        <v>422</v>
      </c>
      <c r="M464" s="184"/>
      <c r="N464" s="360"/>
      <c r="O464" s="360"/>
      <c r="P464" s="360"/>
      <c r="Q464" s="360"/>
    </row>
    <row r="465" spans="1:21" ht="20.25">
      <c r="A465" s="359"/>
      <c r="B465" s="360"/>
      <c r="C465" s="356" t="s">
        <v>313</v>
      </c>
      <c r="D465" s="358">
        <v>100000</v>
      </c>
      <c r="E465" s="295">
        <v>1</v>
      </c>
      <c r="F465" s="182"/>
      <c r="G465" s="182"/>
      <c r="H465" s="182"/>
      <c r="I465" s="182"/>
      <c r="J465" s="182">
        <f t="shared" si="39"/>
        <v>100000</v>
      </c>
      <c r="K465" s="361">
        <f t="shared" si="37"/>
        <v>100000</v>
      </c>
      <c r="L465" s="646" t="s">
        <v>429</v>
      </c>
      <c r="M465" s="184"/>
      <c r="N465" s="360"/>
      <c r="O465" s="360"/>
      <c r="P465" s="360"/>
      <c r="Q465" s="360"/>
    </row>
    <row r="466" spans="1:21" ht="20.25">
      <c r="A466" s="359"/>
      <c r="B466" s="360"/>
      <c r="C466" s="356" t="s">
        <v>313</v>
      </c>
      <c r="D466" s="358">
        <v>100000</v>
      </c>
      <c r="E466" s="295">
        <v>1</v>
      </c>
      <c r="F466" s="182"/>
      <c r="G466" s="182"/>
      <c r="H466" s="182"/>
      <c r="I466" s="182"/>
      <c r="J466" s="182">
        <f t="shared" si="39"/>
        <v>100000</v>
      </c>
      <c r="K466" s="361">
        <f t="shared" si="37"/>
        <v>100000</v>
      </c>
      <c r="L466" s="646" t="s">
        <v>441</v>
      </c>
      <c r="M466" s="184"/>
      <c r="N466" s="360"/>
      <c r="O466" s="360"/>
      <c r="P466" s="360"/>
      <c r="Q466" s="360"/>
    </row>
    <row r="467" spans="1:21" ht="20.25">
      <c r="A467" s="359"/>
      <c r="B467" s="360"/>
      <c r="C467" s="356" t="s">
        <v>313</v>
      </c>
      <c r="D467" s="358">
        <v>100000</v>
      </c>
      <c r="E467" s="295">
        <v>1</v>
      </c>
      <c r="F467" s="182"/>
      <c r="G467" s="182"/>
      <c r="H467" s="182"/>
      <c r="I467" s="182"/>
      <c r="J467" s="182">
        <f t="shared" si="39"/>
        <v>100000</v>
      </c>
      <c r="K467" s="361">
        <f t="shared" si="37"/>
        <v>100000</v>
      </c>
      <c r="L467" s="646" t="s">
        <v>427</v>
      </c>
      <c r="M467" s="184"/>
      <c r="N467" s="360"/>
      <c r="O467" s="360"/>
      <c r="P467" s="360"/>
      <c r="Q467" s="360"/>
    </row>
    <row r="468" spans="1:21" ht="20.25">
      <c r="A468" s="359"/>
      <c r="B468" s="360"/>
      <c r="C468" s="356" t="s">
        <v>313</v>
      </c>
      <c r="D468" s="358">
        <v>100000</v>
      </c>
      <c r="E468" s="295">
        <v>1</v>
      </c>
      <c r="F468" s="182"/>
      <c r="G468" s="182"/>
      <c r="H468" s="182"/>
      <c r="I468" s="182"/>
      <c r="J468" s="182">
        <f t="shared" si="39"/>
        <v>100000</v>
      </c>
      <c r="K468" s="361">
        <f t="shared" si="37"/>
        <v>100000</v>
      </c>
      <c r="L468" s="646" t="s">
        <v>422</v>
      </c>
      <c r="M468" s="184"/>
      <c r="N468" s="360"/>
      <c r="O468" s="360"/>
      <c r="P468" s="360"/>
      <c r="Q468" s="360"/>
    </row>
    <row r="469" spans="1:21" ht="20.25">
      <c r="A469" s="359"/>
      <c r="B469" s="360"/>
      <c r="C469" s="356" t="s">
        <v>313</v>
      </c>
      <c r="D469" s="358">
        <v>100000</v>
      </c>
      <c r="E469" s="295">
        <v>1</v>
      </c>
      <c r="F469" s="182"/>
      <c r="G469" s="182"/>
      <c r="H469" s="182"/>
      <c r="I469" s="182"/>
      <c r="J469" s="182">
        <f t="shared" si="39"/>
        <v>100000</v>
      </c>
      <c r="K469" s="361">
        <f t="shared" si="37"/>
        <v>100000</v>
      </c>
      <c r="L469" s="646" t="s">
        <v>423</v>
      </c>
      <c r="M469" s="184"/>
      <c r="N469" s="360"/>
      <c r="O469" s="360"/>
      <c r="P469" s="360"/>
      <c r="Q469" s="360"/>
    </row>
    <row r="470" spans="1:21" s="735" customFormat="1">
      <c r="A470" s="727"/>
      <c r="B470" s="728"/>
      <c r="C470" s="727"/>
      <c r="D470" s="729"/>
      <c r="E470" s="730"/>
      <c r="F470" s="730">
        <f t="shared" ref="F470:K470" si="40">SUM(F240:F469)</f>
        <v>25985000</v>
      </c>
      <c r="G470" s="730">
        <f t="shared" si="40"/>
        <v>22547900</v>
      </c>
      <c r="H470" s="730">
        <f t="shared" si="40"/>
        <v>22660000</v>
      </c>
      <c r="I470" s="730">
        <f t="shared" si="40"/>
        <v>23048000</v>
      </c>
      <c r="J470" s="730">
        <f t="shared" si="40"/>
        <v>21801600</v>
      </c>
      <c r="K470" s="731">
        <f t="shared" si="40"/>
        <v>116042500</v>
      </c>
      <c r="L470" s="732"/>
      <c r="M470" s="733"/>
      <c r="N470" s="728"/>
      <c r="O470" s="728"/>
      <c r="P470" s="728"/>
      <c r="Q470" s="728"/>
      <c r="R470" s="734"/>
      <c r="S470" s="734"/>
      <c r="T470" s="734"/>
      <c r="U470" s="734"/>
    </row>
    <row r="471" spans="1:21" ht="56.25">
      <c r="A471" s="359"/>
      <c r="B471" s="360"/>
      <c r="C471" s="652" t="s">
        <v>573</v>
      </c>
      <c r="D471" s="736">
        <f>1.9*1000000</f>
        <v>1900000</v>
      </c>
      <c r="E471" s="654"/>
      <c r="F471" s="182"/>
      <c r="G471" s="182"/>
      <c r="H471" s="182"/>
      <c r="I471" s="182"/>
      <c r="J471" s="182"/>
      <c r="K471" s="361"/>
      <c r="L471" s="646" t="s">
        <v>571</v>
      </c>
      <c r="M471" s="184"/>
      <c r="N471" s="360"/>
      <c r="O471" s="360"/>
      <c r="P471" s="360"/>
      <c r="Q471" s="360"/>
    </row>
    <row r="472" spans="1:21">
      <c r="A472" s="359"/>
      <c r="B472" s="360"/>
      <c r="C472" s="652" t="s">
        <v>574</v>
      </c>
      <c r="D472" s="736">
        <f t="shared" ref="D472:D535" si="41">1.9*1000000</f>
        <v>1900000</v>
      </c>
      <c r="E472" s="654"/>
      <c r="F472" s="182"/>
      <c r="G472" s="182"/>
      <c r="H472" s="182"/>
      <c r="I472" s="182"/>
      <c r="J472" s="182"/>
      <c r="K472" s="361"/>
      <c r="L472" s="646" t="s">
        <v>571</v>
      </c>
      <c r="M472" s="184"/>
      <c r="N472" s="360"/>
      <c r="O472" s="360"/>
      <c r="P472" s="360"/>
      <c r="Q472" s="360"/>
    </row>
    <row r="473" spans="1:21" ht="37.5">
      <c r="A473" s="359"/>
      <c r="B473" s="360"/>
      <c r="C473" s="660" t="s">
        <v>575</v>
      </c>
      <c r="D473" s="736">
        <f t="shared" si="41"/>
        <v>1900000</v>
      </c>
      <c r="E473" s="654"/>
      <c r="F473" s="182"/>
      <c r="G473" s="182"/>
      <c r="H473" s="182"/>
      <c r="I473" s="182"/>
      <c r="J473" s="182"/>
      <c r="K473" s="361"/>
      <c r="L473" s="646" t="s">
        <v>571</v>
      </c>
      <c r="M473" s="184"/>
      <c r="N473" s="360"/>
      <c r="O473" s="360"/>
      <c r="P473" s="360"/>
      <c r="Q473" s="360"/>
    </row>
    <row r="474" spans="1:21">
      <c r="A474" s="359"/>
      <c r="B474" s="360"/>
      <c r="C474" s="660" t="s">
        <v>576</v>
      </c>
      <c r="D474" s="736">
        <f t="shared" si="41"/>
        <v>1900000</v>
      </c>
      <c r="E474" s="654"/>
      <c r="F474" s="182"/>
      <c r="G474" s="182"/>
      <c r="H474" s="182"/>
      <c r="I474" s="182"/>
      <c r="J474" s="182"/>
      <c r="K474" s="361"/>
      <c r="L474" s="646" t="s">
        <v>571</v>
      </c>
      <c r="M474" s="184"/>
      <c r="N474" s="360"/>
      <c r="O474" s="360"/>
      <c r="P474" s="360"/>
      <c r="Q474" s="360"/>
    </row>
    <row r="475" spans="1:21" ht="37.5">
      <c r="A475" s="359"/>
      <c r="B475" s="360"/>
      <c r="C475" s="652" t="s">
        <v>577</v>
      </c>
      <c r="D475" s="736">
        <f t="shared" si="41"/>
        <v>1900000</v>
      </c>
      <c r="E475" s="654"/>
      <c r="F475" s="182"/>
      <c r="G475" s="182"/>
      <c r="H475" s="182"/>
      <c r="I475" s="182"/>
      <c r="J475" s="182"/>
      <c r="K475" s="361"/>
      <c r="L475" s="646" t="s">
        <v>571</v>
      </c>
      <c r="M475" s="184"/>
      <c r="N475" s="360"/>
      <c r="O475" s="360"/>
      <c r="P475" s="360"/>
      <c r="Q475" s="360"/>
    </row>
    <row r="476" spans="1:21" ht="37.5">
      <c r="A476" s="359"/>
      <c r="B476" s="360"/>
      <c r="C476" s="660" t="s">
        <v>578</v>
      </c>
      <c r="D476" s="736">
        <f t="shared" si="41"/>
        <v>1900000</v>
      </c>
      <c r="E476" s="654"/>
      <c r="F476" s="182"/>
      <c r="G476" s="182"/>
      <c r="H476" s="182"/>
      <c r="I476" s="182"/>
      <c r="J476" s="182"/>
      <c r="K476" s="361"/>
      <c r="L476" s="646" t="s">
        <v>571</v>
      </c>
      <c r="M476" s="184"/>
      <c r="N476" s="360"/>
      <c r="O476" s="360"/>
      <c r="P476" s="360"/>
      <c r="Q476" s="360"/>
    </row>
    <row r="477" spans="1:21">
      <c r="A477" s="359"/>
      <c r="B477" s="360"/>
      <c r="C477" s="660" t="s">
        <v>579</v>
      </c>
      <c r="D477" s="736">
        <f t="shared" si="41"/>
        <v>1900000</v>
      </c>
      <c r="E477" s="654"/>
      <c r="F477" s="182"/>
      <c r="G477" s="182"/>
      <c r="H477" s="182"/>
      <c r="I477" s="182"/>
      <c r="J477" s="182"/>
      <c r="K477" s="361"/>
      <c r="L477" s="646" t="s">
        <v>571</v>
      </c>
      <c r="M477" s="184"/>
      <c r="N477" s="360"/>
      <c r="O477" s="360"/>
      <c r="P477" s="360"/>
      <c r="Q477" s="360"/>
    </row>
    <row r="478" spans="1:21" ht="37.5">
      <c r="A478" s="359"/>
      <c r="B478" s="360"/>
      <c r="C478" s="660" t="s">
        <v>580</v>
      </c>
      <c r="D478" s="736">
        <f t="shared" si="41"/>
        <v>1900000</v>
      </c>
      <c r="E478" s="182"/>
      <c r="F478" s="182"/>
      <c r="G478" s="182"/>
      <c r="H478" s="182"/>
      <c r="I478" s="182"/>
      <c r="J478" s="182"/>
      <c r="K478" s="361"/>
      <c r="L478" s="654" t="s">
        <v>571</v>
      </c>
      <c r="M478" s="184"/>
      <c r="N478" s="360"/>
      <c r="O478" s="360"/>
      <c r="P478" s="360"/>
      <c r="Q478" s="360"/>
    </row>
    <row r="479" spans="1:21" ht="56.25">
      <c r="A479" s="359"/>
      <c r="B479" s="360"/>
      <c r="C479" s="660" t="s">
        <v>581</v>
      </c>
      <c r="D479" s="736">
        <f t="shared" si="41"/>
        <v>1900000</v>
      </c>
      <c r="E479" s="182"/>
      <c r="F479" s="182"/>
      <c r="G479" s="182"/>
      <c r="H479" s="182"/>
      <c r="I479" s="182"/>
      <c r="J479" s="182"/>
      <c r="K479" s="361"/>
      <c r="L479" s="654" t="s">
        <v>571</v>
      </c>
      <c r="M479" s="184"/>
      <c r="N479" s="360"/>
      <c r="O479" s="360"/>
      <c r="P479" s="360"/>
      <c r="Q479" s="360"/>
    </row>
    <row r="480" spans="1:21">
      <c r="A480" s="359"/>
      <c r="B480" s="360"/>
      <c r="C480" s="660" t="s">
        <v>582</v>
      </c>
      <c r="D480" s="736">
        <f t="shared" si="41"/>
        <v>1900000</v>
      </c>
      <c r="E480" s="182"/>
      <c r="F480" s="182"/>
      <c r="G480" s="182"/>
      <c r="H480" s="182"/>
      <c r="I480" s="182"/>
      <c r="J480" s="182"/>
      <c r="K480" s="361"/>
      <c r="L480" s="654" t="s">
        <v>571</v>
      </c>
      <c r="M480" s="184"/>
      <c r="N480" s="360"/>
      <c r="O480" s="360"/>
      <c r="P480" s="360"/>
      <c r="Q480" s="360"/>
    </row>
    <row r="481" spans="1:17" ht="37.5">
      <c r="A481" s="359"/>
      <c r="B481" s="360"/>
      <c r="C481" s="660" t="s">
        <v>583</v>
      </c>
      <c r="D481" s="736">
        <f t="shared" si="41"/>
        <v>1900000</v>
      </c>
      <c r="E481" s="182"/>
      <c r="F481" s="182"/>
      <c r="G481" s="182"/>
      <c r="H481" s="182"/>
      <c r="I481" s="182"/>
      <c r="J481" s="182"/>
      <c r="K481" s="361"/>
      <c r="L481" s="654" t="s">
        <v>571</v>
      </c>
      <c r="M481" s="184"/>
      <c r="N481" s="360"/>
      <c r="O481" s="360"/>
      <c r="P481" s="360"/>
      <c r="Q481" s="360"/>
    </row>
    <row r="482" spans="1:17">
      <c r="A482" s="359"/>
      <c r="B482" s="360"/>
      <c r="C482" s="662" t="s">
        <v>584</v>
      </c>
      <c r="D482" s="736">
        <f t="shared" si="41"/>
        <v>1900000</v>
      </c>
      <c r="E482" s="182"/>
      <c r="F482" s="182"/>
      <c r="G482" s="182"/>
      <c r="H482" s="182"/>
      <c r="I482" s="182"/>
      <c r="J482" s="182"/>
      <c r="K482" s="361"/>
      <c r="L482" s="654" t="s">
        <v>571</v>
      </c>
      <c r="M482" s="184"/>
      <c r="N482" s="360"/>
      <c r="O482" s="360"/>
      <c r="P482" s="360"/>
      <c r="Q482" s="360"/>
    </row>
    <row r="483" spans="1:17">
      <c r="A483" s="359"/>
      <c r="B483" s="360"/>
      <c r="C483" s="660" t="s">
        <v>585</v>
      </c>
      <c r="D483" s="736">
        <f t="shared" si="41"/>
        <v>1900000</v>
      </c>
      <c r="E483" s="182"/>
      <c r="F483" s="182"/>
      <c r="G483" s="182"/>
      <c r="H483" s="182"/>
      <c r="I483" s="182"/>
      <c r="J483" s="182"/>
      <c r="K483" s="361"/>
      <c r="L483" s="654" t="s">
        <v>571</v>
      </c>
      <c r="M483" s="184"/>
      <c r="N483" s="360"/>
      <c r="O483" s="360"/>
      <c r="P483" s="360"/>
      <c r="Q483" s="360"/>
    </row>
    <row r="484" spans="1:17" ht="37.5">
      <c r="A484" s="359"/>
      <c r="B484" s="360"/>
      <c r="C484" s="660" t="s">
        <v>586</v>
      </c>
      <c r="D484" s="736">
        <f t="shared" si="41"/>
        <v>1900000</v>
      </c>
      <c r="E484" s="182"/>
      <c r="F484" s="182"/>
      <c r="G484" s="182"/>
      <c r="H484" s="182"/>
      <c r="I484" s="182"/>
      <c r="J484" s="182"/>
      <c r="K484" s="361"/>
      <c r="L484" s="654" t="s">
        <v>571</v>
      </c>
      <c r="M484" s="184"/>
      <c r="N484" s="360"/>
      <c r="O484" s="360"/>
      <c r="P484" s="360"/>
      <c r="Q484" s="360"/>
    </row>
    <row r="485" spans="1:17" ht="37.5">
      <c r="A485" s="359"/>
      <c r="B485" s="360"/>
      <c r="C485" s="663" t="s">
        <v>587</v>
      </c>
      <c r="D485" s="736">
        <f t="shared" si="41"/>
        <v>1900000</v>
      </c>
      <c r="E485" s="182"/>
      <c r="F485" s="182"/>
      <c r="G485" s="182"/>
      <c r="H485" s="182"/>
      <c r="I485" s="182"/>
      <c r="J485" s="182"/>
      <c r="K485" s="361"/>
      <c r="L485" s="654" t="s">
        <v>571</v>
      </c>
      <c r="M485" s="184"/>
      <c r="N485" s="360"/>
      <c r="O485" s="360"/>
      <c r="P485" s="360"/>
      <c r="Q485" s="360"/>
    </row>
    <row r="486" spans="1:17" ht="37.5">
      <c r="A486" s="359"/>
      <c r="B486" s="360"/>
      <c r="C486" s="666" t="s">
        <v>588</v>
      </c>
      <c r="D486" s="736">
        <f t="shared" si="41"/>
        <v>1900000</v>
      </c>
      <c r="E486" s="668" t="s">
        <v>589</v>
      </c>
      <c r="F486" s="182"/>
      <c r="G486" s="182"/>
      <c r="H486" s="182"/>
      <c r="I486" s="182"/>
      <c r="J486" s="182"/>
      <c r="K486" s="361"/>
      <c r="L486" s="646"/>
      <c r="M486" s="184"/>
      <c r="N486" s="360"/>
      <c r="O486" s="360"/>
      <c r="P486" s="360"/>
      <c r="Q486" s="360"/>
    </row>
    <row r="487" spans="1:17" ht="56.25">
      <c r="A487" s="359"/>
      <c r="B487" s="360"/>
      <c r="C487" s="666" t="s">
        <v>590</v>
      </c>
      <c r="D487" s="736">
        <f t="shared" si="41"/>
        <v>1900000</v>
      </c>
      <c r="E487" s="668" t="s">
        <v>589</v>
      </c>
      <c r="F487" s="182"/>
      <c r="G487" s="182"/>
      <c r="H487" s="182"/>
      <c r="I487" s="182"/>
      <c r="J487" s="182"/>
      <c r="K487" s="361"/>
      <c r="L487" s="646"/>
      <c r="M487" s="184"/>
      <c r="N487" s="360"/>
      <c r="O487" s="360"/>
      <c r="P487" s="360"/>
      <c r="Q487" s="360"/>
    </row>
    <row r="488" spans="1:17" ht="37.5">
      <c r="A488" s="359"/>
      <c r="B488" s="360"/>
      <c r="C488" s="666" t="s">
        <v>591</v>
      </c>
      <c r="D488" s="736">
        <f t="shared" si="41"/>
        <v>1900000</v>
      </c>
      <c r="E488" s="668" t="s">
        <v>589</v>
      </c>
      <c r="F488" s="182"/>
      <c r="G488" s="182"/>
      <c r="H488" s="182"/>
      <c r="I488" s="182"/>
      <c r="J488" s="182"/>
      <c r="K488" s="361"/>
      <c r="L488" s="646"/>
      <c r="M488" s="184"/>
      <c r="N488" s="360"/>
      <c r="O488" s="360"/>
      <c r="P488" s="360"/>
      <c r="Q488" s="360"/>
    </row>
    <row r="489" spans="1:17" ht="56.25">
      <c r="A489" s="359"/>
      <c r="B489" s="360"/>
      <c r="C489" s="666" t="s">
        <v>92</v>
      </c>
      <c r="D489" s="736">
        <f t="shared" si="41"/>
        <v>1900000</v>
      </c>
      <c r="E489" s="668" t="s">
        <v>589</v>
      </c>
      <c r="F489" s="182"/>
      <c r="G489" s="182"/>
      <c r="H489" s="182"/>
      <c r="I489" s="182"/>
      <c r="J489" s="182"/>
      <c r="K489" s="361"/>
      <c r="L489" s="646"/>
      <c r="M489" s="184"/>
      <c r="N489" s="360"/>
      <c r="O489" s="360"/>
      <c r="P489" s="360"/>
      <c r="Q489" s="360"/>
    </row>
    <row r="490" spans="1:17" ht="37.5">
      <c r="A490" s="359"/>
      <c r="B490" s="360"/>
      <c r="C490" s="666" t="s">
        <v>592</v>
      </c>
      <c r="D490" s="736">
        <f t="shared" si="41"/>
        <v>1900000</v>
      </c>
      <c r="E490" s="668" t="s">
        <v>589</v>
      </c>
      <c r="F490" s="182"/>
      <c r="G490" s="182"/>
      <c r="H490" s="182"/>
      <c r="I490" s="182"/>
      <c r="J490" s="182"/>
      <c r="K490" s="361"/>
      <c r="L490" s="646"/>
      <c r="M490" s="184"/>
      <c r="N490" s="360"/>
      <c r="O490" s="360"/>
      <c r="P490" s="360"/>
      <c r="Q490" s="360"/>
    </row>
    <row r="491" spans="1:17" ht="56.25">
      <c r="A491" s="359"/>
      <c r="B491" s="360"/>
      <c r="C491" s="669" t="s">
        <v>593</v>
      </c>
      <c r="D491" s="736">
        <f t="shared" si="41"/>
        <v>1900000</v>
      </c>
      <c r="E491" s="668" t="s">
        <v>589</v>
      </c>
      <c r="F491" s="182"/>
      <c r="G491" s="182"/>
      <c r="H491" s="182"/>
      <c r="I491" s="182"/>
      <c r="J491" s="182"/>
      <c r="K491" s="361"/>
      <c r="L491" s="646"/>
      <c r="M491" s="184"/>
      <c r="N491" s="360"/>
      <c r="O491" s="360"/>
      <c r="P491" s="360"/>
      <c r="Q491" s="360"/>
    </row>
    <row r="492" spans="1:17" ht="56.25">
      <c r="A492" s="359"/>
      <c r="B492" s="360"/>
      <c r="C492" s="666" t="s">
        <v>594</v>
      </c>
      <c r="D492" s="736">
        <f t="shared" si="41"/>
        <v>1900000</v>
      </c>
      <c r="E492" s="668" t="s">
        <v>589</v>
      </c>
      <c r="F492" s="182"/>
      <c r="G492" s="182"/>
      <c r="H492" s="182"/>
      <c r="I492" s="182"/>
      <c r="J492" s="182"/>
      <c r="K492" s="361"/>
      <c r="L492" s="646"/>
      <c r="M492" s="184"/>
      <c r="N492" s="360"/>
      <c r="O492" s="360"/>
      <c r="P492" s="360"/>
      <c r="Q492" s="360"/>
    </row>
    <row r="493" spans="1:17" ht="37.5">
      <c r="A493" s="359"/>
      <c r="B493" s="360"/>
      <c r="C493" s="666" t="s">
        <v>595</v>
      </c>
      <c r="D493" s="736">
        <f t="shared" si="41"/>
        <v>1900000</v>
      </c>
      <c r="E493" s="668" t="s">
        <v>589</v>
      </c>
      <c r="F493" s="182"/>
      <c r="G493" s="182"/>
      <c r="H493" s="182"/>
      <c r="I493" s="182"/>
      <c r="J493" s="182"/>
      <c r="K493" s="361"/>
      <c r="L493" s="646"/>
      <c r="M493" s="184"/>
      <c r="N493" s="360"/>
      <c r="O493" s="360"/>
      <c r="P493" s="360"/>
      <c r="Q493" s="360"/>
    </row>
    <row r="494" spans="1:17" ht="37.5">
      <c r="A494" s="359"/>
      <c r="B494" s="360"/>
      <c r="C494" s="671" t="s">
        <v>596</v>
      </c>
      <c r="D494" s="736">
        <f t="shared" si="41"/>
        <v>1900000</v>
      </c>
      <c r="E494" s="668" t="s">
        <v>589</v>
      </c>
      <c r="F494" s="182"/>
      <c r="G494" s="182"/>
      <c r="H494" s="182"/>
      <c r="I494" s="182"/>
      <c r="J494" s="182"/>
      <c r="K494" s="361"/>
      <c r="L494" s="646"/>
      <c r="M494" s="184"/>
      <c r="N494" s="360"/>
      <c r="O494" s="360"/>
      <c r="P494" s="360"/>
      <c r="Q494" s="360"/>
    </row>
    <row r="495" spans="1:17" ht="75">
      <c r="A495" s="359"/>
      <c r="B495" s="360"/>
      <c r="C495" s="666" t="s">
        <v>597</v>
      </c>
      <c r="D495" s="736">
        <f t="shared" si="41"/>
        <v>1900000</v>
      </c>
      <c r="E495" s="668" t="s">
        <v>589</v>
      </c>
      <c r="F495" s="182"/>
      <c r="G495" s="182"/>
      <c r="H495" s="182"/>
      <c r="I495" s="182"/>
      <c r="J495" s="182"/>
      <c r="K495" s="361"/>
      <c r="L495" s="646"/>
      <c r="M495" s="184"/>
      <c r="N495" s="360"/>
      <c r="O495" s="360"/>
      <c r="P495" s="360"/>
      <c r="Q495" s="360"/>
    </row>
    <row r="496" spans="1:17" ht="37.5">
      <c r="A496" s="359"/>
      <c r="B496" s="360"/>
      <c r="C496" s="666" t="s">
        <v>598</v>
      </c>
      <c r="D496" s="736">
        <f t="shared" si="41"/>
        <v>1900000</v>
      </c>
      <c r="E496" s="668" t="s">
        <v>589</v>
      </c>
      <c r="F496" s="182"/>
      <c r="G496" s="182"/>
      <c r="H496" s="182"/>
      <c r="I496" s="182"/>
      <c r="J496" s="182"/>
      <c r="K496" s="361"/>
      <c r="L496" s="646"/>
      <c r="M496" s="184"/>
      <c r="N496" s="360"/>
      <c r="O496" s="360"/>
      <c r="P496" s="360"/>
      <c r="Q496" s="360"/>
    </row>
    <row r="497" spans="1:17" ht="75">
      <c r="A497" s="359"/>
      <c r="B497" s="360"/>
      <c r="C497" s="669" t="s">
        <v>599</v>
      </c>
      <c r="D497" s="736">
        <f t="shared" si="41"/>
        <v>1900000</v>
      </c>
      <c r="E497" s="668" t="s">
        <v>589</v>
      </c>
      <c r="F497" s="182"/>
      <c r="G497" s="182"/>
      <c r="H497" s="182"/>
      <c r="I497" s="182"/>
      <c r="J497" s="182"/>
      <c r="K497" s="361"/>
      <c r="L497" s="646"/>
      <c r="M497" s="184"/>
      <c r="N497" s="360"/>
      <c r="O497" s="360"/>
      <c r="P497" s="360"/>
      <c r="Q497" s="360"/>
    </row>
    <row r="498" spans="1:17" ht="37.5">
      <c r="A498" s="359"/>
      <c r="B498" s="360"/>
      <c r="C498" s="669" t="s">
        <v>600</v>
      </c>
      <c r="D498" s="736">
        <f t="shared" si="41"/>
        <v>1900000</v>
      </c>
      <c r="E498" s="668" t="s">
        <v>589</v>
      </c>
      <c r="F498" s="182"/>
      <c r="G498" s="182"/>
      <c r="H498" s="182"/>
      <c r="I498" s="182"/>
      <c r="J498" s="182"/>
      <c r="K498" s="361"/>
      <c r="L498" s="646"/>
      <c r="M498" s="184"/>
      <c r="N498" s="360"/>
      <c r="O498" s="360"/>
      <c r="P498" s="360"/>
      <c r="Q498" s="360"/>
    </row>
    <row r="499" spans="1:17" ht="37.5">
      <c r="A499" s="359"/>
      <c r="B499" s="360"/>
      <c r="C499" s="669" t="s">
        <v>601</v>
      </c>
      <c r="D499" s="736">
        <f t="shared" si="41"/>
        <v>1900000</v>
      </c>
      <c r="E499" s="668" t="s">
        <v>589</v>
      </c>
      <c r="F499" s="182"/>
      <c r="G499" s="182"/>
      <c r="H499" s="182"/>
      <c r="I499" s="182"/>
      <c r="J499" s="182"/>
      <c r="K499" s="361"/>
      <c r="L499" s="646"/>
      <c r="M499" s="184"/>
      <c r="N499" s="360"/>
      <c r="O499" s="360"/>
      <c r="P499" s="360"/>
      <c r="Q499" s="360"/>
    </row>
    <row r="500" spans="1:17" ht="37.5">
      <c r="A500" s="359"/>
      <c r="B500" s="360"/>
      <c r="C500" s="666" t="s">
        <v>602</v>
      </c>
      <c r="D500" s="736">
        <f t="shared" si="41"/>
        <v>1900000</v>
      </c>
      <c r="E500" s="668" t="s">
        <v>589</v>
      </c>
      <c r="F500" s="182"/>
      <c r="G500" s="182"/>
      <c r="H500" s="182"/>
      <c r="I500" s="182"/>
      <c r="J500" s="182"/>
      <c r="K500" s="361"/>
      <c r="L500" s="646"/>
      <c r="M500" s="184"/>
      <c r="N500" s="360"/>
      <c r="O500" s="360"/>
      <c r="P500" s="360"/>
      <c r="Q500" s="360"/>
    </row>
    <row r="501" spans="1:17" ht="37.5">
      <c r="A501" s="359"/>
      <c r="B501" s="360"/>
      <c r="C501" s="672" t="s">
        <v>603</v>
      </c>
      <c r="D501" s="736">
        <f t="shared" si="41"/>
        <v>1900000</v>
      </c>
      <c r="E501" s="668" t="s">
        <v>589</v>
      </c>
      <c r="F501" s="182"/>
      <c r="G501" s="182"/>
      <c r="H501" s="182"/>
      <c r="I501" s="182"/>
      <c r="J501" s="182"/>
      <c r="K501" s="361"/>
      <c r="L501" s="646"/>
      <c r="M501" s="184"/>
      <c r="N501" s="360"/>
      <c r="O501" s="360"/>
      <c r="P501" s="360"/>
      <c r="Q501" s="360"/>
    </row>
    <row r="502" spans="1:17" ht="37.5">
      <c r="A502" s="359"/>
      <c r="B502" s="360"/>
      <c r="C502" s="672" t="s">
        <v>604</v>
      </c>
      <c r="D502" s="736">
        <f t="shared" si="41"/>
        <v>1900000</v>
      </c>
      <c r="E502" s="668" t="s">
        <v>589</v>
      </c>
      <c r="F502" s="182"/>
      <c r="G502" s="182"/>
      <c r="H502" s="182"/>
      <c r="I502" s="182"/>
      <c r="J502" s="182"/>
      <c r="K502" s="361"/>
      <c r="L502" s="646"/>
      <c r="M502" s="184"/>
      <c r="N502" s="360"/>
      <c r="O502" s="360"/>
      <c r="P502" s="360"/>
      <c r="Q502" s="360"/>
    </row>
    <row r="503" spans="1:17" ht="37.5">
      <c r="A503" s="359"/>
      <c r="B503" s="360"/>
      <c r="C503" s="676" t="s">
        <v>605</v>
      </c>
      <c r="D503" s="736">
        <f t="shared" si="41"/>
        <v>1900000</v>
      </c>
      <c r="E503" s="668" t="s">
        <v>589</v>
      </c>
      <c r="F503" s="182"/>
      <c r="G503" s="182"/>
      <c r="H503" s="182"/>
      <c r="I503" s="182"/>
      <c r="J503" s="182"/>
      <c r="K503" s="361"/>
      <c r="L503" s="646"/>
      <c r="M503" s="184"/>
      <c r="N503" s="360"/>
      <c r="O503" s="360"/>
      <c r="P503" s="360"/>
      <c r="Q503" s="360"/>
    </row>
    <row r="504" spans="1:17" ht="37.5">
      <c r="A504" s="359"/>
      <c r="B504" s="360"/>
      <c r="C504" s="666" t="s">
        <v>606</v>
      </c>
      <c r="D504" s="736">
        <f t="shared" si="41"/>
        <v>1900000</v>
      </c>
      <c r="E504" s="668" t="s">
        <v>589</v>
      </c>
      <c r="F504" s="182"/>
      <c r="G504" s="182"/>
      <c r="H504" s="182"/>
      <c r="I504" s="182"/>
      <c r="J504" s="182"/>
      <c r="K504" s="361"/>
      <c r="L504" s="646"/>
      <c r="M504" s="184"/>
      <c r="N504" s="360"/>
      <c r="O504" s="360"/>
      <c r="P504" s="360"/>
      <c r="Q504" s="360"/>
    </row>
    <row r="505" spans="1:17">
      <c r="A505" s="359"/>
      <c r="B505" s="360"/>
      <c r="C505" s="663" t="s">
        <v>607</v>
      </c>
      <c r="D505" s="736">
        <f t="shared" si="41"/>
        <v>1900000</v>
      </c>
      <c r="E505" s="656" t="s">
        <v>608</v>
      </c>
      <c r="F505" s="182"/>
      <c r="G505" s="182"/>
      <c r="H505" s="182"/>
      <c r="I505" s="182"/>
      <c r="J505" s="182"/>
      <c r="K505" s="361"/>
      <c r="L505" s="646"/>
      <c r="M505" s="184"/>
      <c r="N505" s="360"/>
      <c r="O505" s="360"/>
      <c r="P505" s="360"/>
      <c r="Q505" s="360"/>
    </row>
    <row r="506" spans="1:17">
      <c r="A506" s="359"/>
      <c r="B506" s="360"/>
      <c r="C506" s="663" t="s">
        <v>609</v>
      </c>
      <c r="D506" s="736">
        <f t="shared" si="41"/>
        <v>1900000</v>
      </c>
      <c r="E506" s="656" t="s">
        <v>608</v>
      </c>
      <c r="F506" s="182"/>
      <c r="G506" s="182"/>
      <c r="H506" s="182"/>
      <c r="I506" s="182"/>
      <c r="J506" s="182"/>
      <c r="K506" s="361"/>
      <c r="L506" s="646"/>
      <c r="M506" s="184"/>
      <c r="N506" s="360"/>
      <c r="O506" s="360"/>
      <c r="P506" s="360"/>
      <c r="Q506" s="360"/>
    </row>
    <row r="507" spans="1:17">
      <c r="A507" s="359"/>
      <c r="B507" s="360"/>
      <c r="C507" s="663" t="s">
        <v>495</v>
      </c>
      <c r="D507" s="736">
        <f t="shared" si="41"/>
        <v>1900000</v>
      </c>
      <c r="E507" s="656" t="s">
        <v>608</v>
      </c>
      <c r="F507" s="182"/>
      <c r="G507" s="182"/>
      <c r="H507" s="182"/>
      <c r="I507" s="182"/>
      <c r="J507" s="182"/>
      <c r="K507" s="361"/>
      <c r="L507" s="646"/>
      <c r="M507" s="184"/>
      <c r="N507" s="360"/>
      <c r="O507" s="360"/>
      <c r="P507" s="360"/>
      <c r="Q507" s="360"/>
    </row>
    <row r="508" spans="1:17" ht="37.5">
      <c r="A508" s="359"/>
      <c r="B508" s="360"/>
      <c r="C508" s="663" t="s">
        <v>610</v>
      </c>
      <c r="D508" s="736">
        <f t="shared" si="41"/>
        <v>1900000</v>
      </c>
      <c r="E508" s="656" t="s">
        <v>608</v>
      </c>
      <c r="F508" s="182"/>
      <c r="G508" s="182"/>
      <c r="H508" s="182"/>
      <c r="I508" s="182"/>
      <c r="J508" s="182"/>
      <c r="K508" s="361"/>
      <c r="L508" s="646"/>
      <c r="M508" s="184"/>
      <c r="N508" s="360"/>
      <c r="O508" s="360"/>
      <c r="P508" s="360"/>
      <c r="Q508" s="360"/>
    </row>
    <row r="509" spans="1:17" ht="37.5">
      <c r="A509" s="359"/>
      <c r="B509" s="360"/>
      <c r="C509" s="663" t="s">
        <v>611</v>
      </c>
      <c r="D509" s="736">
        <f t="shared" si="41"/>
        <v>1900000</v>
      </c>
      <c r="E509" s="656" t="s">
        <v>608</v>
      </c>
      <c r="F509" s="182"/>
      <c r="G509" s="182"/>
      <c r="H509" s="182"/>
      <c r="I509" s="182"/>
      <c r="J509" s="182"/>
      <c r="K509" s="361"/>
      <c r="L509" s="646"/>
      <c r="M509" s="184"/>
      <c r="N509" s="360"/>
      <c r="O509" s="360"/>
      <c r="P509" s="360"/>
      <c r="Q509" s="360"/>
    </row>
    <row r="510" spans="1:17">
      <c r="A510" s="359"/>
      <c r="B510" s="360"/>
      <c r="C510" s="663" t="s">
        <v>612</v>
      </c>
      <c r="D510" s="736">
        <f t="shared" si="41"/>
        <v>1900000</v>
      </c>
      <c r="E510" s="656" t="s">
        <v>608</v>
      </c>
      <c r="F510" s="182"/>
      <c r="G510" s="182"/>
      <c r="H510" s="182"/>
      <c r="I510" s="182"/>
      <c r="J510" s="182"/>
      <c r="K510" s="361"/>
      <c r="L510" s="646"/>
      <c r="M510" s="184"/>
      <c r="N510" s="360"/>
      <c r="O510" s="360"/>
      <c r="P510" s="360"/>
      <c r="Q510" s="360"/>
    </row>
    <row r="511" spans="1:17" ht="37.5">
      <c r="C511" s="663" t="s">
        <v>613</v>
      </c>
      <c r="D511" s="736">
        <f t="shared" si="41"/>
        <v>1900000</v>
      </c>
      <c r="E511" s="656" t="s">
        <v>614</v>
      </c>
    </row>
    <row r="512" spans="1:17" ht="37.5">
      <c r="C512" s="663" t="s">
        <v>615</v>
      </c>
      <c r="D512" s="736">
        <f t="shared" si="41"/>
        <v>1900000</v>
      </c>
      <c r="E512" s="656" t="s">
        <v>614</v>
      </c>
    </row>
    <row r="513" spans="3:5" ht="56.25">
      <c r="C513" s="663" t="s">
        <v>616</v>
      </c>
      <c r="D513" s="736">
        <f t="shared" si="41"/>
        <v>1900000</v>
      </c>
      <c r="E513" s="656" t="s">
        <v>614</v>
      </c>
    </row>
    <row r="514" spans="3:5" ht="56.25">
      <c r="C514" s="663" t="s">
        <v>617</v>
      </c>
      <c r="D514" s="736">
        <f t="shared" si="41"/>
        <v>1900000</v>
      </c>
      <c r="E514" s="656" t="s">
        <v>618</v>
      </c>
    </row>
    <row r="515" spans="3:5" ht="37.5">
      <c r="C515" s="663" t="s">
        <v>619</v>
      </c>
      <c r="D515" s="736">
        <f t="shared" si="41"/>
        <v>1900000</v>
      </c>
      <c r="E515" s="656" t="s">
        <v>618</v>
      </c>
    </row>
    <row r="516" spans="3:5" ht="37.5">
      <c r="C516" s="663" t="s">
        <v>356</v>
      </c>
      <c r="D516" s="736">
        <f t="shared" si="41"/>
        <v>1900000</v>
      </c>
      <c r="E516" s="656" t="s">
        <v>618</v>
      </c>
    </row>
    <row r="517" spans="3:5" ht="37.5">
      <c r="C517" s="663" t="s">
        <v>584</v>
      </c>
      <c r="D517" s="736">
        <f t="shared" si="41"/>
        <v>1900000</v>
      </c>
      <c r="E517" s="656" t="s">
        <v>618</v>
      </c>
    </row>
    <row r="518" spans="3:5" ht="56.25">
      <c r="C518" s="663" t="s">
        <v>620</v>
      </c>
      <c r="D518" s="736">
        <f t="shared" si="41"/>
        <v>1900000</v>
      </c>
      <c r="E518" s="656" t="s">
        <v>618</v>
      </c>
    </row>
    <row r="519" spans="3:5" ht="56.25">
      <c r="C519" s="663" t="s">
        <v>621</v>
      </c>
      <c r="D519" s="736">
        <f t="shared" si="41"/>
        <v>1900000</v>
      </c>
      <c r="E519" s="656" t="s">
        <v>618</v>
      </c>
    </row>
    <row r="520" spans="3:5" ht="37.5">
      <c r="C520" s="663" t="s">
        <v>622</v>
      </c>
      <c r="D520" s="736">
        <f t="shared" si="41"/>
        <v>1900000</v>
      </c>
      <c r="E520" s="656" t="s">
        <v>618</v>
      </c>
    </row>
    <row r="521" spans="3:5" ht="37.5">
      <c r="C521" s="663" t="s">
        <v>610</v>
      </c>
      <c r="D521" s="736">
        <f t="shared" si="41"/>
        <v>1900000</v>
      </c>
      <c r="E521" s="656" t="s">
        <v>618</v>
      </c>
    </row>
    <row r="522" spans="3:5" ht="37.5">
      <c r="C522" s="663" t="s">
        <v>623</v>
      </c>
      <c r="D522" s="736">
        <f t="shared" si="41"/>
        <v>1900000</v>
      </c>
      <c r="E522" s="656" t="s">
        <v>618</v>
      </c>
    </row>
    <row r="523" spans="3:5" ht="56.25">
      <c r="C523" s="663" t="s">
        <v>624</v>
      </c>
      <c r="D523" s="736">
        <f t="shared" si="41"/>
        <v>1900000</v>
      </c>
      <c r="E523" s="656" t="s">
        <v>618</v>
      </c>
    </row>
    <row r="524" spans="3:5" ht="56.25">
      <c r="C524" s="663" t="s">
        <v>625</v>
      </c>
      <c r="D524" s="736">
        <f t="shared" si="41"/>
        <v>1900000</v>
      </c>
      <c r="E524" s="656" t="s">
        <v>618</v>
      </c>
    </row>
    <row r="525" spans="3:5">
      <c r="C525" s="663" t="s">
        <v>626</v>
      </c>
      <c r="D525" s="736">
        <f t="shared" si="41"/>
        <v>1900000</v>
      </c>
      <c r="E525" s="656" t="s">
        <v>618</v>
      </c>
    </row>
    <row r="526" spans="3:5">
      <c r="C526" s="663" t="s">
        <v>77</v>
      </c>
      <c r="D526" s="736">
        <f t="shared" si="41"/>
        <v>1900000</v>
      </c>
      <c r="E526" s="656" t="s">
        <v>618</v>
      </c>
    </row>
    <row r="527" spans="3:5" ht="37.5">
      <c r="C527" s="663" t="s">
        <v>587</v>
      </c>
      <c r="D527" s="736">
        <f t="shared" si="41"/>
        <v>1900000</v>
      </c>
      <c r="E527" s="656" t="s">
        <v>627</v>
      </c>
    </row>
    <row r="528" spans="3:5" ht="37.5">
      <c r="C528" s="663" t="s">
        <v>628</v>
      </c>
      <c r="D528" s="736">
        <f t="shared" si="41"/>
        <v>1900000</v>
      </c>
      <c r="E528" s="656" t="s">
        <v>627</v>
      </c>
    </row>
    <row r="529" spans="3:5" ht="42">
      <c r="C529" s="683" t="s">
        <v>622</v>
      </c>
      <c r="D529" s="736">
        <f t="shared" si="41"/>
        <v>1900000</v>
      </c>
      <c r="E529" s="682" t="s">
        <v>629</v>
      </c>
    </row>
    <row r="530" spans="3:5" ht="42">
      <c r="C530" s="683" t="s">
        <v>281</v>
      </c>
      <c r="D530" s="736">
        <f t="shared" si="41"/>
        <v>1900000</v>
      </c>
      <c r="E530" s="682" t="s">
        <v>629</v>
      </c>
    </row>
    <row r="531" spans="3:5" ht="42">
      <c r="C531" s="683" t="s">
        <v>356</v>
      </c>
      <c r="D531" s="736">
        <f t="shared" si="41"/>
        <v>1900000</v>
      </c>
      <c r="E531" s="682" t="s">
        <v>629</v>
      </c>
    </row>
    <row r="532" spans="3:5" ht="63">
      <c r="C532" s="683" t="s">
        <v>630</v>
      </c>
      <c r="D532" s="736">
        <f t="shared" si="41"/>
        <v>1900000</v>
      </c>
      <c r="E532" s="682" t="s">
        <v>629</v>
      </c>
    </row>
    <row r="533" spans="3:5" ht="42">
      <c r="C533" s="683" t="s">
        <v>631</v>
      </c>
      <c r="D533" s="736">
        <f t="shared" si="41"/>
        <v>1900000</v>
      </c>
      <c r="E533" s="682" t="s">
        <v>629</v>
      </c>
    </row>
    <row r="534" spans="3:5" ht="21">
      <c r="C534" s="683" t="s">
        <v>632</v>
      </c>
      <c r="D534" s="736">
        <f t="shared" si="41"/>
        <v>1900000</v>
      </c>
      <c r="E534" s="682" t="s">
        <v>629</v>
      </c>
    </row>
    <row r="535" spans="3:5" ht="21">
      <c r="C535" s="683" t="s">
        <v>77</v>
      </c>
      <c r="D535" s="736">
        <f t="shared" si="41"/>
        <v>1900000</v>
      </c>
      <c r="E535" s="682" t="s">
        <v>629</v>
      </c>
    </row>
    <row r="536" spans="3:5" ht="42">
      <c r="C536" s="683" t="s">
        <v>633</v>
      </c>
      <c r="D536" s="736">
        <f t="shared" ref="D536:D599" si="42">1.9*1000000</f>
        <v>1900000</v>
      </c>
      <c r="E536" s="682" t="s">
        <v>629</v>
      </c>
    </row>
    <row r="537" spans="3:5" ht="42">
      <c r="C537" s="683" t="s">
        <v>634</v>
      </c>
      <c r="D537" s="736">
        <f t="shared" si="42"/>
        <v>1900000</v>
      </c>
      <c r="E537" s="682" t="s">
        <v>629</v>
      </c>
    </row>
    <row r="538" spans="3:5" ht="21">
      <c r="C538" s="683" t="s">
        <v>358</v>
      </c>
      <c r="D538" s="736">
        <f t="shared" si="42"/>
        <v>1900000</v>
      </c>
      <c r="E538" s="682" t="s">
        <v>629</v>
      </c>
    </row>
    <row r="539" spans="3:5" ht="63">
      <c r="C539" s="683" t="s">
        <v>635</v>
      </c>
      <c r="D539" s="736">
        <f t="shared" si="42"/>
        <v>1900000</v>
      </c>
      <c r="E539" s="682" t="s">
        <v>629</v>
      </c>
    </row>
    <row r="540" spans="3:5" ht="84">
      <c r="C540" s="683" t="s">
        <v>636</v>
      </c>
      <c r="D540" s="736">
        <f t="shared" si="42"/>
        <v>1900000</v>
      </c>
      <c r="E540" s="682" t="s">
        <v>629</v>
      </c>
    </row>
    <row r="541" spans="3:5" ht="42">
      <c r="C541" s="683" t="s">
        <v>637</v>
      </c>
      <c r="D541" s="736">
        <f t="shared" si="42"/>
        <v>1900000</v>
      </c>
      <c r="E541" s="682" t="s">
        <v>629</v>
      </c>
    </row>
    <row r="542" spans="3:5" ht="42">
      <c r="C542" s="683" t="s">
        <v>292</v>
      </c>
      <c r="D542" s="736">
        <f t="shared" si="42"/>
        <v>1900000</v>
      </c>
      <c r="E542" s="682" t="s">
        <v>629</v>
      </c>
    </row>
    <row r="543" spans="3:5" ht="42">
      <c r="C543" s="683" t="s">
        <v>552</v>
      </c>
      <c r="D543" s="736">
        <f t="shared" si="42"/>
        <v>1900000</v>
      </c>
      <c r="E543" s="682" t="s">
        <v>629</v>
      </c>
    </row>
    <row r="544" spans="3:5" ht="21">
      <c r="C544" s="683" t="s">
        <v>638</v>
      </c>
      <c r="D544" s="736">
        <f t="shared" si="42"/>
        <v>1900000</v>
      </c>
      <c r="E544" s="682" t="s">
        <v>629</v>
      </c>
    </row>
    <row r="545" spans="3:5" ht="63">
      <c r="C545" s="683" t="s">
        <v>639</v>
      </c>
      <c r="D545" s="736">
        <f t="shared" si="42"/>
        <v>1900000</v>
      </c>
      <c r="E545" s="682" t="s">
        <v>629</v>
      </c>
    </row>
    <row r="546" spans="3:5" ht="42">
      <c r="C546" s="683" t="s">
        <v>195</v>
      </c>
      <c r="D546" s="736">
        <f t="shared" si="42"/>
        <v>1900000</v>
      </c>
      <c r="E546" s="682" t="s">
        <v>629</v>
      </c>
    </row>
    <row r="547" spans="3:5" ht="63">
      <c r="C547" s="683" t="s">
        <v>640</v>
      </c>
      <c r="D547" s="736">
        <f t="shared" si="42"/>
        <v>1900000</v>
      </c>
      <c r="E547" s="682" t="s">
        <v>629</v>
      </c>
    </row>
    <row r="548" spans="3:5" ht="21">
      <c r="C548" s="683" t="s">
        <v>641</v>
      </c>
      <c r="D548" s="736">
        <f t="shared" si="42"/>
        <v>1900000</v>
      </c>
      <c r="E548" s="682" t="s">
        <v>629</v>
      </c>
    </row>
    <row r="549" spans="3:5" ht="21">
      <c r="C549" s="683" t="s">
        <v>339</v>
      </c>
      <c r="D549" s="736">
        <f t="shared" si="42"/>
        <v>1900000</v>
      </c>
      <c r="E549" s="682" t="s">
        <v>629</v>
      </c>
    </row>
    <row r="550" spans="3:5" ht="42">
      <c r="C550" s="683" t="s">
        <v>642</v>
      </c>
      <c r="D550" s="736">
        <f t="shared" si="42"/>
        <v>1900000</v>
      </c>
      <c r="E550" s="682" t="s">
        <v>629</v>
      </c>
    </row>
    <row r="551" spans="3:5" ht="63">
      <c r="C551" s="683" t="s">
        <v>226</v>
      </c>
      <c r="D551" s="736">
        <f t="shared" si="42"/>
        <v>1900000</v>
      </c>
      <c r="E551" s="682" t="s">
        <v>629</v>
      </c>
    </row>
    <row r="552" spans="3:5" ht="63">
      <c r="C552" s="683" t="s">
        <v>643</v>
      </c>
      <c r="D552" s="736">
        <f t="shared" si="42"/>
        <v>1900000</v>
      </c>
      <c r="E552" s="682" t="s">
        <v>629</v>
      </c>
    </row>
    <row r="553" spans="3:5" ht="42">
      <c r="C553" s="683" t="s">
        <v>644</v>
      </c>
      <c r="D553" s="736">
        <f t="shared" si="42"/>
        <v>1900000</v>
      </c>
      <c r="E553" s="682" t="s">
        <v>629</v>
      </c>
    </row>
    <row r="554" spans="3:5" ht="42">
      <c r="C554" s="683" t="s">
        <v>258</v>
      </c>
      <c r="D554" s="736">
        <f t="shared" si="42"/>
        <v>1900000</v>
      </c>
      <c r="E554" s="682" t="s">
        <v>629</v>
      </c>
    </row>
    <row r="555" spans="3:5" ht="63">
      <c r="C555" s="695" t="s">
        <v>645</v>
      </c>
      <c r="D555" s="736">
        <f t="shared" si="42"/>
        <v>1900000</v>
      </c>
      <c r="E555" s="682" t="s">
        <v>629</v>
      </c>
    </row>
    <row r="556" spans="3:5" ht="42">
      <c r="C556" s="683" t="s">
        <v>584</v>
      </c>
      <c r="D556" s="736">
        <f t="shared" si="42"/>
        <v>1900000</v>
      </c>
      <c r="E556" s="682" t="s">
        <v>629</v>
      </c>
    </row>
    <row r="557" spans="3:5" ht="63">
      <c r="C557" s="699" t="s">
        <v>646</v>
      </c>
      <c r="D557" s="736">
        <f t="shared" si="42"/>
        <v>1900000</v>
      </c>
      <c r="E557" s="682" t="s">
        <v>629</v>
      </c>
    </row>
    <row r="558" spans="3:5" ht="37.5">
      <c r="C558" s="701" t="s">
        <v>647</v>
      </c>
      <c r="D558" s="736">
        <f t="shared" si="42"/>
        <v>1900000</v>
      </c>
      <c r="E558" s="700" t="s">
        <v>648</v>
      </c>
    </row>
    <row r="559" spans="3:5" ht="37.5">
      <c r="C559" s="701" t="s">
        <v>647</v>
      </c>
      <c r="D559" s="736">
        <f t="shared" si="42"/>
        <v>1900000</v>
      </c>
      <c r="E559" s="700" t="s">
        <v>648</v>
      </c>
    </row>
    <row r="560" spans="3:5" ht="37.5">
      <c r="C560" s="701" t="s">
        <v>622</v>
      </c>
      <c r="D560" s="736">
        <f t="shared" si="42"/>
        <v>1900000</v>
      </c>
      <c r="E560" s="700" t="s">
        <v>648</v>
      </c>
    </row>
    <row r="561" spans="3:5" ht="37.5">
      <c r="C561" s="701" t="s">
        <v>640</v>
      </c>
      <c r="D561" s="736">
        <f t="shared" si="42"/>
        <v>1900000</v>
      </c>
      <c r="E561" s="700" t="s">
        <v>648</v>
      </c>
    </row>
    <row r="562" spans="3:5" ht="56.25">
      <c r="C562" s="701" t="s">
        <v>649</v>
      </c>
      <c r="D562" s="736">
        <f t="shared" si="42"/>
        <v>1900000</v>
      </c>
      <c r="E562" s="700" t="s">
        <v>648</v>
      </c>
    </row>
    <row r="563" spans="3:5" ht="37.5">
      <c r="C563" s="706" t="s">
        <v>644</v>
      </c>
      <c r="D563" s="736">
        <f t="shared" si="42"/>
        <v>1900000</v>
      </c>
      <c r="E563" s="700" t="s">
        <v>648</v>
      </c>
    </row>
    <row r="564" spans="3:5" ht="56.25">
      <c r="C564" s="706" t="s">
        <v>344</v>
      </c>
      <c r="D564" s="736">
        <f t="shared" si="42"/>
        <v>1900000</v>
      </c>
      <c r="E564" s="700" t="s">
        <v>648</v>
      </c>
    </row>
    <row r="565" spans="3:5" ht="37.5">
      <c r="C565" s="701" t="s">
        <v>292</v>
      </c>
      <c r="D565" s="736">
        <f t="shared" si="42"/>
        <v>1900000</v>
      </c>
      <c r="E565" s="700" t="s">
        <v>648</v>
      </c>
    </row>
    <row r="566" spans="3:5" ht="37.5">
      <c r="C566" s="710" t="s">
        <v>645</v>
      </c>
      <c r="D566" s="736">
        <f t="shared" si="42"/>
        <v>1900000</v>
      </c>
      <c r="E566" s="700" t="s">
        <v>648</v>
      </c>
    </row>
    <row r="567" spans="3:5" ht="37.5">
      <c r="C567" s="701" t="s">
        <v>356</v>
      </c>
      <c r="D567" s="736">
        <f t="shared" si="42"/>
        <v>1900000</v>
      </c>
      <c r="E567" s="700" t="s">
        <v>648</v>
      </c>
    </row>
    <row r="568" spans="3:5">
      <c r="C568" s="701" t="s">
        <v>650</v>
      </c>
      <c r="D568" s="736">
        <f t="shared" si="42"/>
        <v>1900000</v>
      </c>
      <c r="E568" s="700" t="s">
        <v>648</v>
      </c>
    </row>
    <row r="569" spans="3:5">
      <c r="C569" s="701" t="s">
        <v>339</v>
      </c>
      <c r="D569" s="736">
        <f t="shared" si="42"/>
        <v>1900000</v>
      </c>
      <c r="E569" s="700" t="s">
        <v>648</v>
      </c>
    </row>
    <row r="570" spans="3:5" ht="56.25">
      <c r="C570" s="701" t="s">
        <v>651</v>
      </c>
      <c r="D570" s="736">
        <f t="shared" si="42"/>
        <v>1900000</v>
      </c>
      <c r="E570" s="700" t="s">
        <v>648</v>
      </c>
    </row>
    <row r="571" spans="3:5">
      <c r="C571" s="701" t="s">
        <v>281</v>
      </c>
      <c r="D571" s="736">
        <f t="shared" si="42"/>
        <v>1900000</v>
      </c>
      <c r="E571" s="700" t="s">
        <v>648</v>
      </c>
    </row>
    <row r="572" spans="3:5" ht="56.25">
      <c r="C572" s="701" t="s">
        <v>652</v>
      </c>
      <c r="D572" s="736">
        <f t="shared" si="42"/>
        <v>1900000</v>
      </c>
      <c r="E572" s="700" t="s">
        <v>648</v>
      </c>
    </row>
    <row r="573" spans="3:5" ht="56.25">
      <c r="C573" s="706" t="s">
        <v>653</v>
      </c>
      <c r="D573" s="736">
        <f t="shared" si="42"/>
        <v>1900000</v>
      </c>
      <c r="E573" s="700" t="s">
        <v>648</v>
      </c>
    </row>
    <row r="574" spans="3:5" ht="37.5">
      <c r="C574" s="701" t="s">
        <v>654</v>
      </c>
      <c r="D574" s="736">
        <f t="shared" si="42"/>
        <v>1900000</v>
      </c>
      <c r="E574" s="700" t="s">
        <v>648</v>
      </c>
    </row>
    <row r="575" spans="3:5" ht="56.25">
      <c r="C575" s="701" t="s">
        <v>655</v>
      </c>
      <c r="D575" s="736">
        <f t="shared" si="42"/>
        <v>1900000</v>
      </c>
      <c r="E575" s="700" t="s">
        <v>648</v>
      </c>
    </row>
    <row r="576" spans="3:5" ht="56.25">
      <c r="C576" s="706" t="s">
        <v>656</v>
      </c>
      <c r="D576" s="736">
        <f t="shared" si="42"/>
        <v>1900000</v>
      </c>
      <c r="E576" s="700" t="s">
        <v>648</v>
      </c>
    </row>
    <row r="577" spans="3:5" ht="75">
      <c r="C577" s="712" t="s">
        <v>657</v>
      </c>
      <c r="D577" s="736">
        <f t="shared" si="42"/>
        <v>1900000</v>
      </c>
      <c r="E577" s="700" t="s">
        <v>648</v>
      </c>
    </row>
    <row r="578" spans="3:5" ht="56.25">
      <c r="C578" s="701" t="s">
        <v>658</v>
      </c>
      <c r="D578" s="736">
        <f t="shared" si="42"/>
        <v>1900000</v>
      </c>
      <c r="E578" s="700" t="s">
        <v>648</v>
      </c>
    </row>
    <row r="579" spans="3:5" ht="56.25">
      <c r="C579" s="701" t="s">
        <v>226</v>
      </c>
      <c r="D579" s="736">
        <f t="shared" si="42"/>
        <v>1900000</v>
      </c>
      <c r="E579" s="700" t="s">
        <v>648</v>
      </c>
    </row>
    <row r="580" spans="3:5" ht="37.5">
      <c r="C580" s="701" t="s">
        <v>642</v>
      </c>
      <c r="D580" s="736">
        <f t="shared" si="42"/>
        <v>1900000</v>
      </c>
      <c r="E580" s="700" t="s">
        <v>648</v>
      </c>
    </row>
    <row r="581" spans="3:5" ht="37.5">
      <c r="C581" s="701" t="s">
        <v>631</v>
      </c>
      <c r="D581" s="736">
        <f t="shared" si="42"/>
        <v>1900000</v>
      </c>
      <c r="E581" s="700" t="s">
        <v>648</v>
      </c>
    </row>
    <row r="582" spans="3:5">
      <c r="C582" s="701" t="s">
        <v>641</v>
      </c>
      <c r="D582" s="736">
        <f t="shared" si="42"/>
        <v>1900000</v>
      </c>
      <c r="E582" s="700" t="s">
        <v>648</v>
      </c>
    </row>
    <row r="583" spans="3:5" ht="37.5">
      <c r="C583" s="706" t="s">
        <v>659</v>
      </c>
      <c r="D583" s="736">
        <f t="shared" si="42"/>
        <v>1900000</v>
      </c>
      <c r="E583" s="700" t="s">
        <v>648</v>
      </c>
    </row>
    <row r="584" spans="3:5" ht="37.5">
      <c r="C584" s="701" t="s">
        <v>633</v>
      </c>
      <c r="D584" s="736">
        <f t="shared" si="42"/>
        <v>1900000</v>
      </c>
      <c r="E584" s="700" t="s">
        <v>648</v>
      </c>
    </row>
    <row r="585" spans="3:5" ht="37.5">
      <c r="C585" s="701" t="s">
        <v>660</v>
      </c>
      <c r="D585" s="736">
        <f t="shared" si="42"/>
        <v>1900000</v>
      </c>
      <c r="E585" s="700" t="s">
        <v>648</v>
      </c>
    </row>
    <row r="586" spans="3:5" ht="37.5">
      <c r="C586" s="706" t="s">
        <v>661</v>
      </c>
      <c r="D586" s="736">
        <f t="shared" si="42"/>
        <v>1900000</v>
      </c>
      <c r="E586" s="700" t="s">
        <v>648</v>
      </c>
    </row>
    <row r="587" spans="3:5" ht="56.25">
      <c r="C587" s="701" t="s">
        <v>662</v>
      </c>
      <c r="D587" s="736">
        <f t="shared" si="42"/>
        <v>1900000</v>
      </c>
      <c r="E587" s="700" t="s">
        <v>648</v>
      </c>
    </row>
    <row r="588" spans="3:5" ht="56.25">
      <c r="C588" s="701" t="s">
        <v>663</v>
      </c>
      <c r="D588" s="736">
        <f t="shared" si="42"/>
        <v>1900000</v>
      </c>
      <c r="E588" s="700" t="s">
        <v>648</v>
      </c>
    </row>
    <row r="589" spans="3:5" ht="56.25">
      <c r="C589" s="701" t="s">
        <v>664</v>
      </c>
      <c r="D589" s="736">
        <f t="shared" si="42"/>
        <v>1900000</v>
      </c>
      <c r="E589" s="700" t="s">
        <v>648</v>
      </c>
    </row>
    <row r="590" spans="3:5" ht="56.25">
      <c r="C590" s="701" t="s">
        <v>665</v>
      </c>
      <c r="D590" s="736">
        <f t="shared" si="42"/>
        <v>1900000</v>
      </c>
      <c r="E590" s="700" t="s">
        <v>648</v>
      </c>
    </row>
    <row r="591" spans="3:5" ht="56.25">
      <c r="C591" s="706" t="s">
        <v>666</v>
      </c>
      <c r="D591" s="736">
        <f t="shared" si="42"/>
        <v>1900000</v>
      </c>
      <c r="E591" s="700" t="s">
        <v>648</v>
      </c>
    </row>
    <row r="592" spans="3:5" ht="56.25">
      <c r="C592" s="701" t="s">
        <v>667</v>
      </c>
      <c r="D592" s="736">
        <f t="shared" si="42"/>
        <v>1900000</v>
      </c>
      <c r="E592" s="700" t="s">
        <v>648</v>
      </c>
    </row>
    <row r="593" spans="3:5" ht="56.25">
      <c r="C593" s="701" t="s">
        <v>668</v>
      </c>
      <c r="D593" s="736">
        <f t="shared" si="42"/>
        <v>1900000</v>
      </c>
      <c r="E593" s="700" t="s">
        <v>648</v>
      </c>
    </row>
    <row r="594" spans="3:5">
      <c r="C594" s="701" t="s">
        <v>669</v>
      </c>
      <c r="D594" s="736">
        <f t="shared" si="42"/>
        <v>1900000</v>
      </c>
      <c r="E594" s="700" t="s">
        <v>648</v>
      </c>
    </row>
    <row r="595" spans="3:5" ht="37.5">
      <c r="C595" s="663" t="s">
        <v>670</v>
      </c>
      <c r="D595" s="736">
        <f t="shared" si="42"/>
        <v>1900000</v>
      </c>
      <c r="E595" s="656" t="s">
        <v>671</v>
      </c>
    </row>
    <row r="596" spans="3:5">
      <c r="C596" s="663" t="s">
        <v>672</v>
      </c>
      <c r="D596" s="736">
        <f t="shared" si="42"/>
        <v>1900000</v>
      </c>
      <c r="E596" s="656" t="s">
        <v>671</v>
      </c>
    </row>
    <row r="597" spans="3:5" ht="37.5">
      <c r="C597" s="663" t="s">
        <v>673</v>
      </c>
      <c r="D597" s="736">
        <f t="shared" si="42"/>
        <v>1900000</v>
      </c>
      <c r="E597" s="656" t="s">
        <v>671</v>
      </c>
    </row>
    <row r="598" spans="3:5">
      <c r="C598" s="663" t="s">
        <v>674</v>
      </c>
      <c r="D598" s="736">
        <f t="shared" si="42"/>
        <v>1900000</v>
      </c>
      <c r="E598" s="656" t="s">
        <v>671</v>
      </c>
    </row>
    <row r="599" spans="3:5" ht="37.5">
      <c r="C599" s="663" t="s">
        <v>675</v>
      </c>
      <c r="D599" s="736">
        <f t="shared" si="42"/>
        <v>1900000</v>
      </c>
      <c r="E599" s="656" t="s">
        <v>671</v>
      </c>
    </row>
    <row r="600" spans="3:5" ht="37.5">
      <c r="C600" s="663" t="s">
        <v>676</v>
      </c>
      <c r="D600" s="736">
        <f t="shared" ref="D600:D630" si="43">1.9*1000000</f>
        <v>1900000</v>
      </c>
      <c r="E600" s="656" t="s">
        <v>671</v>
      </c>
    </row>
    <row r="601" spans="3:5" ht="37.5">
      <c r="C601" s="663" t="s">
        <v>677</v>
      </c>
      <c r="D601" s="736">
        <f t="shared" si="43"/>
        <v>1900000</v>
      </c>
      <c r="E601" s="656" t="s">
        <v>671</v>
      </c>
    </row>
    <row r="602" spans="3:5" ht="56.25">
      <c r="C602" s="663" t="s">
        <v>170</v>
      </c>
      <c r="D602" s="736">
        <f t="shared" si="43"/>
        <v>1900000</v>
      </c>
      <c r="E602" s="656" t="s">
        <v>671</v>
      </c>
    </row>
    <row r="603" spans="3:5" ht="37.5">
      <c r="C603" s="663" t="s">
        <v>678</v>
      </c>
      <c r="D603" s="736">
        <f t="shared" si="43"/>
        <v>1900000</v>
      </c>
      <c r="E603" s="656" t="s">
        <v>671</v>
      </c>
    </row>
    <row r="604" spans="3:5" ht="37.5">
      <c r="C604" s="663" t="s">
        <v>679</v>
      </c>
      <c r="D604" s="736">
        <f t="shared" si="43"/>
        <v>1900000</v>
      </c>
      <c r="E604" s="656" t="s">
        <v>671</v>
      </c>
    </row>
    <row r="605" spans="3:5" ht="56.25">
      <c r="C605" s="718" t="s">
        <v>680</v>
      </c>
      <c r="D605" s="736">
        <f t="shared" si="43"/>
        <v>1900000</v>
      </c>
      <c r="E605" s="656" t="s">
        <v>671</v>
      </c>
    </row>
    <row r="606" spans="3:5" ht="37.5">
      <c r="C606" s="663" t="s">
        <v>681</v>
      </c>
      <c r="D606" s="736">
        <f t="shared" si="43"/>
        <v>1900000</v>
      </c>
      <c r="E606" s="656" t="s">
        <v>671</v>
      </c>
    </row>
    <row r="607" spans="3:5">
      <c r="C607" s="663" t="s">
        <v>682</v>
      </c>
      <c r="D607" s="736">
        <f t="shared" si="43"/>
        <v>1900000</v>
      </c>
      <c r="E607" s="656" t="s">
        <v>671</v>
      </c>
    </row>
    <row r="608" spans="3:5" ht="75">
      <c r="C608" s="663" t="s">
        <v>683</v>
      </c>
      <c r="D608" s="736">
        <f t="shared" si="43"/>
        <v>1900000</v>
      </c>
      <c r="E608" s="656" t="s">
        <v>671</v>
      </c>
    </row>
    <row r="609" spans="3:5" ht="37.5">
      <c r="C609" s="663" t="s">
        <v>684</v>
      </c>
      <c r="D609" s="736">
        <f t="shared" si="43"/>
        <v>1900000</v>
      </c>
      <c r="E609" s="656" t="s">
        <v>671</v>
      </c>
    </row>
    <row r="610" spans="3:5">
      <c r="C610" s="719" t="s">
        <v>685</v>
      </c>
      <c r="D610" s="736">
        <f t="shared" si="43"/>
        <v>1900000</v>
      </c>
      <c r="E610" s="656" t="s">
        <v>686</v>
      </c>
    </row>
    <row r="611" spans="3:5" ht="37.5">
      <c r="C611" s="721" t="s">
        <v>687</v>
      </c>
      <c r="D611" s="736">
        <f t="shared" si="43"/>
        <v>1900000</v>
      </c>
      <c r="E611" s="656" t="s">
        <v>686</v>
      </c>
    </row>
    <row r="612" spans="3:5" ht="37.5">
      <c r="C612" s="721" t="s">
        <v>688</v>
      </c>
      <c r="D612" s="736">
        <f t="shared" si="43"/>
        <v>1900000</v>
      </c>
      <c r="E612" s="656" t="s">
        <v>686</v>
      </c>
    </row>
    <row r="613" spans="3:5">
      <c r="C613" s="721" t="s">
        <v>689</v>
      </c>
      <c r="D613" s="736">
        <f t="shared" si="43"/>
        <v>1900000</v>
      </c>
      <c r="E613" s="656" t="s">
        <v>686</v>
      </c>
    </row>
    <row r="614" spans="3:5" ht="56.25">
      <c r="C614" s="719" t="s">
        <v>690</v>
      </c>
      <c r="D614" s="736">
        <f t="shared" si="43"/>
        <v>1900000</v>
      </c>
      <c r="E614" s="656" t="s">
        <v>686</v>
      </c>
    </row>
    <row r="615" spans="3:5" ht="112.5">
      <c r="C615" s="723" t="s">
        <v>691</v>
      </c>
      <c r="D615" s="736">
        <f t="shared" si="43"/>
        <v>1900000</v>
      </c>
      <c r="E615" s="725" t="s">
        <v>692</v>
      </c>
    </row>
    <row r="616" spans="3:5" ht="112.5">
      <c r="C616" s="723" t="s">
        <v>691</v>
      </c>
      <c r="D616" s="736">
        <f t="shared" si="43"/>
        <v>1900000</v>
      </c>
      <c r="E616" s="726" t="s">
        <v>693</v>
      </c>
    </row>
    <row r="617" spans="3:5" ht="112.5">
      <c r="C617" s="723" t="s">
        <v>691</v>
      </c>
      <c r="D617" s="736">
        <f t="shared" si="43"/>
        <v>1900000</v>
      </c>
      <c r="E617" s="726" t="s">
        <v>694</v>
      </c>
    </row>
    <row r="618" spans="3:5" ht="150">
      <c r="C618" s="723" t="s">
        <v>691</v>
      </c>
      <c r="D618" s="736">
        <f t="shared" si="43"/>
        <v>1900000</v>
      </c>
      <c r="E618" s="726" t="s">
        <v>695</v>
      </c>
    </row>
    <row r="619" spans="3:5" ht="112.5">
      <c r="C619" s="723" t="s">
        <v>691</v>
      </c>
      <c r="D619" s="736">
        <f t="shared" si="43"/>
        <v>1900000</v>
      </c>
      <c r="E619" s="726" t="s">
        <v>696</v>
      </c>
    </row>
    <row r="620" spans="3:5" ht="112.5">
      <c r="C620" s="723" t="s">
        <v>691</v>
      </c>
      <c r="D620" s="736">
        <f t="shared" si="43"/>
        <v>1900000</v>
      </c>
      <c r="E620" s="726" t="s">
        <v>697</v>
      </c>
    </row>
    <row r="621" spans="3:5" ht="112.5">
      <c r="C621" s="723" t="s">
        <v>691</v>
      </c>
      <c r="D621" s="736">
        <f t="shared" si="43"/>
        <v>1900000</v>
      </c>
      <c r="E621" s="726" t="s">
        <v>698</v>
      </c>
    </row>
    <row r="622" spans="3:5" ht="112.5">
      <c r="C622" s="723" t="s">
        <v>691</v>
      </c>
      <c r="D622" s="736">
        <f t="shared" si="43"/>
        <v>1900000</v>
      </c>
      <c r="E622" s="726" t="s">
        <v>699</v>
      </c>
    </row>
    <row r="623" spans="3:5" ht="112.5">
      <c r="C623" s="723" t="s">
        <v>691</v>
      </c>
      <c r="D623" s="736">
        <f t="shared" si="43"/>
        <v>1900000</v>
      </c>
      <c r="E623" s="726" t="s">
        <v>700</v>
      </c>
    </row>
    <row r="624" spans="3:5" ht="112.5">
      <c r="C624" s="723" t="s">
        <v>691</v>
      </c>
      <c r="D624" s="736">
        <f t="shared" si="43"/>
        <v>1900000</v>
      </c>
      <c r="E624" s="726" t="s">
        <v>701</v>
      </c>
    </row>
    <row r="625" spans="3:11" ht="112.5">
      <c r="C625" s="723" t="s">
        <v>691</v>
      </c>
      <c r="D625" s="736">
        <f t="shared" si="43"/>
        <v>1900000</v>
      </c>
      <c r="E625" s="726" t="s">
        <v>702</v>
      </c>
    </row>
    <row r="626" spans="3:11" ht="112.5">
      <c r="C626" s="723" t="s">
        <v>691</v>
      </c>
      <c r="D626" s="736">
        <f t="shared" si="43"/>
        <v>1900000</v>
      </c>
      <c r="E626" s="726" t="s">
        <v>703</v>
      </c>
    </row>
    <row r="627" spans="3:11" ht="112.5">
      <c r="C627" s="723" t="s">
        <v>691</v>
      </c>
      <c r="D627" s="736">
        <f t="shared" si="43"/>
        <v>1900000</v>
      </c>
      <c r="E627" s="726" t="s">
        <v>704</v>
      </c>
    </row>
    <row r="628" spans="3:11" ht="112.5">
      <c r="C628" s="723" t="s">
        <v>691</v>
      </c>
      <c r="D628" s="736">
        <f t="shared" si="43"/>
        <v>1900000</v>
      </c>
      <c r="E628" s="726" t="s">
        <v>705</v>
      </c>
    </row>
    <row r="629" spans="3:11" ht="112.5">
      <c r="C629" s="723" t="s">
        <v>691</v>
      </c>
      <c r="D629" s="736">
        <f t="shared" si="43"/>
        <v>1900000</v>
      </c>
      <c r="E629" s="723" t="s">
        <v>706</v>
      </c>
    </row>
    <row r="630" spans="3:11" ht="56.25">
      <c r="C630" s="719" t="s">
        <v>707</v>
      </c>
      <c r="D630" s="736">
        <f t="shared" si="43"/>
        <v>1900000</v>
      </c>
      <c r="E630" s="152" t="s">
        <v>618</v>
      </c>
    </row>
    <row r="631" spans="3:11">
      <c r="D631" s="211">
        <f>SUM(D471:D630)</f>
        <v>304000000</v>
      </c>
      <c r="F631" s="183">
        <v>157284000</v>
      </c>
      <c r="G631" s="183">
        <v>90693000</v>
      </c>
      <c r="H631" s="183">
        <v>92534000</v>
      </c>
      <c r="I631" s="183">
        <v>71100000</v>
      </c>
      <c r="J631" s="183">
        <v>72706999.999999985</v>
      </c>
      <c r="K631" s="212">
        <f>SUM(F631:J631)</f>
        <v>484318000</v>
      </c>
    </row>
  </sheetData>
  <mergeCells count="22">
    <mergeCell ref="A51:E51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U5"/>
    <mergeCell ref="M5:M6"/>
    <mergeCell ref="H5:H6"/>
    <mergeCell ref="I5:I6"/>
    <mergeCell ref="J5:J6"/>
    <mergeCell ref="K5:K6"/>
    <mergeCell ref="L5:L6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C7" sqref="C7"/>
    </sheetView>
  </sheetViews>
  <sheetFormatPr defaultColWidth="8.375" defaultRowHeight="21"/>
  <cols>
    <col min="1" max="1" width="11.375" style="596" customWidth="1"/>
    <col min="2" max="2" width="15.5" style="596" customWidth="1"/>
    <col min="3" max="3" width="16.25" style="596" customWidth="1"/>
    <col min="4" max="4" width="14.25" style="596" customWidth="1"/>
    <col min="5" max="5" width="15.5" style="596" customWidth="1"/>
    <col min="6" max="6" width="16" style="596" customWidth="1"/>
    <col min="7" max="7" width="15.5" style="596" customWidth="1"/>
    <col min="8" max="8" width="16.5" style="596" customWidth="1"/>
    <col min="9" max="9" width="14.75" style="598" customWidth="1"/>
    <col min="10" max="10" width="14.75" style="596" customWidth="1"/>
    <col min="11" max="11" width="14.75" style="598" customWidth="1"/>
    <col min="12" max="12" width="14.75" style="596" customWidth="1"/>
    <col min="13" max="15" width="15.5" style="596" customWidth="1"/>
    <col min="16" max="256" width="8.375" style="596"/>
    <col min="257" max="259" width="15.5" style="596" customWidth="1"/>
    <col min="260" max="260" width="19.125" style="596" customWidth="1"/>
    <col min="261" max="261" width="15.5" style="596" customWidth="1"/>
    <col min="262" max="262" width="16.5" style="596" customWidth="1"/>
    <col min="263" max="263" width="16.875" style="596" customWidth="1"/>
    <col min="264" max="264" width="15.5" style="596" customWidth="1"/>
    <col min="265" max="268" width="14.75" style="596" customWidth="1"/>
    <col min="269" max="271" width="15.5" style="596" customWidth="1"/>
    <col min="272" max="512" width="8.375" style="596"/>
    <col min="513" max="515" width="15.5" style="596" customWidth="1"/>
    <col min="516" max="516" width="19.125" style="596" customWidth="1"/>
    <col min="517" max="517" width="15.5" style="596" customWidth="1"/>
    <col min="518" max="518" width="16.5" style="596" customWidth="1"/>
    <col min="519" max="519" width="16.875" style="596" customWidth="1"/>
    <col min="520" max="520" width="15.5" style="596" customWidth="1"/>
    <col min="521" max="524" width="14.75" style="596" customWidth="1"/>
    <col min="525" max="527" width="15.5" style="596" customWidth="1"/>
    <col min="528" max="768" width="8.375" style="596"/>
    <col min="769" max="771" width="15.5" style="596" customWidth="1"/>
    <col min="772" max="772" width="19.125" style="596" customWidth="1"/>
    <col min="773" max="773" width="15.5" style="596" customWidth="1"/>
    <col min="774" max="774" width="16.5" style="596" customWidth="1"/>
    <col min="775" max="775" width="16.875" style="596" customWidth="1"/>
    <col min="776" max="776" width="15.5" style="596" customWidth="1"/>
    <col min="777" max="780" width="14.75" style="596" customWidth="1"/>
    <col min="781" max="783" width="15.5" style="596" customWidth="1"/>
    <col min="784" max="1024" width="8.375" style="596"/>
    <col min="1025" max="1027" width="15.5" style="596" customWidth="1"/>
    <col min="1028" max="1028" width="19.125" style="596" customWidth="1"/>
    <col min="1029" max="1029" width="15.5" style="596" customWidth="1"/>
    <col min="1030" max="1030" width="16.5" style="596" customWidth="1"/>
    <col min="1031" max="1031" width="16.875" style="596" customWidth="1"/>
    <col min="1032" max="1032" width="15.5" style="596" customWidth="1"/>
    <col min="1033" max="1036" width="14.75" style="596" customWidth="1"/>
    <col min="1037" max="1039" width="15.5" style="596" customWidth="1"/>
    <col min="1040" max="1280" width="8.375" style="596"/>
    <col min="1281" max="1283" width="15.5" style="596" customWidth="1"/>
    <col min="1284" max="1284" width="19.125" style="596" customWidth="1"/>
    <col min="1285" max="1285" width="15.5" style="596" customWidth="1"/>
    <col min="1286" max="1286" width="16.5" style="596" customWidth="1"/>
    <col min="1287" max="1287" width="16.875" style="596" customWidth="1"/>
    <col min="1288" max="1288" width="15.5" style="596" customWidth="1"/>
    <col min="1289" max="1292" width="14.75" style="596" customWidth="1"/>
    <col min="1293" max="1295" width="15.5" style="596" customWidth="1"/>
    <col min="1296" max="1536" width="8.375" style="596"/>
    <col min="1537" max="1539" width="15.5" style="596" customWidth="1"/>
    <col min="1540" max="1540" width="19.125" style="596" customWidth="1"/>
    <col min="1541" max="1541" width="15.5" style="596" customWidth="1"/>
    <col min="1542" max="1542" width="16.5" style="596" customWidth="1"/>
    <col min="1543" max="1543" width="16.875" style="596" customWidth="1"/>
    <col min="1544" max="1544" width="15.5" style="596" customWidth="1"/>
    <col min="1545" max="1548" width="14.75" style="596" customWidth="1"/>
    <col min="1549" max="1551" width="15.5" style="596" customWidth="1"/>
    <col min="1552" max="1792" width="8.375" style="596"/>
    <col min="1793" max="1795" width="15.5" style="596" customWidth="1"/>
    <col min="1796" max="1796" width="19.125" style="596" customWidth="1"/>
    <col min="1797" max="1797" width="15.5" style="596" customWidth="1"/>
    <col min="1798" max="1798" width="16.5" style="596" customWidth="1"/>
    <col min="1799" max="1799" width="16.875" style="596" customWidth="1"/>
    <col min="1800" max="1800" width="15.5" style="596" customWidth="1"/>
    <col min="1801" max="1804" width="14.75" style="596" customWidth="1"/>
    <col min="1805" max="1807" width="15.5" style="596" customWidth="1"/>
    <col min="1808" max="2048" width="8.375" style="596"/>
    <col min="2049" max="2051" width="15.5" style="596" customWidth="1"/>
    <col min="2052" max="2052" width="19.125" style="596" customWidth="1"/>
    <col min="2053" max="2053" width="15.5" style="596" customWidth="1"/>
    <col min="2054" max="2054" width="16.5" style="596" customWidth="1"/>
    <col min="2055" max="2055" width="16.875" style="596" customWidth="1"/>
    <col min="2056" max="2056" width="15.5" style="596" customWidth="1"/>
    <col min="2057" max="2060" width="14.75" style="596" customWidth="1"/>
    <col min="2061" max="2063" width="15.5" style="596" customWidth="1"/>
    <col min="2064" max="2304" width="8.375" style="596"/>
    <col min="2305" max="2307" width="15.5" style="596" customWidth="1"/>
    <col min="2308" max="2308" width="19.125" style="596" customWidth="1"/>
    <col min="2309" max="2309" width="15.5" style="596" customWidth="1"/>
    <col min="2310" max="2310" width="16.5" style="596" customWidth="1"/>
    <col min="2311" max="2311" width="16.875" style="596" customWidth="1"/>
    <col min="2312" max="2312" width="15.5" style="596" customWidth="1"/>
    <col min="2313" max="2316" width="14.75" style="596" customWidth="1"/>
    <col min="2317" max="2319" width="15.5" style="596" customWidth="1"/>
    <col min="2320" max="2560" width="8.375" style="596"/>
    <col min="2561" max="2563" width="15.5" style="596" customWidth="1"/>
    <col min="2564" max="2564" width="19.125" style="596" customWidth="1"/>
    <col min="2565" max="2565" width="15.5" style="596" customWidth="1"/>
    <col min="2566" max="2566" width="16.5" style="596" customWidth="1"/>
    <col min="2567" max="2567" width="16.875" style="596" customWidth="1"/>
    <col min="2568" max="2568" width="15.5" style="596" customWidth="1"/>
    <col min="2569" max="2572" width="14.75" style="596" customWidth="1"/>
    <col min="2573" max="2575" width="15.5" style="596" customWidth="1"/>
    <col min="2576" max="2816" width="8.375" style="596"/>
    <col min="2817" max="2819" width="15.5" style="596" customWidth="1"/>
    <col min="2820" max="2820" width="19.125" style="596" customWidth="1"/>
    <col min="2821" max="2821" width="15.5" style="596" customWidth="1"/>
    <col min="2822" max="2822" width="16.5" style="596" customWidth="1"/>
    <col min="2823" max="2823" width="16.875" style="596" customWidth="1"/>
    <col min="2824" max="2824" width="15.5" style="596" customWidth="1"/>
    <col min="2825" max="2828" width="14.75" style="596" customWidth="1"/>
    <col min="2829" max="2831" width="15.5" style="596" customWidth="1"/>
    <col min="2832" max="3072" width="8.375" style="596"/>
    <col min="3073" max="3075" width="15.5" style="596" customWidth="1"/>
    <col min="3076" max="3076" width="19.125" style="596" customWidth="1"/>
    <col min="3077" max="3077" width="15.5" style="596" customWidth="1"/>
    <col min="3078" max="3078" width="16.5" style="596" customWidth="1"/>
    <col min="3079" max="3079" width="16.875" style="596" customWidth="1"/>
    <col min="3080" max="3080" width="15.5" style="596" customWidth="1"/>
    <col min="3081" max="3084" width="14.75" style="596" customWidth="1"/>
    <col min="3085" max="3087" width="15.5" style="596" customWidth="1"/>
    <col min="3088" max="3328" width="8.375" style="596"/>
    <col min="3329" max="3331" width="15.5" style="596" customWidth="1"/>
    <col min="3332" max="3332" width="19.125" style="596" customWidth="1"/>
    <col min="3333" max="3333" width="15.5" style="596" customWidth="1"/>
    <col min="3334" max="3334" width="16.5" style="596" customWidth="1"/>
    <col min="3335" max="3335" width="16.875" style="596" customWidth="1"/>
    <col min="3336" max="3336" width="15.5" style="596" customWidth="1"/>
    <col min="3337" max="3340" width="14.75" style="596" customWidth="1"/>
    <col min="3341" max="3343" width="15.5" style="596" customWidth="1"/>
    <col min="3344" max="3584" width="8.375" style="596"/>
    <col min="3585" max="3587" width="15.5" style="596" customWidth="1"/>
    <col min="3588" max="3588" width="19.125" style="596" customWidth="1"/>
    <col min="3589" max="3589" width="15.5" style="596" customWidth="1"/>
    <col min="3590" max="3590" width="16.5" style="596" customWidth="1"/>
    <col min="3591" max="3591" width="16.875" style="596" customWidth="1"/>
    <col min="3592" max="3592" width="15.5" style="596" customWidth="1"/>
    <col min="3593" max="3596" width="14.75" style="596" customWidth="1"/>
    <col min="3597" max="3599" width="15.5" style="596" customWidth="1"/>
    <col min="3600" max="3840" width="8.375" style="596"/>
    <col min="3841" max="3843" width="15.5" style="596" customWidth="1"/>
    <col min="3844" max="3844" width="19.125" style="596" customWidth="1"/>
    <col min="3845" max="3845" width="15.5" style="596" customWidth="1"/>
    <col min="3846" max="3846" width="16.5" style="596" customWidth="1"/>
    <col min="3847" max="3847" width="16.875" style="596" customWidth="1"/>
    <col min="3848" max="3848" width="15.5" style="596" customWidth="1"/>
    <col min="3849" max="3852" width="14.75" style="596" customWidth="1"/>
    <col min="3853" max="3855" width="15.5" style="596" customWidth="1"/>
    <col min="3856" max="4096" width="8.375" style="596"/>
    <col min="4097" max="4099" width="15.5" style="596" customWidth="1"/>
    <col min="4100" max="4100" width="19.125" style="596" customWidth="1"/>
    <col min="4101" max="4101" width="15.5" style="596" customWidth="1"/>
    <col min="4102" max="4102" width="16.5" style="596" customWidth="1"/>
    <col min="4103" max="4103" width="16.875" style="596" customWidth="1"/>
    <col min="4104" max="4104" width="15.5" style="596" customWidth="1"/>
    <col min="4105" max="4108" width="14.75" style="596" customWidth="1"/>
    <col min="4109" max="4111" width="15.5" style="596" customWidth="1"/>
    <col min="4112" max="4352" width="8.375" style="596"/>
    <col min="4353" max="4355" width="15.5" style="596" customWidth="1"/>
    <col min="4356" max="4356" width="19.125" style="596" customWidth="1"/>
    <col min="4357" max="4357" width="15.5" style="596" customWidth="1"/>
    <col min="4358" max="4358" width="16.5" style="596" customWidth="1"/>
    <col min="4359" max="4359" width="16.875" style="596" customWidth="1"/>
    <col min="4360" max="4360" width="15.5" style="596" customWidth="1"/>
    <col min="4361" max="4364" width="14.75" style="596" customWidth="1"/>
    <col min="4365" max="4367" width="15.5" style="596" customWidth="1"/>
    <col min="4368" max="4608" width="8.375" style="596"/>
    <col min="4609" max="4611" width="15.5" style="596" customWidth="1"/>
    <col min="4612" max="4612" width="19.125" style="596" customWidth="1"/>
    <col min="4613" max="4613" width="15.5" style="596" customWidth="1"/>
    <col min="4614" max="4614" width="16.5" style="596" customWidth="1"/>
    <col min="4615" max="4615" width="16.875" style="596" customWidth="1"/>
    <col min="4616" max="4616" width="15.5" style="596" customWidth="1"/>
    <col min="4617" max="4620" width="14.75" style="596" customWidth="1"/>
    <col min="4621" max="4623" width="15.5" style="596" customWidth="1"/>
    <col min="4624" max="4864" width="8.375" style="596"/>
    <col min="4865" max="4867" width="15.5" style="596" customWidth="1"/>
    <col min="4868" max="4868" width="19.125" style="596" customWidth="1"/>
    <col min="4869" max="4869" width="15.5" style="596" customWidth="1"/>
    <col min="4870" max="4870" width="16.5" style="596" customWidth="1"/>
    <col min="4871" max="4871" width="16.875" style="596" customWidth="1"/>
    <col min="4872" max="4872" width="15.5" style="596" customWidth="1"/>
    <col min="4873" max="4876" width="14.75" style="596" customWidth="1"/>
    <col min="4877" max="4879" width="15.5" style="596" customWidth="1"/>
    <col min="4880" max="5120" width="8.375" style="596"/>
    <col min="5121" max="5123" width="15.5" style="596" customWidth="1"/>
    <col min="5124" max="5124" width="19.125" style="596" customWidth="1"/>
    <col min="5125" max="5125" width="15.5" style="596" customWidth="1"/>
    <col min="5126" max="5126" width="16.5" style="596" customWidth="1"/>
    <col min="5127" max="5127" width="16.875" style="596" customWidth="1"/>
    <col min="5128" max="5128" width="15.5" style="596" customWidth="1"/>
    <col min="5129" max="5132" width="14.75" style="596" customWidth="1"/>
    <col min="5133" max="5135" width="15.5" style="596" customWidth="1"/>
    <col min="5136" max="5376" width="8.375" style="596"/>
    <col min="5377" max="5379" width="15.5" style="596" customWidth="1"/>
    <col min="5380" max="5380" width="19.125" style="596" customWidth="1"/>
    <col min="5381" max="5381" width="15.5" style="596" customWidth="1"/>
    <col min="5382" max="5382" width="16.5" style="596" customWidth="1"/>
    <col min="5383" max="5383" width="16.875" style="596" customWidth="1"/>
    <col min="5384" max="5384" width="15.5" style="596" customWidth="1"/>
    <col min="5385" max="5388" width="14.75" style="596" customWidth="1"/>
    <col min="5389" max="5391" width="15.5" style="596" customWidth="1"/>
    <col min="5392" max="5632" width="8.375" style="596"/>
    <col min="5633" max="5635" width="15.5" style="596" customWidth="1"/>
    <col min="5636" max="5636" width="19.125" style="596" customWidth="1"/>
    <col min="5637" max="5637" width="15.5" style="596" customWidth="1"/>
    <col min="5638" max="5638" width="16.5" style="596" customWidth="1"/>
    <col min="5639" max="5639" width="16.875" style="596" customWidth="1"/>
    <col min="5640" max="5640" width="15.5" style="596" customWidth="1"/>
    <col min="5641" max="5644" width="14.75" style="596" customWidth="1"/>
    <col min="5645" max="5647" width="15.5" style="596" customWidth="1"/>
    <col min="5648" max="5888" width="8.375" style="596"/>
    <col min="5889" max="5891" width="15.5" style="596" customWidth="1"/>
    <col min="5892" max="5892" width="19.125" style="596" customWidth="1"/>
    <col min="5893" max="5893" width="15.5" style="596" customWidth="1"/>
    <col min="5894" max="5894" width="16.5" style="596" customWidth="1"/>
    <col min="5895" max="5895" width="16.875" style="596" customWidth="1"/>
    <col min="5896" max="5896" width="15.5" style="596" customWidth="1"/>
    <col min="5897" max="5900" width="14.75" style="596" customWidth="1"/>
    <col min="5901" max="5903" width="15.5" style="596" customWidth="1"/>
    <col min="5904" max="6144" width="8.375" style="596"/>
    <col min="6145" max="6147" width="15.5" style="596" customWidth="1"/>
    <col min="6148" max="6148" width="19.125" style="596" customWidth="1"/>
    <col min="6149" max="6149" width="15.5" style="596" customWidth="1"/>
    <col min="6150" max="6150" width="16.5" style="596" customWidth="1"/>
    <col min="6151" max="6151" width="16.875" style="596" customWidth="1"/>
    <col min="6152" max="6152" width="15.5" style="596" customWidth="1"/>
    <col min="6153" max="6156" width="14.75" style="596" customWidth="1"/>
    <col min="6157" max="6159" width="15.5" style="596" customWidth="1"/>
    <col min="6160" max="6400" width="8.375" style="596"/>
    <col min="6401" max="6403" width="15.5" style="596" customWidth="1"/>
    <col min="6404" max="6404" width="19.125" style="596" customWidth="1"/>
    <col min="6405" max="6405" width="15.5" style="596" customWidth="1"/>
    <col min="6406" max="6406" width="16.5" style="596" customWidth="1"/>
    <col min="6407" max="6407" width="16.875" style="596" customWidth="1"/>
    <col min="6408" max="6408" width="15.5" style="596" customWidth="1"/>
    <col min="6409" max="6412" width="14.75" style="596" customWidth="1"/>
    <col min="6413" max="6415" width="15.5" style="596" customWidth="1"/>
    <col min="6416" max="6656" width="8.375" style="596"/>
    <col min="6657" max="6659" width="15.5" style="596" customWidth="1"/>
    <col min="6660" max="6660" width="19.125" style="596" customWidth="1"/>
    <col min="6661" max="6661" width="15.5" style="596" customWidth="1"/>
    <col min="6662" max="6662" width="16.5" style="596" customWidth="1"/>
    <col min="6663" max="6663" width="16.875" style="596" customWidth="1"/>
    <col min="6664" max="6664" width="15.5" style="596" customWidth="1"/>
    <col min="6665" max="6668" width="14.75" style="596" customWidth="1"/>
    <col min="6669" max="6671" width="15.5" style="596" customWidth="1"/>
    <col min="6672" max="6912" width="8.375" style="596"/>
    <col min="6913" max="6915" width="15.5" style="596" customWidth="1"/>
    <col min="6916" max="6916" width="19.125" style="596" customWidth="1"/>
    <col min="6917" max="6917" width="15.5" style="596" customWidth="1"/>
    <col min="6918" max="6918" width="16.5" style="596" customWidth="1"/>
    <col min="6919" max="6919" width="16.875" style="596" customWidth="1"/>
    <col min="6920" max="6920" width="15.5" style="596" customWidth="1"/>
    <col min="6921" max="6924" width="14.75" style="596" customWidth="1"/>
    <col min="6925" max="6927" width="15.5" style="596" customWidth="1"/>
    <col min="6928" max="7168" width="8.375" style="596"/>
    <col min="7169" max="7171" width="15.5" style="596" customWidth="1"/>
    <col min="7172" max="7172" width="19.125" style="596" customWidth="1"/>
    <col min="7173" max="7173" width="15.5" style="596" customWidth="1"/>
    <col min="7174" max="7174" width="16.5" style="596" customWidth="1"/>
    <col min="7175" max="7175" width="16.875" style="596" customWidth="1"/>
    <col min="7176" max="7176" width="15.5" style="596" customWidth="1"/>
    <col min="7177" max="7180" width="14.75" style="596" customWidth="1"/>
    <col min="7181" max="7183" width="15.5" style="596" customWidth="1"/>
    <col min="7184" max="7424" width="8.375" style="596"/>
    <col min="7425" max="7427" width="15.5" style="596" customWidth="1"/>
    <col min="7428" max="7428" width="19.125" style="596" customWidth="1"/>
    <col min="7429" max="7429" width="15.5" style="596" customWidth="1"/>
    <col min="7430" max="7430" width="16.5" style="596" customWidth="1"/>
    <col min="7431" max="7431" width="16.875" style="596" customWidth="1"/>
    <col min="7432" max="7432" width="15.5" style="596" customWidth="1"/>
    <col min="7433" max="7436" width="14.75" style="596" customWidth="1"/>
    <col min="7437" max="7439" width="15.5" style="596" customWidth="1"/>
    <col min="7440" max="7680" width="8.375" style="596"/>
    <col min="7681" max="7683" width="15.5" style="596" customWidth="1"/>
    <col min="7684" max="7684" width="19.125" style="596" customWidth="1"/>
    <col min="7685" max="7685" width="15.5" style="596" customWidth="1"/>
    <col min="7686" max="7686" width="16.5" style="596" customWidth="1"/>
    <col min="7687" max="7687" width="16.875" style="596" customWidth="1"/>
    <col min="7688" max="7688" width="15.5" style="596" customWidth="1"/>
    <col min="7689" max="7692" width="14.75" style="596" customWidth="1"/>
    <col min="7693" max="7695" width="15.5" style="596" customWidth="1"/>
    <col min="7696" max="7936" width="8.375" style="596"/>
    <col min="7937" max="7939" width="15.5" style="596" customWidth="1"/>
    <col min="7940" max="7940" width="19.125" style="596" customWidth="1"/>
    <col min="7941" max="7941" width="15.5" style="596" customWidth="1"/>
    <col min="7942" max="7942" width="16.5" style="596" customWidth="1"/>
    <col min="7943" max="7943" width="16.875" style="596" customWidth="1"/>
    <col min="7944" max="7944" width="15.5" style="596" customWidth="1"/>
    <col min="7945" max="7948" width="14.75" style="596" customWidth="1"/>
    <col min="7949" max="7951" width="15.5" style="596" customWidth="1"/>
    <col min="7952" max="8192" width="8.375" style="596"/>
    <col min="8193" max="8195" width="15.5" style="596" customWidth="1"/>
    <col min="8196" max="8196" width="19.125" style="596" customWidth="1"/>
    <col min="8197" max="8197" width="15.5" style="596" customWidth="1"/>
    <col min="8198" max="8198" width="16.5" style="596" customWidth="1"/>
    <col min="8199" max="8199" width="16.875" style="596" customWidth="1"/>
    <col min="8200" max="8200" width="15.5" style="596" customWidth="1"/>
    <col min="8201" max="8204" width="14.75" style="596" customWidth="1"/>
    <col min="8205" max="8207" width="15.5" style="596" customWidth="1"/>
    <col min="8208" max="8448" width="8.375" style="596"/>
    <col min="8449" max="8451" width="15.5" style="596" customWidth="1"/>
    <col min="8452" max="8452" width="19.125" style="596" customWidth="1"/>
    <col min="8453" max="8453" width="15.5" style="596" customWidth="1"/>
    <col min="8454" max="8454" width="16.5" style="596" customWidth="1"/>
    <col min="8455" max="8455" width="16.875" style="596" customWidth="1"/>
    <col min="8456" max="8456" width="15.5" style="596" customWidth="1"/>
    <col min="8457" max="8460" width="14.75" style="596" customWidth="1"/>
    <col min="8461" max="8463" width="15.5" style="596" customWidth="1"/>
    <col min="8464" max="8704" width="8.375" style="596"/>
    <col min="8705" max="8707" width="15.5" style="596" customWidth="1"/>
    <col min="8708" max="8708" width="19.125" style="596" customWidth="1"/>
    <col min="8709" max="8709" width="15.5" style="596" customWidth="1"/>
    <col min="8710" max="8710" width="16.5" style="596" customWidth="1"/>
    <col min="8711" max="8711" width="16.875" style="596" customWidth="1"/>
    <col min="8712" max="8712" width="15.5" style="596" customWidth="1"/>
    <col min="8713" max="8716" width="14.75" style="596" customWidth="1"/>
    <col min="8717" max="8719" width="15.5" style="596" customWidth="1"/>
    <col min="8720" max="8960" width="8.375" style="596"/>
    <col min="8961" max="8963" width="15.5" style="596" customWidth="1"/>
    <col min="8964" max="8964" width="19.125" style="596" customWidth="1"/>
    <col min="8965" max="8965" width="15.5" style="596" customWidth="1"/>
    <col min="8966" max="8966" width="16.5" style="596" customWidth="1"/>
    <col min="8967" max="8967" width="16.875" style="596" customWidth="1"/>
    <col min="8968" max="8968" width="15.5" style="596" customWidth="1"/>
    <col min="8969" max="8972" width="14.75" style="596" customWidth="1"/>
    <col min="8973" max="8975" width="15.5" style="596" customWidth="1"/>
    <col min="8976" max="9216" width="8.375" style="596"/>
    <col min="9217" max="9219" width="15.5" style="596" customWidth="1"/>
    <col min="9220" max="9220" width="19.125" style="596" customWidth="1"/>
    <col min="9221" max="9221" width="15.5" style="596" customWidth="1"/>
    <col min="9222" max="9222" width="16.5" style="596" customWidth="1"/>
    <col min="9223" max="9223" width="16.875" style="596" customWidth="1"/>
    <col min="9224" max="9224" width="15.5" style="596" customWidth="1"/>
    <col min="9225" max="9228" width="14.75" style="596" customWidth="1"/>
    <col min="9229" max="9231" width="15.5" style="596" customWidth="1"/>
    <col min="9232" max="9472" width="8.375" style="596"/>
    <col min="9473" max="9475" width="15.5" style="596" customWidth="1"/>
    <col min="9476" max="9476" width="19.125" style="596" customWidth="1"/>
    <col min="9477" max="9477" width="15.5" style="596" customWidth="1"/>
    <col min="9478" max="9478" width="16.5" style="596" customWidth="1"/>
    <col min="9479" max="9479" width="16.875" style="596" customWidth="1"/>
    <col min="9480" max="9480" width="15.5" style="596" customWidth="1"/>
    <col min="9481" max="9484" width="14.75" style="596" customWidth="1"/>
    <col min="9485" max="9487" width="15.5" style="596" customWidth="1"/>
    <col min="9488" max="9728" width="8.375" style="596"/>
    <col min="9729" max="9731" width="15.5" style="596" customWidth="1"/>
    <col min="9732" max="9732" width="19.125" style="596" customWidth="1"/>
    <col min="9733" max="9733" width="15.5" style="596" customWidth="1"/>
    <col min="9734" max="9734" width="16.5" style="596" customWidth="1"/>
    <col min="9735" max="9735" width="16.875" style="596" customWidth="1"/>
    <col min="9736" max="9736" width="15.5" style="596" customWidth="1"/>
    <col min="9737" max="9740" width="14.75" style="596" customWidth="1"/>
    <col min="9741" max="9743" width="15.5" style="596" customWidth="1"/>
    <col min="9744" max="9984" width="8.375" style="596"/>
    <col min="9985" max="9987" width="15.5" style="596" customWidth="1"/>
    <col min="9988" max="9988" width="19.125" style="596" customWidth="1"/>
    <col min="9989" max="9989" width="15.5" style="596" customWidth="1"/>
    <col min="9990" max="9990" width="16.5" style="596" customWidth="1"/>
    <col min="9991" max="9991" width="16.875" style="596" customWidth="1"/>
    <col min="9992" max="9992" width="15.5" style="596" customWidth="1"/>
    <col min="9993" max="9996" width="14.75" style="596" customWidth="1"/>
    <col min="9997" max="9999" width="15.5" style="596" customWidth="1"/>
    <col min="10000" max="10240" width="8.375" style="596"/>
    <col min="10241" max="10243" width="15.5" style="596" customWidth="1"/>
    <col min="10244" max="10244" width="19.125" style="596" customWidth="1"/>
    <col min="10245" max="10245" width="15.5" style="596" customWidth="1"/>
    <col min="10246" max="10246" width="16.5" style="596" customWidth="1"/>
    <col min="10247" max="10247" width="16.875" style="596" customWidth="1"/>
    <col min="10248" max="10248" width="15.5" style="596" customWidth="1"/>
    <col min="10249" max="10252" width="14.75" style="596" customWidth="1"/>
    <col min="10253" max="10255" width="15.5" style="596" customWidth="1"/>
    <col min="10256" max="10496" width="8.375" style="596"/>
    <col min="10497" max="10499" width="15.5" style="596" customWidth="1"/>
    <col min="10500" max="10500" width="19.125" style="596" customWidth="1"/>
    <col min="10501" max="10501" width="15.5" style="596" customWidth="1"/>
    <col min="10502" max="10502" width="16.5" style="596" customWidth="1"/>
    <col min="10503" max="10503" width="16.875" style="596" customWidth="1"/>
    <col min="10504" max="10504" width="15.5" style="596" customWidth="1"/>
    <col min="10505" max="10508" width="14.75" style="596" customWidth="1"/>
    <col min="10509" max="10511" width="15.5" style="596" customWidth="1"/>
    <col min="10512" max="10752" width="8.375" style="596"/>
    <col min="10753" max="10755" width="15.5" style="596" customWidth="1"/>
    <col min="10756" max="10756" width="19.125" style="596" customWidth="1"/>
    <col min="10757" max="10757" width="15.5" style="596" customWidth="1"/>
    <col min="10758" max="10758" width="16.5" style="596" customWidth="1"/>
    <col min="10759" max="10759" width="16.875" style="596" customWidth="1"/>
    <col min="10760" max="10760" width="15.5" style="596" customWidth="1"/>
    <col min="10761" max="10764" width="14.75" style="596" customWidth="1"/>
    <col min="10765" max="10767" width="15.5" style="596" customWidth="1"/>
    <col min="10768" max="11008" width="8.375" style="596"/>
    <col min="11009" max="11011" width="15.5" style="596" customWidth="1"/>
    <col min="11012" max="11012" width="19.125" style="596" customWidth="1"/>
    <col min="11013" max="11013" width="15.5" style="596" customWidth="1"/>
    <col min="11014" max="11014" width="16.5" style="596" customWidth="1"/>
    <col min="11015" max="11015" width="16.875" style="596" customWidth="1"/>
    <col min="11016" max="11016" width="15.5" style="596" customWidth="1"/>
    <col min="11017" max="11020" width="14.75" style="596" customWidth="1"/>
    <col min="11021" max="11023" width="15.5" style="596" customWidth="1"/>
    <col min="11024" max="11264" width="8.375" style="596"/>
    <col min="11265" max="11267" width="15.5" style="596" customWidth="1"/>
    <col min="11268" max="11268" width="19.125" style="596" customWidth="1"/>
    <col min="11269" max="11269" width="15.5" style="596" customWidth="1"/>
    <col min="11270" max="11270" width="16.5" style="596" customWidth="1"/>
    <col min="11271" max="11271" width="16.875" style="596" customWidth="1"/>
    <col min="11272" max="11272" width="15.5" style="596" customWidth="1"/>
    <col min="11273" max="11276" width="14.75" style="596" customWidth="1"/>
    <col min="11277" max="11279" width="15.5" style="596" customWidth="1"/>
    <col min="11280" max="11520" width="8.375" style="596"/>
    <col min="11521" max="11523" width="15.5" style="596" customWidth="1"/>
    <col min="11524" max="11524" width="19.125" style="596" customWidth="1"/>
    <col min="11525" max="11525" width="15.5" style="596" customWidth="1"/>
    <col min="11526" max="11526" width="16.5" style="596" customWidth="1"/>
    <col min="11527" max="11527" width="16.875" style="596" customWidth="1"/>
    <col min="11528" max="11528" width="15.5" style="596" customWidth="1"/>
    <col min="11529" max="11532" width="14.75" style="596" customWidth="1"/>
    <col min="11533" max="11535" width="15.5" style="596" customWidth="1"/>
    <col min="11536" max="11776" width="8.375" style="596"/>
    <col min="11777" max="11779" width="15.5" style="596" customWidth="1"/>
    <col min="11780" max="11780" width="19.125" style="596" customWidth="1"/>
    <col min="11781" max="11781" width="15.5" style="596" customWidth="1"/>
    <col min="11782" max="11782" width="16.5" style="596" customWidth="1"/>
    <col min="11783" max="11783" width="16.875" style="596" customWidth="1"/>
    <col min="11784" max="11784" width="15.5" style="596" customWidth="1"/>
    <col min="11785" max="11788" width="14.75" style="596" customWidth="1"/>
    <col min="11789" max="11791" width="15.5" style="596" customWidth="1"/>
    <col min="11792" max="12032" width="8.375" style="596"/>
    <col min="12033" max="12035" width="15.5" style="596" customWidth="1"/>
    <col min="12036" max="12036" width="19.125" style="596" customWidth="1"/>
    <col min="12037" max="12037" width="15.5" style="596" customWidth="1"/>
    <col min="12038" max="12038" width="16.5" style="596" customWidth="1"/>
    <col min="12039" max="12039" width="16.875" style="596" customWidth="1"/>
    <col min="12040" max="12040" width="15.5" style="596" customWidth="1"/>
    <col min="12041" max="12044" width="14.75" style="596" customWidth="1"/>
    <col min="12045" max="12047" width="15.5" style="596" customWidth="1"/>
    <col min="12048" max="12288" width="8.375" style="596"/>
    <col min="12289" max="12291" width="15.5" style="596" customWidth="1"/>
    <col min="12292" max="12292" width="19.125" style="596" customWidth="1"/>
    <col min="12293" max="12293" width="15.5" style="596" customWidth="1"/>
    <col min="12294" max="12294" width="16.5" style="596" customWidth="1"/>
    <col min="12295" max="12295" width="16.875" style="596" customWidth="1"/>
    <col min="12296" max="12296" width="15.5" style="596" customWidth="1"/>
    <col min="12297" max="12300" width="14.75" style="596" customWidth="1"/>
    <col min="12301" max="12303" width="15.5" style="596" customWidth="1"/>
    <col min="12304" max="12544" width="8.375" style="596"/>
    <col min="12545" max="12547" width="15.5" style="596" customWidth="1"/>
    <col min="12548" max="12548" width="19.125" style="596" customWidth="1"/>
    <col min="12549" max="12549" width="15.5" style="596" customWidth="1"/>
    <col min="12550" max="12550" width="16.5" style="596" customWidth="1"/>
    <col min="12551" max="12551" width="16.875" style="596" customWidth="1"/>
    <col min="12552" max="12552" width="15.5" style="596" customWidth="1"/>
    <col min="12553" max="12556" width="14.75" style="596" customWidth="1"/>
    <col min="12557" max="12559" width="15.5" style="596" customWidth="1"/>
    <col min="12560" max="12800" width="8.375" style="596"/>
    <col min="12801" max="12803" width="15.5" style="596" customWidth="1"/>
    <col min="12804" max="12804" width="19.125" style="596" customWidth="1"/>
    <col min="12805" max="12805" width="15.5" style="596" customWidth="1"/>
    <col min="12806" max="12806" width="16.5" style="596" customWidth="1"/>
    <col min="12807" max="12807" width="16.875" style="596" customWidth="1"/>
    <col min="12808" max="12808" width="15.5" style="596" customWidth="1"/>
    <col min="12809" max="12812" width="14.75" style="596" customWidth="1"/>
    <col min="12813" max="12815" width="15.5" style="596" customWidth="1"/>
    <col min="12816" max="13056" width="8.375" style="596"/>
    <col min="13057" max="13059" width="15.5" style="596" customWidth="1"/>
    <col min="13060" max="13060" width="19.125" style="596" customWidth="1"/>
    <col min="13061" max="13061" width="15.5" style="596" customWidth="1"/>
    <col min="13062" max="13062" width="16.5" style="596" customWidth="1"/>
    <col min="13063" max="13063" width="16.875" style="596" customWidth="1"/>
    <col min="13064" max="13064" width="15.5" style="596" customWidth="1"/>
    <col min="13065" max="13068" width="14.75" style="596" customWidth="1"/>
    <col min="13069" max="13071" width="15.5" style="596" customWidth="1"/>
    <col min="13072" max="13312" width="8.375" style="596"/>
    <col min="13313" max="13315" width="15.5" style="596" customWidth="1"/>
    <col min="13316" max="13316" width="19.125" style="596" customWidth="1"/>
    <col min="13317" max="13317" width="15.5" style="596" customWidth="1"/>
    <col min="13318" max="13318" width="16.5" style="596" customWidth="1"/>
    <col min="13319" max="13319" width="16.875" style="596" customWidth="1"/>
    <col min="13320" max="13320" width="15.5" style="596" customWidth="1"/>
    <col min="13321" max="13324" width="14.75" style="596" customWidth="1"/>
    <col min="13325" max="13327" width="15.5" style="596" customWidth="1"/>
    <col min="13328" max="13568" width="8.375" style="596"/>
    <col min="13569" max="13571" width="15.5" style="596" customWidth="1"/>
    <col min="13572" max="13572" width="19.125" style="596" customWidth="1"/>
    <col min="13573" max="13573" width="15.5" style="596" customWidth="1"/>
    <col min="13574" max="13574" width="16.5" style="596" customWidth="1"/>
    <col min="13575" max="13575" width="16.875" style="596" customWidth="1"/>
    <col min="13576" max="13576" width="15.5" style="596" customWidth="1"/>
    <col min="13577" max="13580" width="14.75" style="596" customWidth="1"/>
    <col min="13581" max="13583" width="15.5" style="596" customWidth="1"/>
    <col min="13584" max="13824" width="8.375" style="596"/>
    <col min="13825" max="13827" width="15.5" style="596" customWidth="1"/>
    <col min="13828" max="13828" width="19.125" style="596" customWidth="1"/>
    <col min="13829" max="13829" width="15.5" style="596" customWidth="1"/>
    <col min="13830" max="13830" width="16.5" style="596" customWidth="1"/>
    <col min="13831" max="13831" width="16.875" style="596" customWidth="1"/>
    <col min="13832" max="13832" width="15.5" style="596" customWidth="1"/>
    <col min="13833" max="13836" width="14.75" style="596" customWidth="1"/>
    <col min="13837" max="13839" width="15.5" style="596" customWidth="1"/>
    <col min="13840" max="14080" width="8.375" style="596"/>
    <col min="14081" max="14083" width="15.5" style="596" customWidth="1"/>
    <col min="14084" max="14084" width="19.125" style="596" customWidth="1"/>
    <col min="14085" max="14085" width="15.5" style="596" customWidth="1"/>
    <col min="14086" max="14086" width="16.5" style="596" customWidth="1"/>
    <col min="14087" max="14087" width="16.875" style="596" customWidth="1"/>
    <col min="14088" max="14088" width="15.5" style="596" customWidth="1"/>
    <col min="14089" max="14092" width="14.75" style="596" customWidth="1"/>
    <col min="14093" max="14095" width="15.5" style="596" customWidth="1"/>
    <col min="14096" max="14336" width="8.375" style="596"/>
    <col min="14337" max="14339" width="15.5" style="596" customWidth="1"/>
    <col min="14340" max="14340" width="19.125" style="596" customWidth="1"/>
    <col min="14341" max="14341" width="15.5" style="596" customWidth="1"/>
    <col min="14342" max="14342" width="16.5" style="596" customWidth="1"/>
    <col min="14343" max="14343" width="16.875" style="596" customWidth="1"/>
    <col min="14344" max="14344" width="15.5" style="596" customWidth="1"/>
    <col min="14345" max="14348" width="14.75" style="596" customWidth="1"/>
    <col min="14349" max="14351" width="15.5" style="596" customWidth="1"/>
    <col min="14352" max="14592" width="8.375" style="596"/>
    <col min="14593" max="14595" width="15.5" style="596" customWidth="1"/>
    <col min="14596" max="14596" width="19.125" style="596" customWidth="1"/>
    <col min="14597" max="14597" width="15.5" style="596" customWidth="1"/>
    <col min="14598" max="14598" width="16.5" style="596" customWidth="1"/>
    <col min="14599" max="14599" width="16.875" style="596" customWidth="1"/>
    <col min="14600" max="14600" width="15.5" style="596" customWidth="1"/>
    <col min="14601" max="14604" width="14.75" style="596" customWidth="1"/>
    <col min="14605" max="14607" width="15.5" style="596" customWidth="1"/>
    <col min="14608" max="14848" width="8.375" style="596"/>
    <col min="14849" max="14851" width="15.5" style="596" customWidth="1"/>
    <col min="14852" max="14852" width="19.125" style="596" customWidth="1"/>
    <col min="14853" max="14853" width="15.5" style="596" customWidth="1"/>
    <col min="14854" max="14854" width="16.5" style="596" customWidth="1"/>
    <col min="14855" max="14855" width="16.875" style="596" customWidth="1"/>
    <col min="14856" max="14856" width="15.5" style="596" customWidth="1"/>
    <col min="14857" max="14860" width="14.75" style="596" customWidth="1"/>
    <col min="14861" max="14863" width="15.5" style="596" customWidth="1"/>
    <col min="14864" max="15104" width="8.375" style="596"/>
    <col min="15105" max="15107" width="15.5" style="596" customWidth="1"/>
    <col min="15108" max="15108" width="19.125" style="596" customWidth="1"/>
    <col min="15109" max="15109" width="15.5" style="596" customWidth="1"/>
    <col min="15110" max="15110" width="16.5" style="596" customWidth="1"/>
    <col min="15111" max="15111" width="16.875" style="596" customWidth="1"/>
    <col min="15112" max="15112" width="15.5" style="596" customWidth="1"/>
    <col min="15113" max="15116" width="14.75" style="596" customWidth="1"/>
    <col min="15117" max="15119" width="15.5" style="596" customWidth="1"/>
    <col min="15120" max="15360" width="8.375" style="596"/>
    <col min="15361" max="15363" width="15.5" style="596" customWidth="1"/>
    <col min="15364" max="15364" width="19.125" style="596" customWidth="1"/>
    <col min="15365" max="15365" width="15.5" style="596" customWidth="1"/>
    <col min="15366" max="15366" width="16.5" style="596" customWidth="1"/>
    <col min="15367" max="15367" width="16.875" style="596" customWidth="1"/>
    <col min="15368" max="15368" width="15.5" style="596" customWidth="1"/>
    <col min="15369" max="15372" width="14.75" style="596" customWidth="1"/>
    <col min="15373" max="15375" width="15.5" style="596" customWidth="1"/>
    <col min="15376" max="15616" width="8.375" style="596"/>
    <col min="15617" max="15619" width="15.5" style="596" customWidth="1"/>
    <col min="15620" max="15620" width="19.125" style="596" customWidth="1"/>
    <col min="15621" max="15621" width="15.5" style="596" customWidth="1"/>
    <col min="15622" max="15622" width="16.5" style="596" customWidth="1"/>
    <col min="15623" max="15623" width="16.875" style="596" customWidth="1"/>
    <col min="15624" max="15624" width="15.5" style="596" customWidth="1"/>
    <col min="15625" max="15628" width="14.75" style="596" customWidth="1"/>
    <col min="15629" max="15631" width="15.5" style="596" customWidth="1"/>
    <col min="15632" max="15872" width="8.375" style="596"/>
    <col min="15873" max="15875" width="15.5" style="596" customWidth="1"/>
    <col min="15876" max="15876" width="19.125" style="596" customWidth="1"/>
    <col min="15877" max="15877" width="15.5" style="596" customWidth="1"/>
    <col min="15878" max="15878" width="16.5" style="596" customWidth="1"/>
    <col min="15879" max="15879" width="16.875" style="596" customWidth="1"/>
    <col min="15880" max="15880" width="15.5" style="596" customWidth="1"/>
    <col min="15881" max="15884" width="14.75" style="596" customWidth="1"/>
    <col min="15885" max="15887" width="15.5" style="596" customWidth="1"/>
    <col min="15888" max="16128" width="8.375" style="596"/>
    <col min="16129" max="16131" width="15.5" style="596" customWidth="1"/>
    <col min="16132" max="16132" width="19.125" style="596" customWidth="1"/>
    <col min="16133" max="16133" width="15.5" style="596" customWidth="1"/>
    <col min="16134" max="16134" width="16.5" style="596" customWidth="1"/>
    <col min="16135" max="16135" width="16.875" style="596" customWidth="1"/>
    <col min="16136" max="16136" width="15.5" style="596" customWidth="1"/>
    <col min="16137" max="16140" width="14.75" style="596" customWidth="1"/>
    <col min="16141" max="16143" width="15.5" style="596" customWidth="1"/>
    <col min="16144" max="16384" width="8.375" style="596"/>
  </cols>
  <sheetData>
    <row r="1" spans="1:15">
      <c r="A1" s="1435" t="s">
        <v>554</v>
      </c>
      <c r="B1" s="1435"/>
      <c r="C1" s="1435"/>
      <c r="D1" s="1435"/>
      <c r="E1" s="1435"/>
      <c r="F1" s="1435"/>
      <c r="G1" s="1435"/>
      <c r="H1" s="1435"/>
      <c r="I1" s="595"/>
      <c r="J1" s="595"/>
      <c r="K1" s="595"/>
      <c r="L1" s="595"/>
      <c r="M1" s="595"/>
      <c r="N1" s="595"/>
      <c r="O1" s="595"/>
    </row>
    <row r="2" spans="1:15">
      <c r="A2" s="595" t="s">
        <v>553</v>
      </c>
      <c r="B2" s="595"/>
      <c r="C2" s="595"/>
      <c r="D2" s="597" t="s">
        <v>555</v>
      </c>
      <c r="E2" s="608" t="s">
        <v>556</v>
      </c>
      <c r="F2" s="597"/>
      <c r="G2" s="597"/>
      <c r="H2" s="597"/>
      <c r="M2" s="599"/>
    </row>
    <row r="3" spans="1:15" s="595" customFormat="1">
      <c r="A3" s="602" t="s">
        <v>14</v>
      </c>
      <c r="B3" s="602" t="s">
        <v>708</v>
      </c>
      <c r="C3" s="611" t="s">
        <v>8</v>
      </c>
      <c r="D3" s="610" t="s">
        <v>557</v>
      </c>
      <c r="E3" s="610" t="s">
        <v>558</v>
      </c>
      <c r="F3" s="610" t="s">
        <v>559</v>
      </c>
      <c r="G3" s="610" t="s">
        <v>560</v>
      </c>
      <c r="H3" s="610" t="s">
        <v>561</v>
      </c>
    </row>
    <row r="4" spans="1:15">
      <c r="A4" s="600" t="s">
        <v>17</v>
      </c>
      <c r="B4" s="605">
        <v>104416165.870101</v>
      </c>
      <c r="C4" s="781">
        <f t="shared" ref="C4:C9" si="0">SUM(D4:H4)</f>
        <v>103066500</v>
      </c>
      <c r="D4" s="782">
        <v>20840000</v>
      </c>
      <c r="E4" s="782">
        <v>20420000</v>
      </c>
      <c r="F4" s="782">
        <v>19820000</v>
      </c>
      <c r="G4" s="781">
        <v>20770000</v>
      </c>
      <c r="H4" s="781">
        <v>21216500</v>
      </c>
      <c r="I4" s="596"/>
      <c r="K4" s="596"/>
      <c r="O4" s="599"/>
    </row>
    <row r="5" spans="1:15">
      <c r="A5" s="600" t="s">
        <v>18</v>
      </c>
      <c r="B5" s="605">
        <v>121704052.55832718</v>
      </c>
      <c r="C5" s="601">
        <f t="shared" si="0"/>
        <v>116042500</v>
      </c>
      <c r="D5" s="605">
        <v>25985000</v>
      </c>
      <c r="E5" s="605">
        <v>22547900</v>
      </c>
      <c r="F5" s="605">
        <v>22660000</v>
      </c>
      <c r="G5" s="601">
        <v>23048000</v>
      </c>
      <c r="H5" s="601">
        <v>21801600</v>
      </c>
      <c r="I5" s="1049" t="s">
        <v>997</v>
      </c>
      <c r="K5" s="596"/>
    </row>
    <row r="6" spans="1:15">
      <c r="A6" s="603" t="s">
        <v>19</v>
      </c>
      <c r="B6" s="743">
        <v>195497177.53752112</v>
      </c>
      <c r="C6" s="604">
        <f t="shared" si="0"/>
        <v>195544400</v>
      </c>
      <c r="D6" s="605">
        <v>76230000</v>
      </c>
      <c r="E6" s="605">
        <v>34042000</v>
      </c>
      <c r="F6" s="605">
        <v>30368000</v>
      </c>
      <c r="G6" s="601">
        <v>12056400</v>
      </c>
      <c r="H6" s="601">
        <v>42848000</v>
      </c>
      <c r="I6" s="596"/>
      <c r="K6" s="596"/>
    </row>
    <row r="7" spans="1:15">
      <c r="A7" s="600" t="s">
        <v>20</v>
      </c>
      <c r="B7" s="605">
        <v>99441967.07704933</v>
      </c>
      <c r="C7" s="601">
        <f t="shared" si="0"/>
        <v>103669000</v>
      </c>
      <c r="D7" s="605">
        <v>24622000</v>
      </c>
      <c r="E7" s="605">
        <v>24709000</v>
      </c>
      <c r="F7" s="605">
        <v>16544000</v>
      </c>
      <c r="G7" s="601">
        <v>23064000</v>
      </c>
      <c r="H7" s="601">
        <v>14730000</v>
      </c>
      <c r="I7" s="596"/>
      <c r="K7" s="596"/>
    </row>
    <row r="8" spans="1:15">
      <c r="A8" s="600" t="s">
        <v>23</v>
      </c>
      <c r="B8" s="605">
        <v>73220310.069844455</v>
      </c>
      <c r="C8" s="601">
        <f t="shared" si="0"/>
        <v>132288000</v>
      </c>
      <c r="D8" s="605">
        <v>41024000</v>
      </c>
      <c r="E8" s="605">
        <v>32859000</v>
      </c>
      <c r="F8" s="605">
        <v>30314000</v>
      </c>
      <c r="G8" s="601">
        <v>20383000</v>
      </c>
      <c r="H8" s="601">
        <v>7708000</v>
      </c>
      <c r="I8" s="596"/>
      <c r="K8" s="596"/>
    </row>
    <row r="9" spans="1:15">
      <c r="A9" s="600" t="s">
        <v>21</v>
      </c>
      <c r="B9" s="743">
        <v>119112116.62349074</v>
      </c>
      <c r="C9" s="604">
        <f t="shared" si="0"/>
        <v>122299000</v>
      </c>
      <c r="D9" s="605">
        <v>26782000</v>
      </c>
      <c r="E9" s="605">
        <v>16412000</v>
      </c>
      <c r="F9" s="605">
        <v>17694000</v>
      </c>
      <c r="G9" s="601">
        <v>27374000</v>
      </c>
      <c r="H9" s="601">
        <v>34037000</v>
      </c>
      <c r="I9" s="596"/>
      <c r="K9" s="596"/>
    </row>
    <row r="10" spans="1:15">
      <c r="A10" s="600" t="s">
        <v>22</v>
      </c>
      <c r="B10" s="605">
        <v>179526422.75756663</v>
      </c>
      <c r="C10" s="601">
        <f>SUM(D10:H10)</f>
        <v>315164501</v>
      </c>
      <c r="D10" s="605">
        <v>129228500</v>
      </c>
      <c r="E10" s="605">
        <v>79949000</v>
      </c>
      <c r="F10" s="605">
        <v>26622000</v>
      </c>
      <c r="G10" s="601">
        <v>61380000</v>
      </c>
      <c r="H10" s="601">
        <v>17985001</v>
      </c>
      <c r="I10" s="596"/>
      <c r="K10" s="596"/>
    </row>
    <row r="11" spans="1:15" ht="21.75" thickBot="1">
      <c r="A11" s="737" t="s">
        <v>24</v>
      </c>
      <c r="B11" s="744">
        <v>107081787.50609951</v>
      </c>
      <c r="C11" s="738">
        <f>SUM(D11:H11)</f>
        <v>484318000</v>
      </c>
      <c r="D11" s="605">
        <v>157284000</v>
      </c>
      <c r="E11" s="605">
        <v>90693000</v>
      </c>
      <c r="F11" s="605">
        <v>92534000</v>
      </c>
      <c r="G11" s="601">
        <v>71100000</v>
      </c>
      <c r="H11" s="601">
        <v>72706999.999999985</v>
      </c>
      <c r="I11" s="596"/>
      <c r="K11" s="596"/>
    </row>
    <row r="12" spans="1:15" ht="21.75" thickBot="1">
      <c r="A12" s="739" t="s">
        <v>566</v>
      </c>
      <c r="B12" s="745">
        <v>1000000000</v>
      </c>
      <c r="C12" s="740">
        <f>SUM(C5:C11)</f>
        <v>1469325401</v>
      </c>
      <c r="F12" s="606"/>
      <c r="G12" s="606"/>
      <c r="H12" s="606"/>
    </row>
    <row r="13" spans="1:15">
      <c r="A13" s="1434" t="s">
        <v>562</v>
      </c>
      <c r="B13" s="1434"/>
      <c r="C13" s="1434"/>
      <c r="D13" s="1434"/>
      <c r="E13" s="1434"/>
      <c r="F13" s="1434"/>
      <c r="G13" s="1434"/>
      <c r="H13" s="1434"/>
      <c r="I13" s="1434"/>
      <c r="J13" s="1434"/>
      <c r="K13" s="1434"/>
      <c r="L13" s="1434"/>
    </row>
    <row r="14" spans="1:15">
      <c r="A14" s="1434" t="s">
        <v>563</v>
      </c>
      <c r="B14" s="1434"/>
      <c r="C14" s="1434"/>
      <c r="D14" s="1434"/>
      <c r="E14" s="1434"/>
      <c r="F14" s="1434"/>
      <c r="G14" s="1434"/>
      <c r="H14" s="1434"/>
      <c r="I14" s="1434"/>
      <c r="J14" s="1434"/>
      <c r="K14" s="1434"/>
      <c r="L14" s="612"/>
      <c r="M14" s="607"/>
    </row>
    <row r="15" spans="1:15">
      <c r="A15" s="614" t="s">
        <v>43</v>
      </c>
      <c r="B15" s="614" t="s">
        <v>564</v>
      </c>
      <c r="C15" s="621" t="s">
        <v>565</v>
      </c>
      <c r="D15" s="615" t="s">
        <v>567</v>
      </c>
      <c r="E15" s="622" t="s">
        <v>568</v>
      </c>
      <c r="F15" s="623" t="s">
        <v>569</v>
      </c>
      <c r="G15" s="741"/>
      <c r="H15" s="613"/>
      <c r="I15" s="613"/>
      <c r="J15" s="617"/>
      <c r="K15" s="618"/>
      <c r="L15" s="619"/>
      <c r="M15" s="598"/>
    </row>
    <row r="16" spans="1:15">
      <c r="A16" s="600" t="s">
        <v>17</v>
      </c>
      <c r="B16" s="600">
        <v>525805</v>
      </c>
      <c r="C16" s="616">
        <v>10883233.174020201</v>
      </c>
      <c r="D16" s="615">
        <v>10000000</v>
      </c>
      <c r="E16" s="624">
        <v>20883233.174020201</v>
      </c>
      <c r="F16" s="625">
        <v>104416165.870101</v>
      </c>
      <c r="G16" s="742"/>
      <c r="H16" s="613"/>
      <c r="I16" s="613"/>
      <c r="J16" s="617"/>
      <c r="K16" s="620"/>
      <c r="L16" s="619"/>
      <c r="M16" s="598"/>
    </row>
    <row r="17" spans="1:12">
      <c r="A17" s="600" t="s">
        <v>18</v>
      </c>
      <c r="B17" s="600">
        <v>692852</v>
      </c>
      <c r="C17" s="616">
        <v>14340810.511665437</v>
      </c>
      <c r="D17" s="615">
        <v>10000000</v>
      </c>
      <c r="E17" s="624">
        <v>24340810.511665437</v>
      </c>
      <c r="F17" s="625">
        <v>121704052.55832718</v>
      </c>
      <c r="G17" s="742"/>
      <c r="H17" s="613"/>
      <c r="I17" s="613"/>
      <c r="J17" s="617"/>
      <c r="K17" s="620"/>
      <c r="L17" s="619"/>
    </row>
    <row r="18" spans="1:12">
      <c r="A18" s="603" t="s">
        <v>19</v>
      </c>
      <c r="B18" s="603">
        <v>1405890</v>
      </c>
      <c r="C18" s="616">
        <v>29099435.507504229</v>
      </c>
      <c r="D18" s="615">
        <v>10000000</v>
      </c>
      <c r="E18" s="624">
        <v>39099435.507504225</v>
      </c>
      <c r="F18" s="625">
        <v>195497177.53752112</v>
      </c>
      <c r="G18" s="742"/>
      <c r="H18" s="613"/>
      <c r="I18" s="613"/>
      <c r="J18" s="617"/>
      <c r="K18" s="620"/>
      <c r="L18" s="619"/>
    </row>
    <row r="19" spans="1:12">
      <c r="A19" s="600" t="s">
        <v>20</v>
      </c>
      <c r="B19" s="600">
        <v>477741</v>
      </c>
      <c r="C19" s="616">
        <v>9888393.4154098667</v>
      </c>
      <c r="D19" s="615">
        <v>10000000</v>
      </c>
      <c r="E19" s="624">
        <v>19888393.415409867</v>
      </c>
      <c r="F19" s="625">
        <v>99441967.07704933</v>
      </c>
      <c r="G19" s="742"/>
      <c r="H19" s="613"/>
      <c r="I19" s="613"/>
      <c r="J19" s="617"/>
      <c r="K19" s="620"/>
      <c r="L19" s="619"/>
    </row>
    <row r="20" spans="1:12">
      <c r="A20" s="600" t="s">
        <v>23</v>
      </c>
      <c r="B20" s="600">
        <v>224370</v>
      </c>
      <c r="C20" s="616">
        <v>4644062.0139688905</v>
      </c>
      <c r="D20" s="615">
        <v>10000000</v>
      </c>
      <c r="E20" s="624">
        <v>14644062.013968891</v>
      </c>
      <c r="F20" s="625">
        <v>73220310.069844455</v>
      </c>
      <c r="G20" s="742"/>
      <c r="H20" s="613"/>
      <c r="I20" s="613"/>
      <c r="J20" s="617"/>
      <c r="K20" s="620"/>
      <c r="L20" s="619"/>
    </row>
    <row r="21" spans="1:12">
      <c r="A21" s="600" t="s">
        <v>21</v>
      </c>
      <c r="B21" s="600">
        <v>667807</v>
      </c>
      <c r="C21" s="616">
        <v>13822423.324698146</v>
      </c>
      <c r="D21" s="615">
        <v>10000000</v>
      </c>
      <c r="E21" s="624">
        <v>23822423.324698146</v>
      </c>
      <c r="F21" s="625">
        <v>119112116.62349074</v>
      </c>
      <c r="G21" s="742"/>
      <c r="H21" s="613"/>
      <c r="I21" s="613"/>
      <c r="J21" s="617"/>
      <c r="K21" s="620"/>
      <c r="L21" s="619"/>
    </row>
    <row r="22" spans="1:12">
      <c r="A22" s="600" t="s">
        <v>22</v>
      </c>
      <c r="B22" s="600">
        <v>1251570</v>
      </c>
      <c r="C22" s="616">
        <v>25905284.551513325</v>
      </c>
      <c r="D22" s="615">
        <v>10000000</v>
      </c>
      <c r="E22" s="624">
        <v>35905284.551513329</v>
      </c>
      <c r="F22" s="625">
        <v>179526422.75756663</v>
      </c>
      <c r="G22" s="742"/>
      <c r="H22" s="613"/>
      <c r="I22" s="613"/>
      <c r="J22" s="617"/>
      <c r="K22" s="620"/>
      <c r="L22" s="619"/>
    </row>
    <row r="23" spans="1:12">
      <c r="A23" s="600" t="s">
        <v>24</v>
      </c>
      <c r="B23" s="600">
        <v>551562</v>
      </c>
      <c r="C23" s="616">
        <v>11416357.501219902</v>
      </c>
      <c r="D23" s="615">
        <v>10000000</v>
      </c>
      <c r="E23" s="624">
        <v>21416357.501219902</v>
      </c>
      <c r="F23" s="625">
        <v>107081787.50609951</v>
      </c>
      <c r="G23" s="742"/>
      <c r="H23" s="613"/>
      <c r="I23" s="613"/>
      <c r="J23" s="617"/>
      <c r="K23" s="620"/>
      <c r="L23" s="619"/>
    </row>
    <row r="24" spans="1:12">
      <c r="A24" s="627" t="s">
        <v>566</v>
      </c>
      <c r="B24" s="627">
        <v>5797597</v>
      </c>
      <c r="C24" s="616">
        <v>120000000</v>
      </c>
      <c r="D24" s="615">
        <v>80000000</v>
      </c>
      <c r="E24" s="624">
        <v>200000000</v>
      </c>
      <c r="F24" s="625">
        <v>1000000000</v>
      </c>
      <c r="G24" s="742"/>
      <c r="H24" s="613"/>
      <c r="I24" s="613"/>
      <c r="J24" s="617"/>
      <c r="K24" s="620"/>
      <c r="L24" s="619"/>
    </row>
    <row r="25" spans="1:12">
      <c r="D25" s="626"/>
      <c r="E25" s="626"/>
    </row>
  </sheetData>
  <mergeCells count="3">
    <mergeCell ref="A13:L13"/>
    <mergeCell ref="A14:K14"/>
    <mergeCell ref="A1:H1"/>
  </mergeCell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A4" workbookViewId="0">
      <selection activeCell="B5" sqref="B5"/>
    </sheetView>
  </sheetViews>
  <sheetFormatPr defaultColWidth="9" defaultRowHeight="18.75"/>
  <cols>
    <col min="1" max="1" width="7" style="2" customWidth="1"/>
    <col min="2" max="2" width="11.625" style="2" customWidth="1"/>
    <col min="3" max="4" width="3.25" style="2" customWidth="1"/>
    <col min="5" max="6" width="2.875" style="2" customWidth="1"/>
    <col min="7" max="7" width="2.25" style="2" customWidth="1"/>
    <col min="8" max="9" width="2.375" style="2" customWidth="1"/>
    <col min="10" max="11" width="2.875" style="2" customWidth="1"/>
    <col min="12" max="14" width="2.375" style="2" customWidth="1"/>
    <col min="15" max="16" width="2.875" style="2" customWidth="1"/>
    <col min="17" max="19" width="2.375" style="2" customWidth="1"/>
    <col min="20" max="37" width="2.875" style="2" customWidth="1"/>
    <col min="38" max="38" width="2.625" style="2" customWidth="1"/>
    <col min="39" max="39" width="5.625" style="2" customWidth="1"/>
    <col min="40" max="42" width="2.625" style="2" customWidth="1"/>
    <col min="43" max="43" width="8.625" style="2" customWidth="1"/>
    <col min="44" max="48" width="2.625" style="2" customWidth="1"/>
    <col min="49" max="57" width="2.75" style="2" customWidth="1"/>
    <col min="58" max="58" width="3.375" style="2" customWidth="1"/>
    <col min="59" max="16384" width="9" style="2"/>
  </cols>
  <sheetData>
    <row r="1" spans="1:43" ht="33.75" customHeight="1">
      <c r="A1" s="1" t="s">
        <v>14</v>
      </c>
      <c r="B1" s="1"/>
    </row>
    <row r="2" spans="1:43" ht="33.75" customHeight="1">
      <c r="A2" s="3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43" s="5" customFormat="1" ht="36" customHeight="1">
      <c r="A3" s="14" t="s">
        <v>0</v>
      </c>
      <c r="B3" s="26" t="s">
        <v>1</v>
      </c>
      <c r="C3" s="1340" t="s">
        <v>17</v>
      </c>
      <c r="D3" s="1340"/>
      <c r="E3" s="1340"/>
      <c r="F3" s="1340"/>
      <c r="G3" s="1340"/>
      <c r="H3" s="1340" t="s">
        <v>18</v>
      </c>
      <c r="I3" s="1340"/>
      <c r="J3" s="1340"/>
      <c r="K3" s="1340"/>
      <c r="L3" s="1340"/>
      <c r="M3" s="1340" t="s">
        <v>19</v>
      </c>
      <c r="N3" s="1340"/>
      <c r="O3" s="1340"/>
      <c r="P3" s="1340"/>
      <c r="Q3" s="1340"/>
      <c r="R3" s="1340" t="s">
        <v>20</v>
      </c>
      <c r="S3" s="1340"/>
      <c r="T3" s="1340"/>
      <c r="U3" s="1340"/>
      <c r="V3" s="1340"/>
      <c r="W3" s="1340" t="s">
        <v>21</v>
      </c>
      <c r="X3" s="1340"/>
      <c r="Y3" s="1340"/>
      <c r="Z3" s="1340"/>
      <c r="AA3" s="1340"/>
      <c r="AB3" s="1340" t="s">
        <v>22</v>
      </c>
      <c r="AC3" s="1340"/>
      <c r="AD3" s="1340"/>
      <c r="AE3" s="1340"/>
      <c r="AF3" s="1340"/>
      <c r="AG3" s="1340" t="s">
        <v>23</v>
      </c>
      <c r="AH3" s="1340"/>
      <c r="AI3" s="1340"/>
      <c r="AJ3" s="1340"/>
      <c r="AK3" s="1340"/>
      <c r="AL3" s="1340" t="s">
        <v>24</v>
      </c>
      <c r="AM3" s="1340"/>
      <c r="AN3" s="1340"/>
      <c r="AO3" s="1340"/>
      <c r="AP3" s="1340"/>
      <c r="AQ3" s="1341" t="s">
        <v>8</v>
      </c>
    </row>
    <row r="4" spans="1:43" s="5" customFormat="1" ht="28.5" customHeight="1">
      <c r="A4" s="220"/>
      <c r="B4" s="27"/>
      <c r="C4" s="272" t="s">
        <v>2</v>
      </c>
      <c r="D4" s="272" t="s">
        <v>3</v>
      </c>
      <c r="E4" s="272" t="s">
        <v>4</v>
      </c>
      <c r="F4" s="272" t="s">
        <v>5</v>
      </c>
      <c r="G4" s="272" t="s">
        <v>6</v>
      </c>
      <c r="H4" s="272" t="s">
        <v>2</v>
      </c>
      <c r="I4" s="272" t="s">
        <v>3</v>
      </c>
      <c r="J4" s="272" t="s">
        <v>4</v>
      </c>
      <c r="K4" s="272" t="s">
        <v>5</v>
      </c>
      <c r="L4" s="272" t="s">
        <v>6</v>
      </c>
      <c r="M4" s="272" t="s">
        <v>2</v>
      </c>
      <c r="N4" s="272" t="s">
        <v>3</v>
      </c>
      <c r="O4" s="272" t="s">
        <v>4</v>
      </c>
      <c r="P4" s="272" t="s">
        <v>5</v>
      </c>
      <c r="Q4" s="272" t="s">
        <v>6</v>
      </c>
      <c r="R4" s="272" t="s">
        <v>2</v>
      </c>
      <c r="S4" s="272" t="s">
        <v>3</v>
      </c>
      <c r="T4" s="272" t="s">
        <v>4</v>
      </c>
      <c r="U4" s="272" t="s">
        <v>5</v>
      </c>
      <c r="V4" s="272" t="s">
        <v>6</v>
      </c>
      <c r="W4" s="272" t="s">
        <v>2</v>
      </c>
      <c r="X4" s="272" t="s">
        <v>3</v>
      </c>
      <c r="Y4" s="272" t="s">
        <v>4</v>
      </c>
      <c r="Z4" s="272" t="s">
        <v>5</v>
      </c>
      <c r="AA4" s="272" t="s">
        <v>6</v>
      </c>
      <c r="AB4" s="272" t="s">
        <v>2</v>
      </c>
      <c r="AC4" s="272" t="s">
        <v>3</v>
      </c>
      <c r="AD4" s="272" t="s">
        <v>4</v>
      </c>
      <c r="AE4" s="272" t="s">
        <v>5</v>
      </c>
      <c r="AF4" s="272" t="s">
        <v>6</v>
      </c>
      <c r="AG4" s="272" t="s">
        <v>2</v>
      </c>
      <c r="AH4" s="272" t="s">
        <v>3</v>
      </c>
      <c r="AI4" s="272" t="s">
        <v>4</v>
      </c>
      <c r="AJ4" s="272" t="s">
        <v>5</v>
      </c>
      <c r="AK4" s="272" t="s">
        <v>6</v>
      </c>
      <c r="AL4" s="272" t="s">
        <v>2</v>
      </c>
      <c r="AM4" s="272" t="s">
        <v>3</v>
      </c>
      <c r="AN4" s="272" t="s">
        <v>4</v>
      </c>
      <c r="AO4" s="272" t="s">
        <v>5</v>
      </c>
      <c r="AP4" s="272" t="s">
        <v>6</v>
      </c>
      <c r="AQ4" s="1436"/>
    </row>
    <row r="5" spans="1:43" s="5" customFormat="1" ht="36.200000000000003" customHeight="1">
      <c r="A5" s="16"/>
      <c r="B5" s="1265">
        <v>12</v>
      </c>
      <c r="C5" s="28"/>
      <c r="D5" s="28"/>
      <c r="E5" s="28"/>
      <c r="F5" s="28"/>
      <c r="G5" s="28">
        <v>1</v>
      </c>
      <c r="H5" s="28"/>
      <c r="I5" s="28"/>
      <c r="J5" s="28"/>
      <c r="K5" s="28">
        <v>1</v>
      </c>
      <c r="L5" s="273">
        <v>3</v>
      </c>
      <c r="M5" s="28"/>
      <c r="N5" s="28"/>
      <c r="O5" s="28"/>
      <c r="P5" s="28">
        <v>1</v>
      </c>
      <c r="Q5" s="28">
        <v>1</v>
      </c>
      <c r="R5" s="28">
        <v>1</v>
      </c>
      <c r="S5" s="28"/>
      <c r="T5" s="28">
        <v>1</v>
      </c>
      <c r="U5" s="28"/>
      <c r="V5" s="28">
        <v>4</v>
      </c>
      <c r="W5" s="28"/>
      <c r="X5" s="28"/>
      <c r="Y5" s="28">
        <v>1</v>
      </c>
      <c r="Z5" s="28"/>
      <c r="AA5" s="272">
        <v>4</v>
      </c>
      <c r="AB5" s="28"/>
      <c r="AC5" s="28"/>
      <c r="AD5" s="28"/>
      <c r="AE5" s="28"/>
      <c r="AF5" s="28"/>
      <c r="AG5" s="470"/>
      <c r="AH5" s="470"/>
      <c r="AI5" s="470"/>
      <c r="AJ5" s="470"/>
      <c r="AK5" s="470"/>
      <c r="AL5" s="28"/>
      <c r="AM5" s="466" t="s">
        <v>464</v>
      </c>
      <c r="AN5" s="28"/>
      <c r="AO5" s="28"/>
      <c r="AP5" s="28"/>
      <c r="AQ5" s="219"/>
    </row>
    <row r="6" spans="1:43" s="32" customFormat="1" ht="41.25" customHeight="1">
      <c r="A6" s="379">
        <v>2561</v>
      </c>
      <c r="B6" s="476">
        <f>SUM(C6:AP6)</f>
        <v>92171160</v>
      </c>
      <c r="C6" s="228">
        <v>0</v>
      </c>
      <c r="D6" s="228">
        <v>0</v>
      </c>
      <c r="E6" s="228">
        <v>0</v>
      </c>
      <c r="F6" s="228">
        <v>0</v>
      </c>
      <c r="G6" s="224">
        <v>10000000</v>
      </c>
      <c r="H6" s="19"/>
      <c r="I6" s="19"/>
      <c r="J6" s="19"/>
      <c r="K6" s="224">
        <v>10000000</v>
      </c>
      <c r="L6" s="224">
        <v>15000000</v>
      </c>
      <c r="M6" s="19"/>
      <c r="N6" s="19"/>
      <c r="O6" s="19"/>
      <c r="P6" s="224">
        <v>18000000</v>
      </c>
      <c r="Q6" s="224">
        <v>221160</v>
      </c>
      <c r="R6" s="265"/>
      <c r="S6" s="265"/>
      <c r="T6" s="228"/>
      <c r="U6" s="228"/>
      <c r="V6" s="228"/>
      <c r="W6" s="228">
        <v>0</v>
      </c>
      <c r="X6" s="228">
        <v>0</v>
      </c>
      <c r="Y6" s="224">
        <v>2000000</v>
      </c>
      <c r="Z6" s="228">
        <v>0</v>
      </c>
      <c r="AA6" s="383">
        <v>36950000</v>
      </c>
      <c r="AB6" s="19"/>
      <c r="AC6" s="19"/>
      <c r="AD6" s="390"/>
      <c r="AE6" s="19"/>
      <c r="AF6" s="19"/>
      <c r="AG6" s="265">
        <v>0</v>
      </c>
      <c r="AH6" s="265">
        <v>0</v>
      </c>
      <c r="AI6" s="228">
        <v>0</v>
      </c>
      <c r="AJ6" s="228">
        <v>0</v>
      </c>
      <c r="AK6" s="228">
        <v>0</v>
      </c>
      <c r="AL6" s="19"/>
      <c r="AM6" s="19"/>
      <c r="AN6" s="19"/>
      <c r="AO6" s="19"/>
      <c r="AP6" s="19"/>
      <c r="AQ6" s="19"/>
    </row>
    <row r="7" spans="1:43" s="32" customFormat="1" ht="29.45" customHeight="1">
      <c r="A7" s="18"/>
      <c r="B7" s="19">
        <v>7</v>
      </c>
      <c r="C7" s="228"/>
      <c r="D7" s="228"/>
      <c r="E7" s="228"/>
      <c r="F7" s="228"/>
      <c r="G7" s="28">
        <v>1</v>
      </c>
      <c r="H7" s="20"/>
      <c r="I7" s="20"/>
      <c r="J7" s="20"/>
      <c r="K7" s="20"/>
      <c r="L7" s="381">
        <v>2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28"/>
      <c r="X7" s="228"/>
      <c r="Y7" s="380"/>
      <c r="Z7" s="228"/>
      <c r="AA7" s="226"/>
      <c r="AB7" s="20"/>
      <c r="AC7" s="20"/>
      <c r="AD7" s="20">
        <v>1</v>
      </c>
      <c r="AE7" s="20"/>
      <c r="AF7" s="20"/>
      <c r="AG7" s="55"/>
      <c r="AH7" s="55"/>
      <c r="AI7" s="55"/>
      <c r="AJ7" s="55"/>
      <c r="AK7" s="471">
        <v>2</v>
      </c>
      <c r="AL7" s="20"/>
      <c r="AM7" s="20"/>
      <c r="AN7" s="20"/>
      <c r="AO7" s="20"/>
      <c r="AP7" s="20"/>
      <c r="AQ7" s="20"/>
    </row>
    <row r="8" spans="1:43" s="32" customFormat="1" ht="45" customHeight="1">
      <c r="A8" s="23">
        <v>2562</v>
      </c>
      <c r="B8" s="484">
        <f>SUM(C8:AP8)</f>
        <v>10000000</v>
      </c>
      <c r="C8" s="477">
        <v>0</v>
      </c>
      <c r="D8" s="477">
        <v>0</v>
      </c>
      <c r="E8" s="477">
        <v>0</v>
      </c>
      <c r="F8" s="477">
        <v>0</v>
      </c>
      <c r="G8" s="380">
        <v>10000000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478"/>
      <c r="S8" s="479">
        <v>0</v>
      </c>
      <c r="T8" s="477">
        <v>0</v>
      </c>
      <c r="U8" s="477">
        <v>0</v>
      </c>
      <c r="V8" s="477">
        <v>0</v>
      </c>
      <c r="W8" s="477">
        <v>0</v>
      </c>
      <c r="X8" s="477">
        <v>0</v>
      </c>
      <c r="Y8" s="477">
        <v>0</v>
      </c>
      <c r="Z8" s="477">
        <v>0</v>
      </c>
      <c r="AA8" s="477">
        <v>0</v>
      </c>
      <c r="AB8" s="22"/>
      <c r="AC8" s="22"/>
      <c r="AD8" s="22"/>
      <c r="AE8" s="22"/>
      <c r="AF8" s="22"/>
      <c r="AG8" s="479">
        <v>0</v>
      </c>
      <c r="AH8" s="479">
        <v>0</v>
      </c>
      <c r="AI8" s="477">
        <v>0</v>
      </c>
      <c r="AJ8" s="477">
        <v>0</v>
      </c>
      <c r="AK8" s="477">
        <v>0</v>
      </c>
      <c r="AL8" s="22"/>
      <c r="AM8" s="22"/>
      <c r="AN8" s="22"/>
      <c r="AO8" s="22"/>
      <c r="AP8" s="22"/>
      <c r="AQ8" s="22"/>
    </row>
    <row r="9" spans="1:43" s="32" customFormat="1" ht="28.9" customHeight="1">
      <c r="A9" s="18"/>
      <c r="B9" s="20"/>
      <c r="C9" s="228"/>
      <c r="D9" s="228"/>
      <c r="E9" s="228"/>
      <c r="F9" s="228"/>
      <c r="G9" s="2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28"/>
      <c r="X9" s="228"/>
      <c r="Y9" s="228"/>
      <c r="Z9" s="228"/>
      <c r="AA9" s="228"/>
      <c r="AB9" s="25"/>
      <c r="AC9" s="25"/>
      <c r="AD9" s="25"/>
      <c r="AE9" s="25"/>
      <c r="AF9" s="25"/>
      <c r="AG9" s="470"/>
      <c r="AH9" s="470"/>
      <c r="AI9" s="470"/>
      <c r="AJ9" s="470"/>
      <c r="AK9" s="470"/>
      <c r="AL9" s="25"/>
      <c r="AM9" s="25"/>
      <c r="AN9" s="25"/>
      <c r="AO9" s="25"/>
      <c r="AP9" s="25"/>
      <c r="AQ9" s="25"/>
    </row>
    <row r="10" spans="1:43" s="32" customFormat="1" ht="36" customHeight="1">
      <c r="A10" s="23">
        <v>2563</v>
      </c>
      <c r="B10" s="21"/>
      <c r="C10" s="228">
        <v>0</v>
      </c>
      <c r="D10" s="228">
        <v>0</v>
      </c>
      <c r="E10" s="228">
        <v>0</v>
      </c>
      <c r="F10" s="228">
        <v>0</v>
      </c>
      <c r="G10" s="228"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5">
        <v>0</v>
      </c>
      <c r="S10" s="265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5"/>
      <c r="AC10" s="25"/>
      <c r="AD10" s="25"/>
      <c r="AE10" s="25"/>
      <c r="AF10" s="25"/>
      <c r="AG10" s="265">
        <v>0</v>
      </c>
      <c r="AH10" s="265">
        <v>0</v>
      </c>
      <c r="AI10" s="228">
        <v>0</v>
      </c>
      <c r="AJ10" s="228">
        <v>0</v>
      </c>
      <c r="AK10" s="228">
        <v>0</v>
      </c>
      <c r="AL10" s="25"/>
      <c r="AM10" s="25"/>
      <c r="AN10" s="25"/>
      <c r="AO10" s="25"/>
      <c r="AP10" s="25"/>
      <c r="AQ10" s="25"/>
    </row>
    <row r="11" spans="1:43" s="32" customFormat="1" ht="21.6" customHeight="1">
      <c r="A11" s="18"/>
      <c r="B11" s="21"/>
      <c r="C11" s="228"/>
      <c r="D11" s="228"/>
      <c r="E11" s="228"/>
      <c r="F11" s="228"/>
      <c r="G11" s="228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483"/>
      <c r="S11" s="483"/>
      <c r="T11" s="25"/>
      <c r="U11" s="25"/>
      <c r="V11" s="25"/>
      <c r="W11" s="228"/>
      <c r="X11" s="228"/>
      <c r="Y11" s="228"/>
      <c r="Z11" s="228"/>
      <c r="AA11" s="228"/>
      <c r="AB11" s="25"/>
      <c r="AC11" s="25"/>
      <c r="AD11" s="25"/>
      <c r="AE11" s="25"/>
      <c r="AF11" s="25"/>
      <c r="AG11" s="470"/>
      <c r="AH11" s="470"/>
      <c r="AI11" s="470"/>
      <c r="AJ11" s="470"/>
      <c r="AK11" s="470"/>
      <c r="AL11" s="25"/>
      <c r="AM11" s="25"/>
      <c r="AN11" s="25"/>
      <c r="AO11" s="25"/>
      <c r="AP11" s="25"/>
      <c r="AQ11" s="25"/>
    </row>
    <row r="12" spans="1:43" s="32" customFormat="1" ht="23.1" customHeight="1">
      <c r="A12" s="23">
        <v>2564</v>
      </c>
      <c r="B12" s="21"/>
      <c r="C12" s="228">
        <v>0</v>
      </c>
      <c r="D12" s="228">
        <v>0</v>
      </c>
      <c r="E12" s="228">
        <v>0</v>
      </c>
      <c r="F12" s="228">
        <v>0</v>
      </c>
      <c r="G12" s="228"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5">
        <v>0</v>
      </c>
      <c r="S12" s="265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0</v>
      </c>
      <c r="Z12" s="228">
        <v>0</v>
      </c>
      <c r="AA12" s="228">
        <v>0</v>
      </c>
      <c r="AB12" s="25"/>
      <c r="AC12" s="25"/>
      <c r="AD12" s="25"/>
      <c r="AE12" s="25"/>
      <c r="AF12" s="25"/>
      <c r="AG12" s="265">
        <v>0</v>
      </c>
      <c r="AH12" s="265">
        <v>0</v>
      </c>
      <c r="AI12" s="228">
        <v>0</v>
      </c>
      <c r="AJ12" s="228">
        <v>0</v>
      </c>
      <c r="AK12" s="228">
        <v>0</v>
      </c>
      <c r="AL12" s="25"/>
      <c r="AM12" s="25"/>
      <c r="AN12" s="25"/>
      <c r="AO12" s="25"/>
      <c r="AP12" s="25"/>
      <c r="AQ12" s="25"/>
    </row>
    <row r="13" spans="1:43" s="32" customFormat="1" ht="26.1" customHeight="1">
      <c r="A13" s="18"/>
      <c r="B13" s="96">
        <v>1</v>
      </c>
      <c r="C13" s="272">
        <v>1</v>
      </c>
      <c r="D13" s="228"/>
      <c r="E13" s="228"/>
      <c r="F13" s="228"/>
      <c r="G13" s="228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28"/>
      <c r="X13" s="228"/>
      <c r="Y13" s="228"/>
      <c r="Z13" s="228"/>
      <c r="AA13" s="228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s="32" customFormat="1" ht="47.1" customHeight="1">
      <c r="A14" s="23">
        <v>2565</v>
      </c>
      <c r="B14" s="484">
        <v>25000000</v>
      </c>
      <c r="C14" s="263">
        <v>25000000</v>
      </c>
      <c r="D14" s="480">
        <v>0</v>
      </c>
      <c r="E14" s="480">
        <v>0</v>
      </c>
      <c r="F14" s="480">
        <v>0</v>
      </c>
      <c r="G14" s="480"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481">
        <f>SUM(R6:R13)</f>
        <v>0</v>
      </c>
      <c r="S14" s="20"/>
      <c r="T14" s="20"/>
      <c r="U14" s="20"/>
      <c r="V14" s="20"/>
      <c r="W14" s="480">
        <v>0</v>
      </c>
      <c r="X14" s="480">
        <v>0</v>
      </c>
      <c r="Y14" s="480">
        <v>0</v>
      </c>
      <c r="Z14" s="480">
        <v>0</v>
      </c>
      <c r="AA14" s="480">
        <v>0</v>
      </c>
      <c r="AB14" s="20"/>
      <c r="AC14" s="20"/>
      <c r="AD14" s="20"/>
      <c r="AE14" s="20"/>
      <c r="AF14" s="20"/>
      <c r="AG14" s="482">
        <v>0</v>
      </c>
      <c r="AH14" s="482">
        <v>0</v>
      </c>
      <c r="AI14" s="480">
        <v>0</v>
      </c>
      <c r="AJ14" s="480">
        <v>0</v>
      </c>
      <c r="AK14" s="480">
        <v>0</v>
      </c>
      <c r="AL14" s="20"/>
      <c r="AM14" s="20"/>
      <c r="AN14" s="20"/>
      <c r="AO14" s="20"/>
      <c r="AP14" s="20"/>
      <c r="AQ14" s="20"/>
    </row>
    <row r="15" spans="1:43" s="32" customFormat="1" ht="42.2" customHeight="1">
      <c r="A15" s="31" t="s">
        <v>8</v>
      </c>
      <c r="B15" s="25"/>
      <c r="C15" s="225">
        <f>SUM(C6:C14)</f>
        <v>25000001</v>
      </c>
      <c r="D15" s="225">
        <f>SUM(D6:D14)</f>
        <v>0</v>
      </c>
      <c r="E15" s="225">
        <f>SUM(E6:E14)</f>
        <v>0</v>
      </c>
      <c r="F15" s="225">
        <f>SUM(F6:F14)</f>
        <v>0</v>
      </c>
      <c r="G15" s="225">
        <f>SUM(G6:G14)</f>
        <v>20000001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469">
        <f>SUM(R14)</f>
        <v>0</v>
      </c>
      <c r="S15" s="25"/>
      <c r="T15" s="25"/>
      <c r="U15" s="25"/>
      <c r="V15" s="25"/>
      <c r="W15" s="228">
        <v>0</v>
      </c>
      <c r="X15" s="228">
        <v>0</v>
      </c>
      <c r="Y15" s="225">
        <f t="shared" ref="Y15" si="0">SUM(Y6:Y14)</f>
        <v>2000000</v>
      </c>
      <c r="Z15" s="228">
        <v>0</v>
      </c>
      <c r="AA15" s="227">
        <f>SUM(AA6:AA14)</f>
        <v>36950000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454"/>
      <c r="AL15" s="25"/>
      <c r="AM15" s="25"/>
      <c r="AN15" s="25"/>
      <c r="AO15" s="25"/>
      <c r="AP15" s="25"/>
      <c r="AQ15" s="25"/>
    </row>
  </sheetData>
  <mergeCells count="9">
    <mergeCell ref="AB3:AF3"/>
    <mergeCell ref="AG3:AK3"/>
    <mergeCell ref="AL3:AP3"/>
    <mergeCell ref="AQ3:AQ4"/>
    <mergeCell ref="C3:G3"/>
    <mergeCell ref="H3:L3"/>
    <mergeCell ref="M3:Q3"/>
    <mergeCell ref="R3:V3"/>
    <mergeCell ref="W3:AA3"/>
  </mergeCells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5"/>
  <sheetViews>
    <sheetView workbookViewId="0">
      <selection activeCell="A37" sqref="A37:C37"/>
    </sheetView>
  </sheetViews>
  <sheetFormatPr defaultColWidth="7" defaultRowHeight="18.75"/>
  <cols>
    <col min="1" max="1" width="4" style="141" bestFit="1" customWidth="1"/>
    <col min="2" max="2" width="5" style="769" customWidth="1"/>
    <col min="3" max="3" width="27.625" style="141" customWidth="1"/>
    <col min="4" max="4" width="7.75" style="770" bestFit="1" customWidth="1"/>
    <col min="5" max="5" width="10.875" style="770" bestFit="1" customWidth="1"/>
    <col min="6" max="6" width="7.125" style="762" customWidth="1"/>
    <col min="7" max="8" width="9.625" style="762" bestFit="1" customWidth="1"/>
    <col min="9" max="10" width="8.25" style="762" bestFit="1" customWidth="1"/>
    <col min="11" max="11" width="9.625" style="762" bestFit="1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361" t="s">
        <v>711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56.25">
      <c r="A5" s="1362" t="s">
        <v>136</v>
      </c>
      <c r="B5" s="1364" t="s">
        <v>712</v>
      </c>
      <c r="C5" s="796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718</v>
      </c>
      <c r="I5" s="1368" t="s">
        <v>719</v>
      </c>
      <c r="J5" s="1368" t="s">
        <v>720</v>
      </c>
      <c r="K5" s="1368" t="s">
        <v>747</v>
      </c>
      <c r="L5" s="1364" t="s">
        <v>722</v>
      </c>
      <c r="M5" s="796" t="s">
        <v>145</v>
      </c>
      <c r="N5" s="796" t="s">
        <v>146</v>
      </c>
      <c r="O5" s="796" t="s">
        <v>147</v>
      </c>
      <c r="P5" s="796" t="s">
        <v>43</v>
      </c>
      <c r="Q5" s="796" t="s">
        <v>148</v>
      </c>
      <c r="R5" s="796" t="s">
        <v>723</v>
      </c>
      <c r="S5" s="796" t="s">
        <v>724</v>
      </c>
      <c r="T5" s="796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797"/>
      <c r="D6" s="1367"/>
      <c r="E6" s="1367"/>
      <c r="F6" s="1369"/>
      <c r="G6" s="1369"/>
      <c r="H6" s="1369"/>
      <c r="I6" s="1369"/>
      <c r="J6" s="1369"/>
      <c r="K6" s="1369"/>
      <c r="L6" s="1365"/>
      <c r="M6" s="797"/>
      <c r="N6" s="797"/>
      <c r="O6" s="797"/>
      <c r="P6" s="797"/>
      <c r="Q6" s="797"/>
      <c r="R6" s="797"/>
      <c r="S6" s="797"/>
      <c r="T6" s="797"/>
      <c r="U6" s="797" t="s">
        <v>727</v>
      </c>
      <c r="V6" s="124" t="s">
        <v>152</v>
      </c>
      <c r="W6" s="124" t="s">
        <v>153</v>
      </c>
      <c r="X6" s="124" t="s">
        <v>728</v>
      </c>
    </row>
    <row r="7" spans="1:24">
      <c r="A7" s="131"/>
      <c r="B7" s="132"/>
      <c r="C7" s="133" t="s">
        <v>817</v>
      </c>
      <c r="D7" s="134"/>
      <c r="E7" s="135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9"/>
      <c r="Q7" s="139"/>
      <c r="R7" s="139"/>
      <c r="S7" s="139"/>
      <c r="T7" s="139"/>
      <c r="U7" s="140"/>
      <c r="V7" s="140"/>
      <c r="W7" s="140"/>
      <c r="X7" s="140"/>
    </row>
    <row r="8" spans="1:24">
      <c r="A8" s="131">
        <v>6</v>
      </c>
      <c r="B8" s="132">
        <v>1</v>
      </c>
      <c r="C8" s="133" t="s">
        <v>818</v>
      </c>
      <c r="D8" s="134"/>
      <c r="E8" s="135">
        <v>10000000</v>
      </c>
      <c r="F8" s="132">
        <v>1</v>
      </c>
      <c r="G8" s="135">
        <v>10000000</v>
      </c>
      <c r="H8" s="135"/>
      <c r="I8" s="132"/>
      <c r="J8" s="135"/>
      <c r="K8" s="132"/>
      <c r="L8" s="135">
        <f>SUM(G8:K8)</f>
        <v>10000000</v>
      </c>
      <c r="M8" s="136" t="s">
        <v>227</v>
      </c>
      <c r="N8" s="137" t="s">
        <v>228</v>
      </c>
      <c r="O8" s="137" t="s">
        <v>228</v>
      </c>
      <c r="P8" s="139" t="s">
        <v>17</v>
      </c>
      <c r="Q8" s="139" t="s">
        <v>181</v>
      </c>
      <c r="R8" s="139" t="s">
        <v>819</v>
      </c>
      <c r="S8" s="139">
        <v>30</v>
      </c>
      <c r="T8" s="761">
        <v>68.39</v>
      </c>
      <c r="U8" s="140"/>
      <c r="V8" s="140"/>
      <c r="W8" s="140"/>
      <c r="X8" s="140"/>
    </row>
    <row r="9" spans="1:24">
      <c r="A9" s="131">
        <v>6</v>
      </c>
      <c r="B9" s="132">
        <v>2</v>
      </c>
      <c r="C9" s="133" t="s">
        <v>818</v>
      </c>
      <c r="D9" s="134"/>
      <c r="E9" s="135">
        <v>10000000</v>
      </c>
      <c r="F9" s="132">
        <v>1</v>
      </c>
      <c r="G9" s="773"/>
      <c r="H9" s="135">
        <v>10000000</v>
      </c>
      <c r="I9" s="132"/>
      <c r="J9" s="135"/>
      <c r="K9" s="132"/>
      <c r="L9" s="135">
        <f t="shared" ref="L9:L10" si="0">SUM(G9:K9)</f>
        <v>10000000</v>
      </c>
      <c r="M9" s="136" t="s">
        <v>184</v>
      </c>
      <c r="N9" s="137" t="s">
        <v>185</v>
      </c>
      <c r="O9" s="137" t="s">
        <v>185</v>
      </c>
      <c r="P9" s="139" t="s">
        <v>17</v>
      </c>
      <c r="Q9" s="139" t="s">
        <v>181</v>
      </c>
      <c r="R9" s="139" t="s">
        <v>819</v>
      </c>
      <c r="S9" s="139">
        <v>30</v>
      </c>
      <c r="T9" s="761">
        <v>90.69</v>
      </c>
      <c r="U9" s="140"/>
      <c r="V9" s="140"/>
      <c r="W9" s="140"/>
      <c r="X9" s="140"/>
    </row>
    <row r="10" spans="1:24">
      <c r="A10" s="131">
        <v>6</v>
      </c>
      <c r="B10" s="132">
        <v>3</v>
      </c>
      <c r="C10" s="133" t="s">
        <v>818</v>
      </c>
      <c r="D10" s="134"/>
      <c r="E10" s="135">
        <v>10000000</v>
      </c>
      <c r="F10" s="132">
        <v>1</v>
      </c>
      <c r="G10" s="773"/>
      <c r="H10" s="135">
        <v>25000000</v>
      </c>
      <c r="I10" s="132"/>
      <c r="J10" s="135"/>
      <c r="K10" s="135"/>
      <c r="L10" s="135">
        <f t="shared" si="0"/>
        <v>25000000</v>
      </c>
      <c r="M10" s="136" t="s">
        <v>755</v>
      </c>
      <c r="N10" s="137" t="s">
        <v>159</v>
      </c>
      <c r="O10" s="137" t="s">
        <v>197</v>
      </c>
      <c r="P10" s="139" t="s">
        <v>17</v>
      </c>
      <c r="Q10" s="139" t="s">
        <v>2</v>
      </c>
      <c r="R10" s="139" t="s">
        <v>819</v>
      </c>
      <c r="S10" s="139">
        <v>755</v>
      </c>
      <c r="T10" s="761">
        <v>93.84</v>
      </c>
      <c r="U10" s="140"/>
      <c r="V10" s="140"/>
      <c r="W10" s="140"/>
      <c r="X10" s="140"/>
    </row>
    <row r="11" spans="1:24" s="768" customFormat="1">
      <c r="A11" s="1374" t="s">
        <v>820</v>
      </c>
      <c r="B11" s="1375"/>
      <c r="C11" s="1375"/>
      <c r="D11" s="1375"/>
      <c r="E11" s="1375"/>
      <c r="F11" s="1376"/>
      <c r="G11" s="764">
        <f>SUM(G7:G10)</f>
        <v>10000000</v>
      </c>
      <c r="H11" s="764">
        <f t="shared" ref="H11:K11" si="1">SUM(H7:H10)</f>
        <v>35000000</v>
      </c>
      <c r="I11" s="764">
        <f t="shared" si="1"/>
        <v>0</v>
      </c>
      <c r="J11" s="764">
        <f t="shared" si="1"/>
        <v>0</v>
      </c>
      <c r="K11" s="764">
        <f t="shared" si="1"/>
        <v>0</v>
      </c>
      <c r="L11" s="764">
        <f>SUM(G11:K11)</f>
        <v>45000000</v>
      </c>
      <c r="M11" s="765"/>
      <c r="N11" s="203"/>
      <c r="O11" s="203"/>
      <c r="P11" s="204"/>
      <c r="Q11" s="204"/>
      <c r="R11" s="204"/>
      <c r="S11" s="204"/>
      <c r="T11" s="766"/>
      <c r="U11" s="208"/>
      <c r="V11" s="208"/>
      <c r="W11" s="208"/>
      <c r="X11" s="208"/>
    </row>
    <row r="12" spans="1:24">
      <c r="B12" s="795" t="s">
        <v>0</v>
      </c>
      <c r="C12" s="793" t="s">
        <v>1</v>
      </c>
      <c r="D12" s="1373" t="s">
        <v>18</v>
      </c>
      <c r="E12" s="1373"/>
      <c r="F12" s="1373"/>
      <c r="G12" s="1373"/>
      <c r="H12" s="1373"/>
      <c r="I12" s="1341" t="s">
        <v>8</v>
      </c>
    </row>
    <row r="13" spans="1:24">
      <c r="B13" s="16"/>
      <c r="C13" s="794"/>
      <c r="D13" s="798" t="s">
        <v>2</v>
      </c>
      <c r="E13" s="798" t="s">
        <v>3</v>
      </c>
      <c r="F13" s="798" t="s">
        <v>4</v>
      </c>
      <c r="G13" s="798" t="s">
        <v>5</v>
      </c>
      <c r="H13" s="798" t="s">
        <v>6</v>
      </c>
      <c r="I13" s="1342"/>
    </row>
    <row r="14" spans="1:24" ht="75">
      <c r="B14" s="18">
        <v>2561</v>
      </c>
      <c r="C14" s="848" t="s">
        <v>821</v>
      </c>
      <c r="D14" s="19"/>
      <c r="E14" s="19"/>
      <c r="F14" s="19"/>
      <c r="G14" s="19" t="s">
        <v>52</v>
      </c>
      <c r="H14" s="19" t="s">
        <v>264</v>
      </c>
      <c r="I14" s="19">
        <v>4</v>
      </c>
    </row>
    <row r="15" spans="1:24" ht="37.5">
      <c r="B15" s="22">
        <v>2562</v>
      </c>
      <c r="C15" s="849" t="s">
        <v>822</v>
      </c>
      <c r="D15" s="21"/>
      <c r="E15" s="21"/>
      <c r="F15" s="21"/>
      <c r="G15" s="21"/>
      <c r="H15" s="21" t="s">
        <v>264</v>
      </c>
      <c r="I15" s="21">
        <v>2</v>
      </c>
    </row>
    <row r="16" spans="1:24">
      <c r="B16" s="22">
        <v>2563</v>
      </c>
      <c r="C16" s="21"/>
      <c r="D16" s="21"/>
      <c r="E16" s="21"/>
      <c r="F16" s="21"/>
      <c r="G16" s="21"/>
      <c r="H16" s="21"/>
      <c r="I16" s="21"/>
    </row>
    <row r="17" spans="1:24">
      <c r="B17" s="22">
        <v>2564</v>
      </c>
      <c r="C17" s="21"/>
      <c r="D17" s="21"/>
      <c r="E17" s="21"/>
      <c r="F17" s="21"/>
      <c r="G17" s="21"/>
      <c r="H17" s="21"/>
      <c r="I17" s="21"/>
    </row>
    <row r="18" spans="1:24">
      <c r="B18" s="22">
        <v>2565</v>
      </c>
      <c r="C18" s="21"/>
      <c r="D18" s="21"/>
      <c r="E18" s="21"/>
      <c r="F18" s="21"/>
      <c r="G18" s="21"/>
      <c r="H18" s="21"/>
      <c r="I18" s="21"/>
    </row>
    <row r="19" spans="1:24">
      <c r="B19" s="31" t="s">
        <v>8</v>
      </c>
      <c r="C19" s="25"/>
      <c r="D19" s="25"/>
      <c r="E19" s="25"/>
      <c r="F19" s="25"/>
      <c r="G19" s="25"/>
      <c r="H19" s="25"/>
      <c r="I19" s="25">
        <v>6</v>
      </c>
    </row>
    <row r="20" spans="1:24">
      <c r="B20" s="2">
        <v>1</v>
      </c>
      <c r="C20" s="2" t="s">
        <v>823</v>
      </c>
      <c r="D20" s="2"/>
      <c r="E20" s="2"/>
      <c r="F20" s="2"/>
      <c r="G20" s="2"/>
      <c r="H20" s="2"/>
      <c r="I20" s="2"/>
    </row>
    <row r="21" spans="1:24">
      <c r="B21" s="2">
        <v>2</v>
      </c>
      <c r="C21" s="2" t="s">
        <v>824</v>
      </c>
      <c r="D21" s="2"/>
      <c r="E21" s="2"/>
      <c r="F21" s="2"/>
      <c r="G21" s="2"/>
      <c r="H21" s="2"/>
      <c r="I21" s="2"/>
    </row>
    <row r="22" spans="1:24">
      <c r="B22" s="2">
        <v>3</v>
      </c>
      <c r="C22" s="2" t="s">
        <v>825</v>
      </c>
      <c r="D22" s="2"/>
      <c r="E22" s="2"/>
      <c r="F22" s="2"/>
      <c r="G22" s="2"/>
      <c r="H22" s="2"/>
      <c r="I22" s="2"/>
    </row>
    <row r="23" spans="1:24">
      <c r="B23" s="2">
        <v>4</v>
      </c>
      <c r="C23" s="2" t="s">
        <v>826</v>
      </c>
      <c r="D23" s="2"/>
      <c r="E23" s="2"/>
      <c r="F23" s="2"/>
      <c r="G23" s="2"/>
      <c r="H23" s="2"/>
      <c r="I23" s="2"/>
    </row>
    <row r="24" spans="1:24">
      <c r="B24" s="2">
        <v>5</v>
      </c>
      <c r="C24" s="2" t="s">
        <v>827</v>
      </c>
      <c r="D24" s="2"/>
      <c r="E24" s="2"/>
      <c r="F24" s="2"/>
      <c r="G24" s="2"/>
      <c r="H24" s="2"/>
      <c r="I24" s="2"/>
    </row>
    <row r="25" spans="1:24">
      <c r="B25" s="2">
        <v>6</v>
      </c>
      <c r="C25" s="2" t="s">
        <v>828</v>
      </c>
      <c r="D25" s="2"/>
      <c r="E25" s="2"/>
      <c r="F25" s="2"/>
      <c r="G25" s="2"/>
      <c r="H25" s="2"/>
      <c r="I25" s="2"/>
    </row>
    <row r="26" spans="1:24">
      <c r="A26" s="1361" t="s">
        <v>998</v>
      </c>
      <c r="B26" s="1361"/>
      <c r="C26" s="1361"/>
      <c r="D26" s="1361"/>
      <c r="E26" s="1361"/>
      <c r="F26" s="1361"/>
      <c r="G26" s="1361"/>
      <c r="H26" s="1361"/>
      <c r="I26" s="1361"/>
      <c r="J26" s="1361"/>
      <c r="K26" s="1361"/>
      <c r="L26" s="1361"/>
      <c r="M26" s="1361"/>
      <c r="N26" s="1361"/>
      <c r="O26" s="1361"/>
      <c r="P26" s="1361"/>
      <c r="Q26" s="1361"/>
      <c r="R26" s="1361"/>
      <c r="S26" s="1361"/>
      <c r="T26" s="1361"/>
      <c r="U26" s="1361"/>
      <c r="V26" s="141"/>
      <c r="W26" s="141"/>
      <c r="X26" s="141"/>
    </row>
    <row r="27" spans="1:24">
      <c r="A27" s="751"/>
      <c r="B27" s="751"/>
      <c r="C27" s="119" t="s">
        <v>134</v>
      </c>
      <c r="D27" s="752"/>
      <c r="E27" s="752"/>
      <c r="F27" s="751"/>
      <c r="G27" s="751"/>
      <c r="H27" s="751"/>
      <c r="I27" s="751"/>
      <c r="J27" s="751"/>
      <c r="K27" s="751"/>
      <c r="L27" s="753"/>
      <c r="M27" s="751"/>
      <c r="N27" s="751"/>
      <c r="O27" s="751"/>
      <c r="P27" s="751"/>
      <c r="Q27" s="751"/>
      <c r="R27" s="751"/>
      <c r="S27" s="751"/>
      <c r="T27" s="751"/>
      <c r="U27" s="751"/>
      <c r="V27" s="122" t="s">
        <v>135</v>
      </c>
      <c r="W27" s="122"/>
      <c r="X27" s="122"/>
    </row>
    <row r="28" spans="1:24" ht="56.25">
      <c r="A28" s="1362" t="s">
        <v>136</v>
      </c>
      <c r="B28" s="1364" t="s">
        <v>712</v>
      </c>
      <c r="C28" s="823" t="s">
        <v>713</v>
      </c>
      <c r="D28" s="1366" t="s">
        <v>714</v>
      </c>
      <c r="E28" s="1366" t="s">
        <v>715</v>
      </c>
      <c r="F28" s="1368" t="s">
        <v>716</v>
      </c>
      <c r="G28" s="1368" t="s">
        <v>999</v>
      </c>
      <c r="H28" s="1368" t="s">
        <v>1000</v>
      </c>
      <c r="I28" s="1368" t="s">
        <v>1001</v>
      </c>
      <c r="J28" s="1368" t="s">
        <v>1002</v>
      </c>
      <c r="K28" s="1368" t="s">
        <v>721</v>
      </c>
      <c r="L28" s="1364" t="s">
        <v>722</v>
      </c>
      <c r="M28" s="823" t="s">
        <v>145</v>
      </c>
      <c r="N28" s="823" t="s">
        <v>146</v>
      </c>
      <c r="O28" s="823" t="s">
        <v>147</v>
      </c>
      <c r="P28" s="823" t="s">
        <v>43</v>
      </c>
      <c r="Q28" s="823" t="s">
        <v>148</v>
      </c>
      <c r="R28" s="823" t="s">
        <v>723</v>
      </c>
      <c r="S28" s="823" t="s">
        <v>724</v>
      </c>
      <c r="T28" s="823" t="s">
        <v>725</v>
      </c>
      <c r="U28" s="1370" t="s">
        <v>726</v>
      </c>
      <c r="V28" s="1371"/>
      <c r="W28" s="1371"/>
      <c r="X28" s="1372"/>
    </row>
    <row r="29" spans="1:24" ht="37.5">
      <c r="A29" s="1363"/>
      <c r="B29" s="1365"/>
      <c r="C29" s="824"/>
      <c r="D29" s="1367"/>
      <c r="E29" s="1367"/>
      <c r="F29" s="1369"/>
      <c r="G29" s="1369"/>
      <c r="H29" s="1369"/>
      <c r="I29" s="1369"/>
      <c r="J29" s="1369"/>
      <c r="K29" s="1369"/>
      <c r="L29" s="1365"/>
      <c r="M29" s="824"/>
      <c r="N29" s="824"/>
      <c r="O29" s="824"/>
      <c r="P29" s="824"/>
      <c r="Q29" s="824"/>
      <c r="R29" s="824"/>
      <c r="S29" s="824"/>
      <c r="T29" s="824"/>
      <c r="U29" s="824" t="s">
        <v>727</v>
      </c>
      <c r="V29" s="124" t="s">
        <v>152</v>
      </c>
      <c r="W29" s="124" t="s">
        <v>153</v>
      </c>
      <c r="X29" s="124" t="s">
        <v>728</v>
      </c>
    </row>
    <row r="30" spans="1:24">
      <c r="A30" s="131"/>
      <c r="B30" s="132"/>
      <c r="C30" s="133" t="s">
        <v>817</v>
      </c>
      <c r="D30" s="134"/>
      <c r="E30" s="135"/>
      <c r="F30" s="132"/>
      <c r="G30" s="135"/>
      <c r="H30" s="135"/>
      <c r="I30" s="132"/>
      <c r="J30" s="135"/>
      <c r="K30" s="132"/>
      <c r="L30" s="135"/>
      <c r="M30" s="136"/>
      <c r="N30" s="137"/>
      <c r="O30" s="137"/>
      <c r="P30" s="139"/>
      <c r="Q30" s="139"/>
      <c r="R30" s="139"/>
      <c r="S30" s="139"/>
      <c r="T30" s="139"/>
      <c r="U30" s="140"/>
      <c r="V30" s="140"/>
      <c r="W30" s="140"/>
      <c r="X30" s="140"/>
    </row>
    <row r="31" spans="1:24">
      <c r="A31" s="131">
        <v>6</v>
      </c>
      <c r="B31" s="132"/>
      <c r="C31" s="133" t="s">
        <v>818</v>
      </c>
      <c r="D31" s="134"/>
      <c r="E31" s="135">
        <v>10000000</v>
      </c>
      <c r="F31" s="132">
        <v>1</v>
      </c>
      <c r="G31" s="135">
        <v>10000000</v>
      </c>
      <c r="H31" s="135"/>
      <c r="I31" s="132"/>
      <c r="J31" s="135"/>
      <c r="K31" s="1050"/>
      <c r="L31" s="135">
        <f>SUM(G31:K31)</f>
        <v>10000000</v>
      </c>
      <c r="M31" s="144" t="s">
        <v>887</v>
      </c>
      <c r="N31" s="144" t="s">
        <v>493</v>
      </c>
      <c r="O31" s="144" t="s">
        <v>493</v>
      </c>
      <c r="P31" s="144" t="s">
        <v>19</v>
      </c>
      <c r="Q31" s="139" t="s">
        <v>5</v>
      </c>
      <c r="R31" s="139"/>
      <c r="S31" s="139"/>
      <c r="T31" s="139"/>
      <c r="U31" s="140"/>
      <c r="V31" s="140"/>
      <c r="W31" s="140"/>
      <c r="X31" s="140"/>
    </row>
    <row r="32" spans="1:24" ht="37.5">
      <c r="A32" s="131"/>
      <c r="B32" s="132"/>
      <c r="C32" s="133" t="s">
        <v>1003</v>
      </c>
      <c r="D32" s="134"/>
      <c r="E32" s="135">
        <v>221160</v>
      </c>
      <c r="F32" s="132">
        <v>1</v>
      </c>
      <c r="G32" s="135">
        <v>221160</v>
      </c>
      <c r="H32" s="135"/>
      <c r="I32" s="132"/>
      <c r="J32" s="135"/>
      <c r="K32" s="1050"/>
      <c r="L32" s="135">
        <f>SUM(G32:K32)</f>
        <v>221160</v>
      </c>
      <c r="M32" s="144" t="s">
        <v>891</v>
      </c>
      <c r="N32" s="144" t="s">
        <v>523</v>
      </c>
      <c r="O32" s="144" t="s">
        <v>523</v>
      </c>
      <c r="P32" s="144" t="s">
        <v>19</v>
      </c>
      <c r="Q32" s="139" t="s">
        <v>173</v>
      </c>
      <c r="R32" s="139"/>
      <c r="S32" s="139"/>
      <c r="T32" s="139"/>
      <c r="U32" s="140"/>
      <c r="V32" s="140"/>
      <c r="W32" s="140"/>
      <c r="X32" s="140"/>
    </row>
    <row r="33" spans="1:24">
      <c r="A33" s="131"/>
      <c r="B33" s="132"/>
      <c r="C33" s="133"/>
      <c r="D33" s="134"/>
      <c r="E33" s="135"/>
      <c r="F33" s="132"/>
      <c r="G33" s="135"/>
      <c r="H33" s="135"/>
      <c r="I33" s="132"/>
      <c r="J33" s="135"/>
      <c r="K33" s="1050"/>
      <c r="L33" s="135"/>
      <c r="M33" s="144"/>
      <c r="N33" s="144"/>
      <c r="O33" s="144"/>
      <c r="P33" s="144"/>
      <c r="Q33" s="139"/>
      <c r="R33" s="139"/>
      <c r="S33" s="139"/>
      <c r="T33" s="139"/>
      <c r="U33" s="140"/>
      <c r="V33" s="140"/>
      <c r="W33" s="140"/>
      <c r="X33" s="140"/>
    </row>
    <row r="34" spans="1:24">
      <c r="A34" s="131"/>
      <c r="B34" s="132"/>
      <c r="C34" s="133"/>
      <c r="D34" s="134"/>
      <c r="E34" s="135"/>
      <c r="F34" s="132"/>
      <c r="G34" s="135"/>
      <c r="H34" s="135"/>
      <c r="I34" s="132"/>
      <c r="J34" s="135"/>
      <c r="K34" s="1050"/>
      <c r="L34" s="135"/>
      <c r="M34" s="144"/>
      <c r="N34" s="144"/>
      <c r="O34" s="144"/>
      <c r="P34" s="144"/>
      <c r="Q34" s="139"/>
      <c r="R34" s="139"/>
      <c r="S34" s="139"/>
      <c r="T34" s="139"/>
      <c r="U34" s="140"/>
      <c r="V34" s="140"/>
      <c r="W34" s="140"/>
      <c r="X34" s="140"/>
    </row>
    <row r="35" spans="1:24">
      <c r="A35" s="131"/>
      <c r="B35" s="132"/>
      <c r="C35" s="133"/>
      <c r="D35" s="134"/>
      <c r="E35" s="135"/>
      <c r="F35" s="132"/>
      <c r="G35" s="135"/>
      <c r="H35" s="135"/>
      <c r="I35" s="132"/>
      <c r="J35" s="135"/>
      <c r="K35" s="1050"/>
      <c r="L35" s="135"/>
      <c r="M35" s="144"/>
      <c r="N35" s="144"/>
      <c r="O35" s="144"/>
      <c r="P35" s="144"/>
      <c r="Q35" s="139"/>
      <c r="R35" s="139"/>
      <c r="S35" s="139"/>
      <c r="T35" s="139"/>
      <c r="U35" s="140"/>
      <c r="V35" s="140"/>
      <c r="W35" s="140"/>
      <c r="X35" s="140"/>
    </row>
    <row r="36" spans="1:24">
      <c r="A36" s="1051"/>
      <c r="B36" s="161"/>
      <c r="C36" s="158" t="s">
        <v>1004</v>
      </c>
      <c r="D36" s="1052"/>
      <c r="E36" s="160"/>
      <c r="F36" s="161"/>
      <c r="G36" s="160">
        <f t="shared" ref="G36:L36" si="2">SUM(G31:G35)</f>
        <v>10221160</v>
      </c>
      <c r="H36" s="160">
        <f t="shared" si="2"/>
        <v>0</v>
      </c>
      <c r="I36" s="160">
        <f t="shared" si="2"/>
        <v>0</v>
      </c>
      <c r="J36" s="160">
        <f t="shared" si="2"/>
        <v>0</v>
      </c>
      <c r="K36" s="160">
        <f t="shared" si="2"/>
        <v>0</v>
      </c>
      <c r="L36" s="160">
        <f t="shared" si="2"/>
        <v>10221160</v>
      </c>
      <c r="M36" s="157"/>
      <c r="N36" s="144"/>
      <c r="O36" s="144"/>
      <c r="P36" s="144"/>
      <c r="Q36" s="139"/>
      <c r="R36" s="139"/>
      <c r="S36" s="139"/>
      <c r="T36" s="139"/>
      <c r="U36" s="140"/>
      <c r="V36" s="140"/>
      <c r="W36" s="140"/>
      <c r="X36" s="140"/>
    </row>
    <row r="37" spans="1:24">
      <c r="A37" s="1207" t="s">
        <v>1096</v>
      </c>
      <c r="B37" s="1276"/>
      <c r="C37" s="1276"/>
      <c r="D37" s="1266"/>
      <c r="E37" s="1266"/>
      <c r="F37" s="1266"/>
      <c r="G37" s="1266"/>
      <c r="H37" s="1266"/>
      <c r="I37" s="2"/>
    </row>
    <row r="38" spans="1:24">
      <c r="A38" s="1190" t="s">
        <v>0</v>
      </c>
      <c r="B38" s="1267" t="s">
        <v>1</v>
      </c>
      <c r="C38" s="1268" t="s">
        <v>1102</v>
      </c>
      <c r="D38" s="1268" t="s">
        <v>1098</v>
      </c>
      <c r="E38" s="1269" t="s">
        <v>1099</v>
      </c>
      <c r="F38" s="1269" t="s">
        <v>1152</v>
      </c>
      <c r="G38" s="1269" t="s">
        <v>1105</v>
      </c>
      <c r="H38" s="1269" t="s">
        <v>1106</v>
      </c>
    </row>
    <row r="39" spans="1:24">
      <c r="A39" s="1191"/>
      <c r="B39" s="1270"/>
      <c r="C39" s="1271" t="s">
        <v>2</v>
      </c>
      <c r="D39" s="1271" t="s">
        <v>4</v>
      </c>
      <c r="E39" s="1271" t="s">
        <v>6</v>
      </c>
      <c r="F39" s="1271" t="s">
        <v>6</v>
      </c>
      <c r="G39" s="1271" t="s">
        <v>6</v>
      </c>
      <c r="H39" s="1271" t="s">
        <v>6</v>
      </c>
    </row>
    <row r="40" spans="1:24" ht="93.75">
      <c r="A40" s="1193">
        <v>2561</v>
      </c>
      <c r="B40" s="1272">
        <v>6</v>
      </c>
      <c r="C40" s="1273" t="s">
        <v>1153</v>
      </c>
      <c r="D40" s="1273" t="s">
        <v>1154</v>
      </c>
      <c r="E40" s="1273" t="s">
        <v>1155</v>
      </c>
      <c r="F40" s="1273" t="s">
        <v>1156</v>
      </c>
      <c r="G40" s="1272" t="s">
        <v>1157</v>
      </c>
      <c r="H40" s="1272" t="s">
        <v>1158</v>
      </c>
    </row>
    <row r="41" spans="1:24">
      <c r="A41" s="1205">
        <v>2562</v>
      </c>
      <c r="B41" s="1274"/>
      <c r="C41" s="1275"/>
      <c r="D41" s="1206"/>
      <c r="E41" s="1206"/>
      <c r="F41" s="1206"/>
      <c r="G41" s="1206"/>
      <c r="H41" s="1206"/>
    </row>
    <row r="42" spans="1:24">
      <c r="A42" s="1205">
        <v>2563</v>
      </c>
      <c r="B42" s="1206"/>
      <c r="C42" s="1206"/>
      <c r="D42" s="1206"/>
      <c r="E42" s="1206"/>
      <c r="F42" s="1206"/>
      <c r="G42" s="1206"/>
      <c r="H42" s="1206"/>
    </row>
    <row r="43" spans="1:24">
      <c r="A43" s="1205">
        <v>2564</v>
      </c>
      <c r="B43" s="1206"/>
      <c r="C43" s="1206"/>
      <c r="D43" s="1206"/>
      <c r="E43" s="1206"/>
      <c r="F43" s="1206"/>
      <c r="G43" s="1206"/>
      <c r="H43" s="1206"/>
    </row>
    <row r="44" spans="1:24">
      <c r="A44" s="1205">
        <v>2565</v>
      </c>
      <c r="B44" s="1196"/>
      <c r="C44" s="1196"/>
      <c r="D44" s="1196"/>
      <c r="E44" s="1196"/>
      <c r="F44" s="1196"/>
      <c r="G44" s="1196"/>
      <c r="H44" s="1196"/>
    </row>
    <row r="45" spans="1:24">
      <c r="A45" s="1186" t="s">
        <v>8</v>
      </c>
      <c r="B45" s="1197">
        <f>SUM(B40:B44)</f>
        <v>6</v>
      </c>
      <c r="C45" s="1197"/>
      <c r="D45" s="1197"/>
      <c r="E45" s="1197"/>
      <c r="F45" s="1197"/>
      <c r="G45" s="1197"/>
      <c r="H45" s="1197"/>
    </row>
  </sheetData>
  <mergeCells count="31">
    <mergeCell ref="A26:U26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U28:X28"/>
    <mergeCell ref="L5:L6"/>
    <mergeCell ref="U5:X5"/>
    <mergeCell ref="A11:F11"/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D12:H12"/>
    <mergeCell ref="I12:I13"/>
    <mergeCell ref="I5:I6"/>
    <mergeCell ref="J5:J6"/>
    <mergeCell ref="K5:K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"/>
  <sheetViews>
    <sheetView tabSelected="1" workbookViewId="0">
      <selection activeCell="AG7" sqref="AG7"/>
    </sheetView>
  </sheetViews>
  <sheetFormatPr defaultColWidth="9" defaultRowHeight="18.75"/>
  <cols>
    <col min="1" max="1" width="5.75" style="4" customWidth="1"/>
    <col min="2" max="2" width="11.25" style="2" customWidth="1"/>
    <col min="3" max="4" width="2.125" style="2" customWidth="1"/>
    <col min="5" max="6" width="2.625" style="2" customWidth="1"/>
    <col min="7" max="11" width="2.125" style="2" customWidth="1"/>
    <col min="12" max="13" width="2.75" style="2" customWidth="1"/>
    <col min="14" max="18" width="2.125" style="2" customWidth="1"/>
    <col min="19" max="20" width="2.75" style="2" customWidth="1"/>
    <col min="21" max="25" width="2.125" style="2" customWidth="1"/>
    <col min="26" max="27" width="2.75" style="2" customWidth="1"/>
    <col min="28" max="30" width="2.125" style="2" customWidth="1"/>
    <col min="31" max="31" width="2.625" style="2" customWidth="1"/>
    <col min="32" max="32" width="3" style="2" customWidth="1"/>
    <col min="33" max="34" width="2.875" style="2" customWidth="1"/>
    <col min="35" max="35" width="2.75" style="2" customWidth="1"/>
    <col min="36" max="36" width="2.875" style="2" customWidth="1"/>
    <col min="37" max="38" width="3.125" style="2" customWidth="1"/>
    <col min="39" max="39" width="2.125" style="2" customWidth="1"/>
    <col min="40" max="41" width="2.5" style="2" customWidth="1"/>
    <col min="42" max="46" width="2.125" style="2" customWidth="1"/>
    <col min="47" max="48" width="2.375" style="2" customWidth="1"/>
    <col min="49" max="53" width="2.125" style="2" customWidth="1"/>
    <col min="54" max="55" width="2.75" style="2" customWidth="1"/>
    <col min="56" max="58" width="2.125" style="2" customWidth="1"/>
    <col min="59" max="59" width="4.375" style="2" customWidth="1"/>
    <col min="60" max="64" width="2.625" style="2" customWidth="1"/>
    <col min="65" max="73" width="2.75" style="2" customWidth="1"/>
    <col min="74" max="74" width="3.375" style="2" customWidth="1"/>
    <col min="75" max="16384" width="9" style="2"/>
  </cols>
  <sheetData>
    <row r="1" spans="1:59" ht="36.75" customHeight="1">
      <c r="A1" s="6" t="s">
        <v>14</v>
      </c>
      <c r="B1" s="1"/>
    </row>
    <row r="2" spans="1:59" ht="36.75" customHeight="1">
      <c r="A2" s="7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59" ht="19.5" customHeight="1"/>
    <row r="4" spans="1:59" s="3" customFormat="1" ht="36.75" customHeight="1">
      <c r="A4" s="15" t="s">
        <v>0</v>
      </c>
      <c r="B4" s="465" t="s">
        <v>1</v>
      </c>
      <c r="C4" s="1340" t="s">
        <v>17</v>
      </c>
      <c r="D4" s="1340"/>
      <c r="E4" s="1340"/>
      <c r="F4" s="1340"/>
      <c r="G4" s="1340"/>
      <c r="H4" s="1340"/>
      <c r="I4" s="1340"/>
      <c r="J4" s="1340" t="s">
        <v>18</v>
      </c>
      <c r="K4" s="1340"/>
      <c r="L4" s="1340"/>
      <c r="M4" s="1340"/>
      <c r="N4" s="1340"/>
      <c r="O4" s="1340"/>
      <c r="P4" s="1340"/>
      <c r="Q4" s="1340" t="s">
        <v>19</v>
      </c>
      <c r="R4" s="1340"/>
      <c r="S4" s="1340"/>
      <c r="T4" s="1340"/>
      <c r="U4" s="1340"/>
      <c r="V4" s="1340"/>
      <c r="W4" s="1340"/>
      <c r="X4" s="1340" t="s">
        <v>20</v>
      </c>
      <c r="Y4" s="1340"/>
      <c r="Z4" s="1340"/>
      <c r="AA4" s="1340"/>
      <c r="AB4" s="1340"/>
      <c r="AC4" s="1340"/>
      <c r="AD4" s="1340"/>
      <c r="AE4" s="1340" t="s">
        <v>21</v>
      </c>
      <c r="AF4" s="1340"/>
      <c r="AG4" s="1340"/>
      <c r="AH4" s="1340"/>
      <c r="AI4" s="1340"/>
      <c r="AJ4" s="1340"/>
      <c r="AK4" s="1340"/>
      <c r="AL4" s="1340" t="s">
        <v>22</v>
      </c>
      <c r="AM4" s="1340"/>
      <c r="AN4" s="1340"/>
      <c r="AO4" s="1340"/>
      <c r="AP4" s="1340"/>
      <c r="AQ4" s="1340"/>
      <c r="AR4" s="1340"/>
      <c r="AS4" s="1340" t="s">
        <v>23</v>
      </c>
      <c r="AT4" s="1340"/>
      <c r="AU4" s="1340"/>
      <c r="AV4" s="1340"/>
      <c r="AW4" s="1340"/>
      <c r="AX4" s="1340"/>
      <c r="AY4" s="1340"/>
      <c r="AZ4" s="1340" t="s">
        <v>24</v>
      </c>
      <c r="BA4" s="1340"/>
      <c r="BB4" s="1340"/>
      <c r="BC4" s="1340"/>
      <c r="BD4" s="1340"/>
      <c r="BE4" s="1340"/>
      <c r="BF4" s="1340"/>
      <c r="BG4" s="1341" t="s">
        <v>8</v>
      </c>
    </row>
    <row r="5" spans="1:59" s="3" customFormat="1" ht="36.75" customHeight="1">
      <c r="A5" s="33"/>
      <c r="B5" s="33" t="s">
        <v>16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10</v>
      </c>
      <c r="I5" s="35" t="s">
        <v>11</v>
      </c>
      <c r="J5" s="35" t="s">
        <v>2</v>
      </c>
      <c r="K5" s="35" t="s">
        <v>3</v>
      </c>
      <c r="L5" s="35" t="s">
        <v>4</v>
      </c>
      <c r="M5" s="35" t="s">
        <v>5</v>
      </c>
      <c r="N5" s="35" t="s">
        <v>6</v>
      </c>
      <c r="O5" s="35" t="s">
        <v>10</v>
      </c>
      <c r="P5" s="35" t="s">
        <v>11</v>
      </c>
      <c r="Q5" s="35" t="s">
        <v>2</v>
      </c>
      <c r="R5" s="35" t="s">
        <v>3</v>
      </c>
      <c r="S5" s="35" t="s">
        <v>4</v>
      </c>
      <c r="T5" s="35" t="s">
        <v>5</v>
      </c>
      <c r="U5" s="35" t="s">
        <v>6</v>
      </c>
      <c r="V5" s="35" t="s">
        <v>10</v>
      </c>
      <c r="W5" s="35" t="s">
        <v>11</v>
      </c>
      <c r="X5" s="35" t="s">
        <v>2</v>
      </c>
      <c r="Y5" s="35" t="s">
        <v>3</v>
      </c>
      <c r="Z5" s="35" t="s">
        <v>4</v>
      </c>
      <c r="AA5" s="35" t="s">
        <v>5</v>
      </c>
      <c r="AB5" s="35" t="s">
        <v>6</v>
      </c>
      <c r="AC5" s="35" t="s">
        <v>10</v>
      </c>
      <c r="AD5" s="35" t="s">
        <v>11</v>
      </c>
      <c r="AE5" s="35" t="s">
        <v>2</v>
      </c>
      <c r="AF5" s="35" t="s">
        <v>3</v>
      </c>
      <c r="AG5" s="35" t="s">
        <v>4</v>
      </c>
      <c r="AH5" s="35" t="s">
        <v>5</v>
      </c>
      <c r="AI5" s="35" t="s">
        <v>6</v>
      </c>
      <c r="AJ5" s="35" t="s">
        <v>10</v>
      </c>
      <c r="AK5" s="35" t="s">
        <v>11</v>
      </c>
      <c r="AL5" s="35" t="s">
        <v>2</v>
      </c>
      <c r="AM5" s="35" t="s">
        <v>3</v>
      </c>
      <c r="AN5" s="35" t="s">
        <v>4</v>
      </c>
      <c r="AO5" s="35" t="s">
        <v>5</v>
      </c>
      <c r="AP5" s="35" t="s">
        <v>6</v>
      </c>
      <c r="AQ5" s="35" t="s">
        <v>10</v>
      </c>
      <c r="AR5" s="35" t="s">
        <v>11</v>
      </c>
      <c r="AS5" s="35" t="s">
        <v>2</v>
      </c>
      <c r="AT5" s="35" t="s">
        <v>3</v>
      </c>
      <c r="AU5" s="35" t="s">
        <v>4</v>
      </c>
      <c r="AV5" s="35" t="s">
        <v>5</v>
      </c>
      <c r="AW5" s="35" t="s">
        <v>6</v>
      </c>
      <c r="AX5" s="35" t="s">
        <v>10</v>
      </c>
      <c r="AY5" s="35" t="s">
        <v>11</v>
      </c>
      <c r="AZ5" s="35" t="s">
        <v>2</v>
      </c>
      <c r="BA5" s="35" t="s">
        <v>3</v>
      </c>
      <c r="BB5" s="35" t="s">
        <v>4</v>
      </c>
      <c r="BC5" s="35" t="s">
        <v>5</v>
      </c>
      <c r="BD5" s="35" t="s">
        <v>6</v>
      </c>
      <c r="BE5" s="35" t="s">
        <v>10</v>
      </c>
      <c r="BF5" s="35" t="s">
        <v>11</v>
      </c>
      <c r="BG5" s="1437"/>
    </row>
    <row r="6" spans="1:59" s="8" customFormat="1" ht="40.5" customHeight="1">
      <c r="A6" s="20">
        <v>2561</v>
      </c>
      <c r="B6" s="467">
        <f>SUM(C6:BF6)</f>
        <v>49441000</v>
      </c>
      <c r="C6" s="265">
        <v>0</v>
      </c>
      <c r="D6" s="265">
        <v>0</v>
      </c>
      <c r="E6" s="265">
        <v>0</v>
      </c>
      <c r="F6" s="265">
        <v>0</v>
      </c>
      <c r="G6" s="262">
        <v>1700000</v>
      </c>
      <c r="H6" s="265">
        <v>0</v>
      </c>
      <c r="I6" s="265">
        <v>0</v>
      </c>
      <c r="J6" s="265">
        <v>0</v>
      </c>
      <c r="K6" s="265">
        <v>0</v>
      </c>
      <c r="L6" s="265">
        <v>0</v>
      </c>
      <c r="M6" s="265">
        <v>0</v>
      </c>
      <c r="N6" s="262">
        <v>13156000</v>
      </c>
      <c r="O6" s="265">
        <v>0</v>
      </c>
      <c r="P6" s="265">
        <v>0</v>
      </c>
      <c r="Q6" s="265">
        <v>0</v>
      </c>
      <c r="R6" s="265">
        <v>0</v>
      </c>
      <c r="S6" s="265">
        <v>0</v>
      </c>
      <c r="T6" s="262">
        <v>2200000</v>
      </c>
      <c r="U6" s="262">
        <v>1700000</v>
      </c>
      <c r="V6" s="265">
        <v>0</v>
      </c>
      <c r="W6" s="265">
        <v>0</v>
      </c>
      <c r="X6" s="486">
        <v>3550000</v>
      </c>
      <c r="Y6" s="487">
        <v>0</v>
      </c>
      <c r="Z6" s="486">
        <v>5550000</v>
      </c>
      <c r="AA6" s="487">
        <v>0</v>
      </c>
      <c r="AB6" s="487">
        <v>0</v>
      </c>
      <c r="AC6" s="487">
        <v>0</v>
      </c>
      <c r="AD6" s="487">
        <v>0</v>
      </c>
      <c r="AE6" s="228">
        <v>0</v>
      </c>
      <c r="AF6" s="228">
        <v>0</v>
      </c>
      <c r="AG6" s="228">
        <v>0</v>
      </c>
      <c r="AH6" s="228">
        <v>0</v>
      </c>
      <c r="AI6" s="229">
        <v>5485000</v>
      </c>
      <c r="AJ6" s="228">
        <v>0</v>
      </c>
      <c r="AK6" s="228">
        <v>0</v>
      </c>
      <c r="AL6" s="265">
        <v>0</v>
      </c>
      <c r="AM6" s="265">
        <v>0</v>
      </c>
      <c r="AN6" s="265">
        <v>0</v>
      </c>
      <c r="AO6" s="265">
        <v>0</v>
      </c>
      <c r="AP6" s="229">
        <v>3000000</v>
      </c>
      <c r="AQ6" s="265">
        <v>0</v>
      </c>
      <c r="AR6" s="265">
        <v>0</v>
      </c>
      <c r="AS6" s="487">
        <v>0</v>
      </c>
      <c r="AT6" s="487">
        <v>0</v>
      </c>
      <c r="AU6" s="487">
        <v>0</v>
      </c>
      <c r="AV6" s="487">
        <v>0</v>
      </c>
      <c r="AW6" s="490">
        <v>4430000</v>
      </c>
      <c r="AX6" s="490">
        <v>1720000</v>
      </c>
      <c r="AY6" s="487">
        <v>0</v>
      </c>
      <c r="AZ6" s="265">
        <v>0</v>
      </c>
      <c r="BA6" s="229">
        <v>3550000</v>
      </c>
      <c r="BB6" s="265">
        <v>0</v>
      </c>
      <c r="BC6" s="265">
        <v>0</v>
      </c>
      <c r="BD6" s="229">
        <v>3400000</v>
      </c>
      <c r="BE6" s="265">
        <v>0</v>
      </c>
      <c r="BF6" s="265">
        <v>0</v>
      </c>
      <c r="BG6" s="10"/>
    </row>
    <row r="7" spans="1:59" s="8" customFormat="1" ht="40.5" customHeight="1">
      <c r="A7" s="21">
        <v>2562</v>
      </c>
      <c r="B7" s="467">
        <f t="shared" ref="B7:B10" si="0">SUM(C7:BF7)</f>
        <v>26822000</v>
      </c>
      <c r="C7" s="265">
        <v>0</v>
      </c>
      <c r="D7" s="265">
        <v>0</v>
      </c>
      <c r="E7" s="265">
        <v>0</v>
      </c>
      <c r="F7" s="265">
        <v>0</v>
      </c>
      <c r="G7" s="262">
        <v>872000</v>
      </c>
      <c r="H7" s="265">
        <v>0</v>
      </c>
      <c r="I7" s="265">
        <v>0</v>
      </c>
      <c r="J7" s="265">
        <v>0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0</v>
      </c>
      <c r="Q7" s="265">
        <v>0</v>
      </c>
      <c r="R7" s="265">
        <v>0</v>
      </c>
      <c r="S7" s="265">
        <v>0</v>
      </c>
      <c r="T7" s="262">
        <v>2500000</v>
      </c>
      <c r="U7" s="265">
        <v>0</v>
      </c>
      <c r="V7" s="265">
        <v>0</v>
      </c>
      <c r="W7" s="265">
        <v>0</v>
      </c>
      <c r="X7" s="488">
        <v>12000000</v>
      </c>
      <c r="Y7" s="487">
        <v>0</v>
      </c>
      <c r="Z7" s="487">
        <v>0</v>
      </c>
      <c r="AA7" s="487">
        <v>0</v>
      </c>
      <c r="AB7" s="486">
        <v>3550000</v>
      </c>
      <c r="AC7" s="487">
        <v>0</v>
      </c>
      <c r="AD7" s="487">
        <v>0</v>
      </c>
      <c r="AE7" s="265">
        <v>0</v>
      </c>
      <c r="AF7" s="265">
        <v>0</v>
      </c>
      <c r="AG7" s="228">
        <v>0</v>
      </c>
      <c r="AH7" s="228">
        <v>0</v>
      </c>
      <c r="AI7" s="230">
        <v>3000000</v>
      </c>
      <c r="AJ7" s="228">
        <v>0</v>
      </c>
      <c r="AK7" s="228">
        <v>0</v>
      </c>
      <c r="AL7" s="265">
        <v>0</v>
      </c>
      <c r="AM7" s="265">
        <v>0</v>
      </c>
      <c r="AN7" s="265">
        <v>0</v>
      </c>
      <c r="AO7" s="265">
        <v>0</v>
      </c>
      <c r="AP7" s="265">
        <v>0</v>
      </c>
      <c r="AQ7" s="265">
        <v>0</v>
      </c>
      <c r="AR7" s="265">
        <v>0</v>
      </c>
      <c r="AS7" s="487">
        <v>0</v>
      </c>
      <c r="AT7" s="487">
        <v>0</v>
      </c>
      <c r="AU7" s="487">
        <v>0</v>
      </c>
      <c r="AV7" s="487">
        <v>0</v>
      </c>
      <c r="AW7" s="490">
        <v>3200000</v>
      </c>
      <c r="AX7" s="487">
        <v>0</v>
      </c>
      <c r="AY7" s="487">
        <v>0</v>
      </c>
      <c r="AZ7" s="265">
        <v>0</v>
      </c>
      <c r="BA7" s="265">
        <v>0</v>
      </c>
      <c r="BB7" s="265">
        <v>0</v>
      </c>
      <c r="BC7" s="265">
        <v>0</v>
      </c>
      <c r="BD7" s="229">
        <v>1700000</v>
      </c>
      <c r="BE7" s="265">
        <v>0</v>
      </c>
      <c r="BF7" s="265">
        <v>0</v>
      </c>
      <c r="BG7" s="10"/>
    </row>
    <row r="8" spans="1:59" s="8" customFormat="1" ht="40.5" customHeight="1">
      <c r="A8" s="21">
        <v>2563</v>
      </c>
      <c r="B8" s="467">
        <f t="shared" si="0"/>
        <v>6950000</v>
      </c>
      <c r="C8" s="265">
        <v>0</v>
      </c>
      <c r="D8" s="265">
        <v>0</v>
      </c>
      <c r="E8" s="265">
        <v>0</v>
      </c>
      <c r="F8" s="265">
        <v>0</v>
      </c>
      <c r="G8" s="262">
        <v>1700000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0</v>
      </c>
      <c r="Q8" s="265">
        <v>0</v>
      </c>
      <c r="R8" s="265">
        <v>0</v>
      </c>
      <c r="S8" s="265">
        <v>0</v>
      </c>
      <c r="T8" s="262">
        <v>3550000</v>
      </c>
      <c r="U8" s="265">
        <v>0</v>
      </c>
      <c r="V8" s="265">
        <v>0</v>
      </c>
      <c r="W8" s="265">
        <v>0</v>
      </c>
      <c r="X8" s="487">
        <v>0</v>
      </c>
      <c r="Y8" s="487">
        <v>0</v>
      </c>
      <c r="Z8" s="487">
        <v>0</v>
      </c>
      <c r="AA8" s="487">
        <v>0</v>
      </c>
      <c r="AB8" s="487">
        <v>0</v>
      </c>
      <c r="AC8" s="487">
        <v>0</v>
      </c>
      <c r="AD8" s="487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228">
        <v>0</v>
      </c>
      <c r="AL8" s="265">
        <v>0</v>
      </c>
      <c r="AM8" s="265">
        <v>0</v>
      </c>
      <c r="AN8" s="265">
        <v>0</v>
      </c>
      <c r="AO8" s="265">
        <v>0</v>
      </c>
      <c r="AP8" s="265">
        <v>0</v>
      </c>
      <c r="AQ8" s="265">
        <v>0</v>
      </c>
      <c r="AR8" s="265">
        <v>0</v>
      </c>
      <c r="AS8" s="487">
        <v>0</v>
      </c>
      <c r="AT8" s="487">
        <v>0</v>
      </c>
      <c r="AU8" s="487">
        <v>0</v>
      </c>
      <c r="AV8" s="487">
        <v>0</v>
      </c>
      <c r="AW8" s="487">
        <v>0</v>
      </c>
      <c r="AX8" s="487">
        <v>0</v>
      </c>
      <c r="AY8" s="487">
        <v>0</v>
      </c>
      <c r="AZ8" s="265">
        <v>0</v>
      </c>
      <c r="BA8" s="265">
        <v>0</v>
      </c>
      <c r="BB8" s="265">
        <v>0</v>
      </c>
      <c r="BC8" s="265">
        <v>0</v>
      </c>
      <c r="BD8" s="229">
        <v>1700000</v>
      </c>
      <c r="BE8" s="265">
        <v>0</v>
      </c>
      <c r="BF8" s="265">
        <v>0</v>
      </c>
      <c r="BG8" s="10"/>
    </row>
    <row r="9" spans="1:59" s="8" customFormat="1" ht="40.5" customHeight="1">
      <c r="A9" s="21">
        <v>2564</v>
      </c>
      <c r="B9" s="467">
        <f t="shared" si="0"/>
        <v>5250000</v>
      </c>
      <c r="C9" s="265">
        <v>0</v>
      </c>
      <c r="D9" s="265">
        <v>0</v>
      </c>
      <c r="E9" s="265">
        <v>0</v>
      </c>
      <c r="F9" s="265">
        <v>0</v>
      </c>
      <c r="G9" s="262">
        <v>1700000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0</v>
      </c>
      <c r="X9" s="487">
        <v>0</v>
      </c>
      <c r="Y9" s="487">
        <v>0</v>
      </c>
      <c r="Z9" s="487">
        <v>0</v>
      </c>
      <c r="AA9" s="487">
        <v>0</v>
      </c>
      <c r="AB9" s="486">
        <v>3550000</v>
      </c>
      <c r="AC9" s="487">
        <v>0</v>
      </c>
      <c r="AD9" s="487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228">
        <v>0</v>
      </c>
      <c r="AL9" s="265">
        <v>0</v>
      </c>
      <c r="AM9" s="265">
        <v>0</v>
      </c>
      <c r="AN9" s="265">
        <v>0</v>
      </c>
      <c r="AO9" s="265">
        <v>0</v>
      </c>
      <c r="AP9" s="265">
        <v>0</v>
      </c>
      <c r="AQ9" s="265">
        <v>0</v>
      </c>
      <c r="AR9" s="265">
        <v>0</v>
      </c>
      <c r="AS9" s="487">
        <v>0</v>
      </c>
      <c r="AT9" s="487">
        <v>0</v>
      </c>
      <c r="AU9" s="487">
        <v>0</v>
      </c>
      <c r="AV9" s="487">
        <v>0</v>
      </c>
      <c r="AW9" s="487">
        <v>0</v>
      </c>
      <c r="AX9" s="487">
        <v>0</v>
      </c>
      <c r="AY9" s="487">
        <v>0</v>
      </c>
      <c r="AZ9" s="265">
        <v>0</v>
      </c>
      <c r="BA9" s="265">
        <v>0</v>
      </c>
      <c r="BB9" s="265">
        <v>0</v>
      </c>
      <c r="BC9" s="265">
        <v>0</v>
      </c>
      <c r="BD9" s="265">
        <v>0</v>
      </c>
      <c r="BE9" s="265">
        <v>0</v>
      </c>
      <c r="BF9" s="265">
        <v>0</v>
      </c>
      <c r="BG9" s="10"/>
    </row>
    <row r="10" spans="1:59" s="8" customFormat="1" ht="40.5" customHeight="1">
      <c r="A10" s="24">
        <v>2565</v>
      </c>
      <c r="B10" s="467">
        <f t="shared" si="0"/>
        <v>0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487">
        <v>0</v>
      </c>
      <c r="Y10" s="487">
        <v>0</v>
      </c>
      <c r="Z10" s="487">
        <v>0</v>
      </c>
      <c r="AA10" s="487">
        <v>0</v>
      </c>
      <c r="AB10" s="487">
        <v>0</v>
      </c>
      <c r="AC10" s="487">
        <v>0</v>
      </c>
      <c r="AD10" s="487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5">
        <v>0</v>
      </c>
      <c r="AM10" s="265">
        <v>0</v>
      </c>
      <c r="AN10" s="265">
        <v>0</v>
      </c>
      <c r="AO10" s="265">
        <v>0</v>
      </c>
      <c r="AP10" s="265">
        <v>0</v>
      </c>
      <c r="AQ10" s="265">
        <v>0</v>
      </c>
      <c r="AR10" s="265">
        <v>0</v>
      </c>
      <c r="AS10" s="487">
        <v>0</v>
      </c>
      <c r="AT10" s="487">
        <v>0</v>
      </c>
      <c r="AU10" s="487">
        <v>0</v>
      </c>
      <c r="AV10" s="487">
        <v>0</v>
      </c>
      <c r="AW10" s="487">
        <v>0</v>
      </c>
      <c r="AX10" s="487">
        <v>0</v>
      </c>
      <c r="AY10" s="487">
        <v>0</v>
      </c>
      <c r="AZ10" s="265">
        <v>0</v>
      </c>
      <c r="BA10" s="265">
        <v>0</v>
      </c>
      <c r="BB10" s="265">
        <v>0</v>
      </c>
      <c r="BC10" s="265">
        <v>0</v>
      </c>
      <c r="BD10" s="265">
        <v>0</v>
      </c>
      <c r="BE10" s="265">
        <v>0</v>
      </c>
      <c r="BF10" s="265">
        <v>0</v>
      </c>
      <c r="BG10" s="11"/>
    </row>
    <row r="11" spans="1:59" s="8" customFormat="1" ht="57.95" customHeight="1">
      <c r="A11" s="38" t="s">
        <v>8</v>
      </c>
      <c r="B11" s="467">
        <f>SUM(B6:B10)</f>
        <v>88463000</v>
      </c>
      <c r="C11" s="265">
        <v>0</v>
      </c>
      <c r="D11" s="265">
        <v>0</v>
      </c>
      <c r="E11" s="265">
        <v>0</v>
      </c>
      <c r="F11" s="265">
        <v>0</v>
      </c>
      <c r="G11" s="231">
        <f>SUM(G6:G10)</f>
        <v>5972000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f t="shared" ref="Q11:W11" si="1">SUM(Q6:Q10)</f>
        <v>0</v>
      </c>
      <c r="R11" s="265">
        <f t="shared" si="1"/>
        <v>0</v>
      </c>
      <c r="S11" s="265">
        <f t="shared" si="1"/>
        <v>0</v>
      </c>
      <c r="T11" s="231">
        <f t="shared" si="1"/>
        <v>8250000</v>
      </c>
      <c r="U11" s="231">
        <f t="shared" si="1"/>
        <v>1700000</v>
      </c>
      <c r="V11" s="265">
        <f t="shared" si="1"/>
        <v>0</v>
      </c>
      <c r="W11" s="265">
        <f t="shared" si="1"/>
        <v>0</v>
      </c>
      <c r="X11" s="489">
        <f t="shared" ref="X11:AD11" si="2">SUM(X6:X10)</f>
        <v>15550000</v>
      </c>
      <c r="Y11" s="487">
        <f t="shared" si="2"/>
        <v>0</v>
      </c>
      <c r="Z11" s="489">
        <f t="shared" si="2"/>
        <v>5550000</v>
      </c>
      <c r="AA11" s="487">
        <f t="shared" si="2"/>
        <v>0</v>
      </c>
      <c r="AB11" s="489">
        <f t="shared" si="2"/>
        <v>7100000</v>
      </c>
      <c r="AC11" s="487">
        <f t="shared" si="2"/>
        <v>0</v>
      </c>
      <c r="AD11" s="487">
        <f t="shared" si="2"/>
        <v>0</v>
      </c>
      <c r="AE11" s="228">
        <v>0</v>
      </c>
      <c r="AF11" s="228">
        <v>0</v>
      </c>
      <c r="AG11" s="228">
        <v>0</v>
      </c>
      <c r="AH11" s="228">
        <v>0</v>
      </c>
      <c r="AI11" s="231">
        <v>8485000</v>
      </c>
      <c r="AJ11" s="228">
        <v>0</v>
      </c>
      <c r="AK11" s="228">
        <v>0</v>
      </c>
      <c r="AL11" s="265">
        <v>0</v>
      </c>
      <c r="AM11" s="265">
        <v>0</v>
      </c>
      <c r="AN11" s="265">
        <v>0</v>
      </c>
      <c r="AO11" s="265">
        <v>0</v>
      </c>
      <c r="AP11" s="265">
        <v>0</v>
      </c>
      <c r="AQ11" s="265">
        <v>0</v>
      </c>
      <c r="AR11" s="265">
        <v>0</v>
      </c>
      <c r="AS11" s="487">
        <v>0</v>
      </c>
      <c r="AT11" s="487">
        <v>0</v>
      </c>
      <c r="AU11" s="487">
        <v>0</v>
      </c>
      <c r="AV11" s="487">
        <v>0</v>
      </c>
      <c r="AW11" s="491">
        <f>SUM(AW6:AW10)</f>
        <v>7630000</v>
      </c>
      <c r="AX11" s="491">
        <f>SUM(AX6:AX10)</f>
        <v>1720000</v>
      </c>
      <c r="AY11" s="487">
        <v>0</v>
      </c>
      <c r="AZ11" s="265">
        <v>0</v>
      </c>
      <c r="BA11" s="265">
        <v>0</v>
      </c>
      <c r="BB11" s="265">
        <v>0</v>
      </c>
      <c r="BC11" s="265">
        <v>0</v>
      </c>
      <c r="BD11" s="265">
        <v>0</v>
      </c>
      <c r="BE11" s="265">
        <v>0</v>
      </c>
      <c r="BF11" s="265">
        <v>0</v>
      </c>
      <c r="BG11" s="13"/>
    </row>
    <row r="12" spans="1:59">
      <c r="Q12" s="492">
        <f>SUM(Q6:Q11)</f>
        <v>0</v>
      </c>
      <c r="R12" s="492"/>
      <c r="S12" s="492"/>
      <c r="T12" s="493"/>
      <c r="U12" s="493"/>
      <c r="V12" s="492"/>
      <c r="W12" s="492"/>
    </row>
  </sheetData>
  <mergeCells count="9">
    <mergeCell ref="AL4:AR4"/>
    <mergeCell ref="AS4:AY4"/>
    <mergeCell ref="AZ4:BF4"/>
    <mergeCell ref="BG4:BG5"/>
    <mergeCell ref="C4:I4"/>
    <mergeCell ref="J4:P4"/>
    <mergeCell ref="Q4:W4"/>
    <mergeCell ref="X4:AD4"/>
    <mergeCell ref="AE4:AK4"/>
  </mergeCells>
  <pageMargins left="0.25" right="0.25" top="0.75" bottom="0.7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6"/>
  <sheetViews>
    <sheetView topLeftCell="A13" workbookViewId="0">
      <selection activeCell="B38" sqref="B38"/>
    </sheetView>
  </sheetViews>
  <sheetFormatPr defaultColWidth="7" defaultRowHeight="18.75"/>
  <cols>
    <col min="1" max="1" width="8.375" style="115" customWidth="1"/>
    <col min="2" max="2" width="6" style="210" customWidth="1"/>
    <col min="3" max="3" width="25.125" style="115" customWidth="1"/>
    <col min="4" max="4" width="11.75" style="211" customWidth="1"/>
    <col min="5" max="5" width="7" style="183" bestFit="1" customWidth="1"/>
    <col min="6" max="10" width="8.75" style="183" bestFit="1" customWidth="1"/>
    <col min="11" max="11" width="10.5" style="212" bestFit="1" customWidth="1"/>
    <col min="12" max="12" width="10.375" style="213" bestFit="1" customWidth="1"/>
    <col min="13" max="13" width="8.5" style="213" bestFit="1" customWidth="1"/>
    <col min="14" max="14" width="8.75" style="210" customWidth="1"/>
    <col min="15" max="15" width="6.5" style="210" customWidth="1"/>
    <col min="16" max="16" width="8.625" style="210" customWidth="1"/>
    <col min="17" max="17" width="12.875" style="210" customWidth="1"/>
    <col min="18" max="18" width="13.25" style="186" hidden="1" customWidth="1"/>
    <col min="19" max="19" width="13" style="186" hidden="1" customWidth="1"/>
    <col min="20" max="20" width="10" style="186" hidden="1" customWidth="1"/>
    <col min="21" max="21" width="17.5" style="186" hidden="1" customWidth="1"/>
    <col min="22" max="38" width="7" style="115"/>
    <col min="39" max="39" width="10.375" style="115" customWidth="1"/>
    <col min="40" max="259" width="7" style="115"/>
    <col min="260" max="260" width="4" style="115" bestFit="1" customWidth="1"/>
    <col min="261" max="261" width="4.625" style="115" bestFit="1" customWidth="1"/>
    <col min="262" max="262" width="25.125" style="115" customWidth="1"/>
    <col min="263" max="263" width="11.75" style="115" customWidth="1"/>
    <col min="264" max="264" width="7" style="115" bestFit="1" customWidth="1"/>
    <col min="265" max="265" width="9.125" style="115" customWidth="1"/>
    <col min="266" max="266" width="10" style="115" bestFit="1" customWidth="1"/>
    <col min="267" max="267" width="10.375" style="115" bestFit="1" customWidth="1"/>
    <col min="268" max="268" width="8.5" style="115" bestFit="1" customWidth="1"/>
    <col min="269" max="269" width="7.5" style="115" customWidth="1"/>
    <col min="270" max="270" width="6.5" style="115" customWidth="1"/>
    <col min="271" max="271" width="8.625" style="115" customWidth="1"/>
    <col min="272" max="272" width="12.875" style="115" customWidth="1"/>
    <col min="273" max="273" width="13.25" style="115" customWidth="1"/>
    <col min="274" max="274" width="13" style="115" bestFit="1" customWidth="1"/>
    <col min="275" max="275" width="10" style="115" bestFit="1" customWidth="1"/>
    <col min="276" max="276" width="17.5" style="115" bestFit="1" customWidth="1"/>
    <col min="277" max="515" width="7" style="115"/>
    <col min="516" max="516" width="4" style="115" bestFit="1" customWidth="1"/>
    <col min="517" max="517" width="4.625" style="115" bestFit="1" customWidth="1"/>
    <col min="518" max="518" width="25.125" style="115" customWidth="1"/>
    <col min="519" max="519" width="11.75" style="115" customWidth="1"/>
    <col min="520" max="520" width="7" style="115" bestFit="1" customWidth="1"/>
    <col min="521" max="521" width="9.125" style="115" customWidth="1"/>
    <col min="522" max="522" width="10" style="115" bestFit="1" customWidth="1"/>
    <col min="523" max="523" width="10.375" style="115" bestFit="1" customWidth="1"/>
    <col min="524" max="524" width="8.5" style="115" bestFit="1" customWidth="1"/>
    <col min="525" max="525" width="7.5" style="115" customWidth="1"/>
    <col min="526" max="526" width="6.5" style="115" customWidth="1"/>
    <col min="527" max="527" width="8.625" style="115" customWidth="1"/>
    <col min="528" max="528" width="12.875" style="115" customWidth="1"/>
    <col min="529" max="529" width="13.25" style="115" customWidth="1"/>
    <col min="530" max="530" width="13" style="115" bestFit="1" customWidth="1"/>
    <col min="531" max="531" width="10" style="115" bestFit="1" customWidth="1"/>
    <col min="532" max="532" width="17.5" style="115" bestFit="1" customWidth="1"/>
    <col min="533" max="771" width="7" style="115"/>
    <col min="772" max="772" width="4" style="115" bestFit="1" customWidth="1"/>
    <col min="773" max="773" width="4.625" style="115" bestFit="1" customWidth="1"/>
    <col min="774" max="774" width="25.125" style="115" customWidth="1"/>
    <col min="775" max="775" width="11.75" style="115" customWidth="1"/>
    <col min="776" max="776" width="7" style="115" bestFit="1" customWidth="1"/>
    <col min="777" max="777" width="9.125" style="115" customWidth="1"/>
    <col min="778" max="778" width="10" style="115" bestFit="1" customWidth="1"/>
    <col min="779" max="779" width="10.375" style="115" bestFit="1" customWidth="1"/>
    <col min="780" max="780" width="8.5" style="115" bestFit="1" customWidth="1"/>
    <col min="781" max="781" width="7.5" style="115" customWidth="1"/>
    <col min="782" max="782" width="6.5" style="115" customWidth="1"/>
    <col min="783" max="783" width="8.625" style="115" customWidth="1"/>
    <col min="784" max="784" width="12.875" style="115" customWidth="1"/>
    <col min="785" max="785" width="13.25" style="115" customWidth="1"/>
    <col min="786" max="786" width="13" style="115" bestFit="1" customWidth="1"/>
    <col min="787" max="787" width="10" style="115" bestFit="1" customWidth="1"/>
    <col min="788" max="788" width="17.5" style="115" bestFit="1" customWidth="1"/>
    <col min="789" max="1027" width="7" style="115"/>
    <col min="1028" max="1028" width="4" style="115" bestFit="1" customWidth="1"/>
    <col min="1029" max="1029" width="4.625" style="115" bestFit="1" customWidth="1"/>
    <col min="1030" max="1030" width="25.125" style="115" customWidth="1"/>
    <col min="1031" max="1031" width="11.75" style="115" customWidth="1"/>
    <col min="1032" max="1032" width="7" style="115" bestFit="1" customWidth="1"/>
    <col min="1033" max="1033" width="9.125" style="115" customWidth="1"/>
    <col min="1034" max="1034" width="10" style="115" bestFit="1" customWidth="1"/>
    <col min="1035" max="1035" width="10.375" style="115" bestFit="1" customWidth="1"/>
    <col min="1036" max="1036" width="8.5" style="115" bestFit="1" customWidth="1"/>
    <col min="1037" max="1037" width="7.5" style="115" customWidth="1"/>
    <col min="1038" max="1038" width="6.5" style="115" customWidth="1"/>
    <col min="1039" max="1039" width="8.625" style="115" customWidth="1"/>
    <col min="1040" max="1040" width="12.875" style="115" customWidth="1"/>
    <col min="1041" max="1041" width="13.25" style="115" customWidth="1"/>
    <col min="1042" max="1042" width="13" style="115" bestFit="1" customWidth="1"/>
    <col min="1043" max="1043" width="10" style="115" bestFit="1" customWidth="1"/>
    <col min="1044" max="1044" width="17.5" style="115" bestFit="1" customWidth="1"/>
    <col min="1045" max="1283" width="7" style="115"/>
    <col min="1284" max="1284" width="4" style="115" bestFit="1" customWidth="1"/>
    <col min="1285" max="1285" width="4.625" style="115" bestFit="1" customWidth="1"/>
    <col min="1286" max="1286" width="25.125" style="115" customWidth="1"/>
    <col min="1287" max="1287" width="11.75" style="115" customWidth="1"/>
    <col min="1288" max="1288" width="7" style="115" bestFit="1" customWidth="1"/>
    <col min="1289" max="1289" width="9.125" style="115" customWidth="1"/>
    <col min="1290" max="1290" width="10" style="115" bestFit="1" customWidth="1"/>
    <col min="1291" max="1291" width="10.375" style="115" bestFit="1" customWidth="1"/>
    <col min="1292" max="1292" width="8.5" style="115" bestFit="1" customWidth="1"/>
    <col min="1293" max="1293" width="7.5" style="115" customWidth="1"/>
    <col min="1294" max="1294" width="6.5" style="115" customWidth="1"/>
    <col min="1295" max="1295" width="8.625" style="115" customWidth="1"/>
    <col min="1296" max="1296" width="12.875" style="115" customWidth="1"/>
    <col min="1297" max="1297" width="13.25" style="115" customWidth="1"/>
    <col min="1298" max="1298" width="13" style="115" bestFit="1" customWidth="1"/>
    <col min="1299" max="1299" width="10" style="115" bestFit="1" customWidth="1"/>
    <col min="1300" max="1300" width="17.5" style="115" bestFit="1" customWidth="1"/>
    <col min="1301" max="1539" width="7" style="115"/>
    <col min="1540" max="1540" width="4" style="115" bestFit="1" customWidth="1"/>
    <col min="1541" max="1541" width="4.625" style="115" bestFit="1" customWidth="1"/>
    <col min="1542" max="1542" width="25.125" style="115" customWidth="1"/>
    <col min="1543" max="1543" width="11.75" style="115" customWidth="1"/>
    <col min="1544" max="1544" width="7" style="115" bestFit="1" customWidth="1"/>
    <col min="1545" max="1545" width="9.125" style="115" customWidth="1"/>
    <col min="1546" max="1546" width="10" style="115" bestFit="1" customWidth="1"/>
    <col min="1547" max="1547" width="10.375" style="115" bestFit="1" customWidth="1"/>
    <col min="1548" max="1548" width="8.5" style="115" bestFit="1" customWidth="1"/>
    <col min="1549" max="1549" width="7.5" style="115" customWidth="1"/>
    <col min="1550" max="1550" width="6.5" style="115" customWidth="1"/>
    <col min="1551" max="1551" width="8.625" style="115" customWidth="1"/>
    <col min="1552" max="1552" width="12.875" style="115" customWidth="1"/>
    <col min="1553" max="1553" width="13.25" style="115" customWidth="1"/>
    <col min="1554" max="1554" width="13" style="115" bestFit="1" customWidth="1"/>
    <col min="1555" max="1555" width="10" style="115" bestFit="1" customWidth="1"/>
    <col min="1556" max="1556" width="17.5" style="115" bestFit="1" customWidth="1"/>
    <col min="1557" max="1795" width="7" style="115"/>
    <col min="1796" max="1796" width="4" style="115" bestFit="1" customWidth="1"/>
    <col min="1797" max="1797" width="4.625" style="115" bestFit="1" customWidth="1"/>
    <col min="1798" max="1798" width="25.125" style="115" customWidth="1"/>
    <col min="1799" max="1799" width="11.75" style="115" customWidth="1"/>
    <col min="1800" max="1800" width="7" style="115" bestFit="1" customWidth="1"/>
    <col min="1801" max="1801" width="9.125" style="115" customWidth="1"/>
    <col min="1802" max="1802" width="10" style="115" bestFit="1" customWidth="1"/>
    <col min="1803" max="1803" width="10.375" style="115" bestFit="1" customWidth="1"/>
    <col min="1804" max="1804" width="8.5" style="115" bestFit="1" customWidth="1"/>
    <col min="1805" max="1805" width="7.5" style="115" customWidth="1"/>
    <col min="1806" max="1806" width="6.5" style="115" customWidth="1"/>
    <col min="1807" max="1807" width="8.625" style="115" customWidth="1"/>
    <col min="1808" max="1808" width="12.875" style="115" customWidth="1"/>
    <col min="1809" max="1809" width="13.25" style="115" customWidth="1"/>
    <col min="1810" max="1810" width="13" style="115" bestFit="1" customWidth="1"/>
    <col min="1811" max="1811" width="10" style="115" bestFit="1" customWidth="1"/>
    <col min="1812" max="1812" width="17.5" style="115" bestFit="1" customWidth="1"/>
    <col min="1813" max="2051" width="7" style="115"/>
    <col min="2052" max="2052" width="4" style="115" bestFit="1" customWidth="1"/>
    <col min="2053" max="2053" width="4.625" style="115" bestFit="1" customWidth="1"/>
    <col min="2054" max="2054" width="25.125" style="115" customWidth="1"/>
    <col min="2055" max="2055" width="11.75" style="115" customWidth="1"/>
    <col min="2056" max="2056" width="7" style="115" bestFit="1" customWidth="1"/>
    <col min="2057" max="2057" width="9.125" style="115" customWidth="1"/>
    <col min="2058" max="2058" width="10" style="115" bestFit="1" customWidth="1"/>
    <col min="2059" max="2059" width="10.375" style="115" bestFit="1" customWidth="1"/>
    <col min="2060" max="2060" width="8.5" style="115" bestFit="1" customWidth="1"/>
    <col min="2061" max="2061" width="7.5" style="115" customWidth="1"/>
    <col min="2062" max="2062" width="6.5" style="115" customWidth="1"/>
    <col min="2063" max="2063" width="8.625" style="115" customWidth="1"/>
    <col min="2064" max="2064" width="12.875" style="115" customWidth="1"/>
    <col min="2065" max="2065" width="13.25" style="115" customWidth="1"/>
    <col min="2066" max="2066" width="13" style="115" bestFit="1" customWidth="1"/>
    <col min="2067" max="2067" width="10" style="115" bestFit="1" customWidth="1"/>
    <col min="2068" max="2068" width="17.5" style="115" bestFit="1" customWidth="1"/>
    <col min="2069" max="2307" width="7" style="115"/>
    <col min="2308" max="2308" width="4" style="115" bestFit="1" customWidth="1"/>
    <col min="2309" max="2309" width="4.625" style="115" bestFit="1" customWidth="1"/>
    <col min="2310" max="2310" width="25.125" style="115" customWidth="1"/>
    <col min="2311" max="2311" width="11.75" style="115" customWidth="1"/>
    <col min="2312" max="2312" width="7" style="115" bestFit="1" customWidth="1"/>
    <col min="2313" max="2313" width="9.125" style="115" customWidth="1"/>
    <col min="2314" max="2314" width="10" style="115" bestFit="1" customWidth="1"/>
    <col min="2315" max="2315" width="10.375" style="115" bestFit="1" customWidth="1"/>
    <col min="2316" max="2316" width="8.5" style="115" bestFit="1" customWidth="1"/>
    <col min="2317" max="2317" width="7.5" style="115" customWidth="1"/>
    <col min="2318" max="2318" width="6.5" style="115" customWidth="1"/>
    <col min="2319" max="2319" width="8.625" style="115" customWidth="1"/>
    <col min="2320" max="2320" width="12.875" style="115" customWidth="1"/>
    <col min="2321" max="2321" width="13.25" style="115" customWidth="1"/>
    <col min="2322" max="2322" width="13" style="115" bestFit="1" customWidth="1"/>
    <col min="2323" max="2323" width="10" style="115" bestFit="1" customWidth="1"/>
    <col min="2324" max="2324" width="17.5" style="115" bestFit="1" customWidth="1"/>
    <col min="2325" max="2563" width="7" style="115"/>
    <col min="2564" max="2564" width="4" style="115" bestFit="1" customWidth="1"/>
    <col min="2565" max="2565" width="4.625" style="115" bestFit="1" customWidth="1"/>
    <col min="2566" max="2566" width="25.125" style="115" customWidth="1"/>
    <col min="2567" max="2567" width="11.75" style="115" customWidth="1"/>
    <col min="2568" max="2568" width="7" style="115" bestFit="1" customWidth="1"/>
    <col min="2569" max="2569" width="9.125" style="115" customWidth="1"/>
    <col min="2570" max="2570" width="10" style="115" bestFit="1" customWidth="1"/>
    <col min="2571" max="2571" width="10.375" style="115" bestFit="1" customWidth="1"/>
    <col min="2572" max="2572" width="8.5" style="115" bestFit="1" customWidth="1"/>
    <col min="2573" max="2573" width="7.5" style="115" customWidth="1"/>
    <col min="2574" max="2574" width="6.5" style="115" customWidth="1"/>
    <col min="2575" max="2575" width="8.625" style="115" customWidth="1"/>
    <col min="2576" max="2576" width="12.875" style="115" customWidth="1"/>
    <col min="2577" max="2577" width="13.25" style="115" customWidth="1"/>
    <col min="2578" max="2578" width="13" style="115" bestFit="1" customWidth="1"/>
    <col min="2579" max="2579" width="10" style="115" bestFit="1" customWidth="1"/>
    <col min="2580" max="2580" width="17.5" style="115" bestFit="1" customWidth="1"/>
    <col min="2581" max="2819" width="7" style="115"/>
    <col min="2820" max="2820" width="4" style="115" bestFit="1" customWidth="1"/>
    <col min="2821" max="2821" width="4.625" style="115" bestFit="1" customWidth="1"/>
    <col min="2822" max="2822" width="25.125" style="115" customWidth="1"/>
    <col min="2823" max="2823" width="11.75" style="115" customWidth="1"/>
    <col min="2824" max="2824" width="7" style="115" bestFit="1" customWidth="1"/>
    <col min="2825" max="2825" width="9.125" style="115" customWidth="1"/>
    <col min="2826" max="2826" width="10" style="115" bestFit="1" customWidth="1"/>
    <col min="2827" max="2827" width="10.375" style="115" bestFit="1" customWidth="1"/>
    <col min="2828" max="2828" width="8.5" style="115" bestFit="1" customWidth="1"/>
    <col min="2829" max="2829" width="7.5" style="115" customWidth="1"/>
    <col min="2830" max="2830" width="6.5" style="115" customWidth="1"/>
    <col min="2831" max="2831" width="8.625" style="115" customWidth="1"/>
    <col min="2832" max="2832" width="12.875" style="115" customWidth="1"/>
    <col min="2833" max="2833" width="13.25" style="115" customWidth="1"/>
    <col min="2834" max="2834" width="13" style="115" bestFit="1" customWidth="1"/>
    <col min="2835" max="2835" width="10" style="115" bestFit="1" customWidth="1"/>
    <col min="2836" max="2836" width="17.5" style="115" bestFit="1" customWidth="1"/>
    <col min="2837" max="3075" width="7" style="115"/>
    <col min="3076" max="3076" width="4" style="115" bestFit="1" customWidth="1"/>
    <col min="3077" max="3077" width="4.625" style="115" bestFit="1" customWidth="1"/>
    <col min="3078" max="3078" width="25.125" style="115" customWidth="1"/>
    <col min="3079" max="3079" width="11.75" style="115" customWidth="1"/>
    <col min="3080" max="3080" width="7" style="115" bestFit="1" customWidth="1"/>
    <col min="3081" max="3081" width="9.125" style="115" customWidth="1"/>
    <col min="3082" max="3082" width="10" style="115" bestFit="1" customWidth="1"/>
    <col min="3083" max="3083" width="10.375" style="115" bestFit="1" customWidth="1"/>
    <col min="3084" max="3084" width="8.5" style="115" bestFit="1" customWidth="1"/>
    <col min="3085" max="3085" width="7.5" style="115" customWidth="1"/>
    <col min="3086" max="3086" width="6.5" style="115" customWidth="1"/>
    <col min="3087" max="3087" width="8.625" style="115" customWidth="1"/>
    <col min="3088" max="3088" width="12.875" style="115" customWidth="1"/>
    <col min="3089" max="3089" width="13.25" style="115" customWidth="1"/>
    <col min="3090" max="3090" width="13" style="115" bestFit="1" customWidth="1"/>
    <col min="3091" max="3091" width="10" style="115" bestFit="1" customWidth="1"/>
    <col min="3092" max="3092" width="17.5" style="115" bestFit="1" customWidth="1"/>
    <col min="3093" max="3331" width="7" style="115"/>
    <col min="3332" max="3332" width="4" style="115" bestFit="1" customWidth="1"/>
    <col min="3333" max="3333" width="4.625" style="115" bestFit="1" customWidth="1"/>
    <col min="3334" max="3334" width="25.125" style="115" customWidth="1"/>
    <col min="3335" max="3335" width="11.75" style="115" customWidth="1"/>
    <col min="3336" max="3336" width="7" style="115" bestFit="1" customWidth="1"/>
    <col min="3337" max="3337" width="9.125" style="115" customWidth="1"/>
    <col min="3338" max="3338" width="10" style="115" bestFit="1" customWidth="1"/>
    <col min="3339" max="3339" width="10.375" style="115" bestFit="1" customWidth="1"/>
    <col min="3340" max="3340" width="8.5" style="115" bestFit="1" customWidth="1"/>
    <col min="3341" max="3341" width="7.5" style="115" customWidth="1"/>
    <col min="3342" max="3342" width="6.5" style="115" customWidth="1"/>
    <col min="3343" max="3343" width="8.625" style="115" customWidth="1"/>
    <col min="3344" max="3344" width="12.875" style="115" customWidth="1"/>
    <col min="3345" max="3345" width="13.25" style="115" customWidth="1"/>
    <col min="3346" max="3346" width="13" style="115" bestFit="1" customWidth="1"/>
    <col min="3347" max="3347" width="10" style="115" bestFit="1" customWidth="1"/>
    <col min="3348" max="3348" width="17.5" style="115" bestFit="1" customWidth="1"/>
    <col min="3349" max="3587" width="7" style="115"/>
    <col min="3588" max="3588" width="4" style="115" bestFit="1" customWidth="1"/>
    <col min="3589" max="3589" width="4.625" style="115" bestFit="1" customWidth="1"/>
    <col min="3590" max="3590" width="25.125" style="115" customWidth="1"/>
    <col min="3591" max="3591" width="11.75" style="115" customWidth="1"/>
    <col min="3592" max="3592" width="7" style="115" bestFit="1" customWidth="1"/>
    <col min="3593" max="3593" width="9.125" style="115" customWidth="1"/>
    <col min="3594" max="3594" width="10" style="115" bestFit="1" customWidth="1"/>
    <col min="3595" max="3595" width="10.375" style="115" bestFit="1" customWidth="1"/>
    <col min="3596" max="3596" width="8.5" style="115" bestFit="1" customWidth="1"/>
    <col min="3597" max="3597" width="7.5" style="115" customWidth="1"/>
    <col min="3598" max="3598" width="6.5" style="115" customWidth="1"/>
    <col min="3599" max="3599" width="8.625" style="115" customWidth="1"/>
    <col min="3600" max="3600" width="12.875" style="115" customWidth="1"/>
    <col min="3601" max="3601" width="13.25" style="115" customWidth="1"/>
    <col min="3602" max="3602" width="13" style="115" bestFit="1" customWidth="1"/>
    <col min="3603" max="3603" width="10" style="115" bestFit="1" customWidth="1"/>
    <col min="3604" max="3604" width="17.5" style="115" bestFit="1" customWidth="1"/>
    <col min="3605" max="3843" width="7" style="115"/>
    <col min="3844" max="3844" width="4" style="115" bestFit="1" customWidth="1"/>
    <col min="3845" max="3845" width="4.625" style="115" bestFit="1" customWidth="1"/>
    <col min="3846" max="3846" width="25.125" style="115" customWidth="1"/>
    <col min="3847" max="3847" width="11.75" style="115" customWidth="1"/>
    <col min="3848" max="3848" width="7" style="115" bestFit="1" customWidth="1"/>
    <col min="3849" max="3849" width="9.125" style="115" customWidth="1"/>
    <col min="3850" max="3850" width="10" style="115" bestFit="1" customWidth="1"/>
    <col min="3851" max="3851" width="10.375" style="115" bestFit="1" customWidth="1"/>
    <col min="3852" max="3852" width="8.5" style="115" bestFit="1" customWidth="1"/>
    <col min="3853" max="3853" width="7.5" style="115" customWidth="1"/>
    <col min="3854" max="3854" width="6.5" style="115" customWidth="1"/>
    <col min="3855" max="3855" width="8.625" style="115" customWidth="1"/>
    <col min="3856" max="3856" width="12.875" style="115" customWidth="1"/>
    <col min="3857" max="3857" width="13.25" style="115" customWidth="1"/>
    <col min="3858" max="3858" width="13" style="115" bestFit="1" customWidth="1"/>
    <col min="3859" max="3859" width="10" style="115" bestFit="1" customWidth="1"/>
    <col min="3860" max="3860" width="17.5" style="115" bestFit="1" customWidth="1"/>
    <col min="3861" max="4099" width="7" style="115"/>
    <col min="4100" max="4100" width="4" style="115" bestFit="1" customWidth="1"/>
    <col min="4101" max="4101" width="4.625" style="115" bestFit="1" customWidth="1"/>
    <col min="4102" max="4102" width="25.125" style="115" customWidth="1"/>
    <col min="4103" max="4103" width="11.75" style="115" customWidth="1"/>
    <col min="4104" max="4104" width="7" style="115" bestFit="1" customWidth="1"/>
    <col min="4105" max="4105" width="9.125" style="115" customWidth="1"/>
    <col min="4106" max="4106" width="10" style="115" bestFit="1" customWidth="1"/>
    <col min="4107" max="4107" width="10.375" style="115" bestFit="1" customWidth="1"/>
    <col min="4108" max="4108" width="8.5" style="115" bestFit="1" customWidth="1"/>
    <col min="4109" max="4109" width="7.5" style="115" customWidth="1"/>
    <col min="4110" max="4110" width="6.5" style="115" customWidth="1"/>
    <col min="4111" max="4111" width="8.625" style="115" customWidth="1"/>
    <col min="4112" max="4112" width="12.875" style="115" customWidth="1"/>
    <col min="4113" max="4113" width="13.25" style="115" customWidth="1"/>
    <col min="4114" max="4114" width="13" style="115" bestFit="1" customWidth="1"/>
    <col min="4115" max="4115" width="10" style="115" bestFit="1" customWidth="1"/>
    <col min="4116" max="4116" width="17.5" style="115" bestFit="1" customWidth="1"/>
    <col min="4117" max="4355" width="7" style="115"/>
    <col min="4356" max="4356" width="4" style="115" bestFit="1" customWidth="1"/>
    <col min="4357" max="4357" width="4.625" style="115" bestFit="1" customWidth="1"/>
    <col min="4358" max="4358" width="25.125" style="115" customWidth="1"/>
    <col min="4359" max="4359" width="11.75" style="115" customWidth="1"/>
    <col min="4360" max="4360" width="7" style="115" bestFit="1" customWidth="1"/>
    <col min="4361" max="4361" width="9.125" style="115" customWidth="1"/>
    <col min="4362" max="4362" width="10" style="115" bestFit="1" customWidth="1"/>
    <col min="4363" max="4363" width="10.375" style="115" bestFit="1" customWidth="1"/>
    <col min="4364" max="4364" width="8.5" style="115" bestFit="1" customWidth="1"/>
    <col min="4365" max="4365" width="7.5" style="115" customWidth="1"/>
    <col min="4366" max="4366" width="6.5" style="115" customWidth="1"/>
    <col min="4367" max="4367" width="8.625" style="115" customWidth="1"/>
    <col min="4368" max="4368" width="12.875" style="115" customWidth="1"/>
    <col min="4369" max="4369" width="13.25" style="115" customWidth="1"/>
    <col min="4370" max="4370" width="13" style="115" bestFit="1" customWidth="1"/>
    <col min="4371" max="4371" width="10" style="115" bestFit="1" customWidth="1"/>
    <col min="4372" max="4372" width="17.5" style="115" bestFit="1" customWidth="1"/>
    <col min="4373" max="4611" width="7" style="115"/>
    <col min="4612" max="4612" width="4" style="115" bestFit="1" customWidth="1"/>
    <col min="4613" max="4613" width="4.625" style="115" bestFit="1" customWidth="1"/>
    <col min="4614" max="4614" width="25.125" style="115" customWidth="1"/>
    <col min="4615" max="4615" width="11.75" style="115" customWidth="1"/>
    <col min="4616" max="4616" width="7" style="115" bestFit="1" customWidth="1"/>
    <col min="4617" max="4617" width="9.125" style="115" customWidth="1"/>
    <col min="4618" max="4618" width="10" style="115" bestFit="1" customWidth="1"/>
    <col min="4619" max="4619" width="10.375" style="115" bestFit="1" customWidth="1"/>
    <col min="4620" max="4620" width="8.5" style="115" bestFit="1" customWidth="1"/>
    <col min="4621" max="4621" width="7.5" style="115" customWidth="1"/>
    <col min="4622" max="4622" width="6.5" style="115" customWidth="1"/>
    <col min="4623" max="4623" width="8.625" style="115" customWidth="1"/>
    <col min="4624" max="4624" width="12.875" style="115" customWidth="1"/>
    <col min="4625" max="4625" width="13.25" style="115" customWidth="1"/>
    <col min="4626" max="4626" width="13" style="115" bestFit="1" customWidth="1"/>
    <col min="4627" max="4627" width="10" style="115" bestFit="1" customWidth="1"/>
    <col min="4628" max="4628" width="17.5" style="115" bestFit="1" customWidth="1"/>
    <col min="4629" max="4867" width="7" style="115"/>
    <col min="4868" max="4868" width="4" style="115" bestFit="1" customWidth="1"/>
    <col min="4869" max="4869" width="4.625" style="115" bestFit="1" customWidth="1"/>
    <col min="4870" max="4870" width="25.125" style="115" customWidth="1"/>
    <col min="4871" max="4871" width="11.75" style="115" customWidth="1"/>
    <col min="4872" max="4872" width="7" style="115" bestFit="1" customWidth="1"/>
    <col min="4873" max="4873" width="9.125" style="115" customWidth="1"/>
    <col min="4874" max="4874" width="10" style="115" bestFit="1" customWidth="1"/>
    <col min="4875" max="4875" width="10.375" style="115" bestFit="1" customWidth="1"/>
    <col min="4876" max="4876" width="8.5" style="115" bestFit="1" customWidth="1"/>
    <col min="4877" max="4877" width="7.5" style="115" customWidth="1"/>
    <col min="4878" max="4878" width="6.5" style="115" customWidth="1"/>
    <col min="4879" max="4879" width="8.625" style="115" customWidth="1"/>
    <col min="4880" max="4880" width="12.875" style="115" customWidth="1"/>
    <col min="4881" max="4881" width="13.25" style="115" customWidth="1"/>
    <col min="4882" max="4882" width="13" style="115" bestFit="1" customWidth="1"/>
    <col min="4883" max="4883" width="10" style="115" bestFit="1" customWidth="1"/>
    <col min="4884" max="4884" width="17.5" style="115" bestFit="1" customWidth="1"/>
    <col min="4885" max="5123" width="7" style="115"/>
    <col min="5124" max="5124" width="4" style="115" bestFit="1" customWidth="1"/>
    <col min="5125" max="5125" width="4.625" style="115" bestFit="1" customWidth="1"/>
    <col min="5126" max="5126" width="25.125" style="115" customWidth="1"/>
    <col min="5127" max="5127" width="11.75" style="115" customWidth="1"/>
    <col min="5128" max="5128" width="7" style="115" bestFit="1" customWidth="1"/>
    <col min="5129" max="5129" width="9.125" style="115" customWidth="1"/>
    <col min="5130" max="5130" width="10" style="115" bestFit="1" customWidth="1"/>
    <col min="5131" max="5131" width="10.375" style="115" bestFit="1" customWidth="1"/>
    <col min="5132" max="5132" width="8.5" style="115" bestFit="1" customWidth="1"/>
    <col min="5133" max="5133" width="7.5" style="115" customWidth="1"/>
    <col min="5134" max="5134" width="6.5" style="115" customWidth="1"/>
    <col min="5135" max="5135" width="8.625" style="115" customWidth="1"/>
    <col min="5136" max="5136" width="12.875" style="115" customWidth="1"/>
    <col min="5137" max="5137" width="13.25" style="115" customWidth="1"/>
    <col min="5138" max="5138" width="13" style="115" bestFit="1" customWidth="1"/>
    <col min="5139" max="5139" width="10" style="115" bestFit="1" customWidth="1"/>
    <col min="5140" max="5140" width="17.5" style="115" bestFit="1" customWidth="1"/>
    <col min="5141" max="5379" width="7" style="115"/>
    <col min="5380" max="5380" width="4" style="115" bestFit="1" customWidth="1"/>
    <col min="5381" max="5381" width="4.625" style="115" bestFit="1" customWidth="1"/>
    <col min="5382" max="5382" width="25.125" style="115" customWidth="1"/>
    <col min="5383" max="5383" width="11.75" style="115" customWidth="1"/>
    <col min="5384" max="5384" width="7" style="115" bestFit="1" customWidth="1"/>
    <col min="5385" max="5385" width="9.125" style="115" customWidth="1"/>
    <col min="5386" max="5386" width="10" style="115" bestFit="1" customWidth="1"/>
    <col min="5387" max="5387" width="10.375" style="115" bestFit="1" customWidth="1"/>
    <col min="5388" max="5388" width="8.5" style="115" bestFit="1" customWidth="1"/>
    <col min="5389" max="5389" width="7.5" style="115" customWidth="1"/>
    <col min="5390" max="5390" width="6.5" style="115" customWidth="1"/>
    <col min="5391" max="5391" width="8.625" style="115" customWidth="1"/>
    <col min="5392" max="5392" width="12.875" style="115" customWidth="1"/>
    <col min="5393" max="5393" width="13.25" style="115" customWidth="1"/>
    <col min="5394" max="5394" width="13" style="115" bestFit="1" customWidth="1"/>
    <col min="5395" max="5395" width="10" style="115" bestFit="1" customWidth="1"/>
    <col min="5396" max="5396" width="17.5" style="115" bestFit="1" customWidth="1"/>
    <col min="5397" max="5635" width="7" style="115"/>
    <col min="5636" max="5636" width="4" style="115" bestFit="1" customWidth="1"/>
    <col min="5637" max="5637" width="4.625" style="115" bestFit="1" customWidth="1"/>
    <col min="5638" max="5638" width="25.125" style="115" customWidth="1"/>
    <col min="5639" max="5639" width="11.75" style="115" customWidth="1"/>
    <col min="5640" max="5640" width="7" style="115" bestFit="1" customWidth="1"/>
    <col min="5641" max="5641" width="9.125" style="115" customWidth="1"/>
    <col min="5642" max="5642" width="10" style="115" bestFit="1" customWidth="1"/>
    <col min="5643" max="5643" width="10.375" style="115" bestFit="1" customWidth="1"/>
    <col min="5644" max="5644" width="8.5" style="115" bestFit="1" customWidth="1"/>
    <col min="5645" max="5645" width="7.5" style="115" customWidth="1"/>
    <col min="5646" max="5646" width="6.5" style="115" customWidth="1"/>
    <col min="5647" max="5647" width="8.625" style="115" customWidth="1"/>
    <col min="5648" max="5648" width="12.875" style="115" customWidth="1"/>
    <col min="5649" max="5649" width="13.25" style="115" customWidth="1"/>
    <col min="5650" max="5650" width="13" style="115" bestFit="1" customWidth="1"/>
    <col min="5651" max="5651" width="10" style="115" bestFit="1" customWidth="1"/>
    <col min="5652" max="5652" width="17.5" style="115" bestFit="1" customWidth="1"/>
    <col min="5653" max="5891" width="7" style="115"/>
    <col min="5892" max="5892" width="4" style="115" bestFit="1" customWidth="1"/>
    <col min="5893" max="5893" width="4.625" style="115" bestFit="1" customWidth="1"/>
    <col min="5894" max="5894" width="25.125" style="115" customWidth="1"/>
    <col min="5895" max="5895" width="11.75" style="115" customWidth="1"/>
    <col min="5896" max="5896" width="7" style="115" bestFit="1" customWidth="1"/>
    <col min="5897" max="5897" width="9.125" style="115" customWidth="1"/>
    <col min="5898" max="5898" width="10" style="115" bestFit="1" customWidth="1"/>
    <col min="5899" max="5899" width="10.375" style="115" bestFit="1" customWidth="1"/>
    <col min="5900" max="5900" width="8.5" style="115" bestFit="1" customWidth="1"/>
    <col min="5901" max="5901" width="7.5" style="115" customWidth="1"/>
    <col min="5902" max="5902" width="6.5" style="115" customWidth="1"/>
    <col min="5903" max="5903" width="8.625" style="115" customWidth="1"/>
    <col min="5904" max="5904" width="12.875" style="115" customWidth="1"/>
    <col min="5905" max="5905" width="13.25" style="115" customWidth="1"/>
    <col min="5906" max="5906" width="13" style="115" bestFit="1" customWidth="1"/>
    <col min="5907" max="5907" width="10" style="115" bestFit="1" customWidth="1"/>
    <col min="5908" max="5908" width="17.5" style="115" bestFit="1" customWidth="1"/>
    <col min="5909" max="6147" width="7" style="115"/>
    <col min="6148" max="6148" width="4" style="115" bestFit="1" customWidth="1"/>
    <col min="6149" max="6149" width="4.625" style="115" bestFit="1" customWidth="1"/>
    <col min="6150" max="6150" width="25.125" style="115" customWidth="1"/>
    <col min="6151" max="6151" width="11.75" style="115" customWidth="1"/>
    <col min="6152" max="6152" width="7" style="115" bestFit="1" customWidth="1"/>
    <col min="6153" max="6153" width="9.125" style="115" customWidth="1"/>
    <col min="6154" max="6154" width="10" style="115" bestFit="1" customWidth="1"/>
    <col min="6155" max="6155" width="10.375" style="115" bestFit="1" customWidth="1"/>
    <col min="6156" max="6156" width="8.5" style="115" bestFit="1" customWidth="1"/>
    <col min="6157" max="6157" width="7.5" style="115" customWidth="1"/>
    <col min="6158" max="6158" width="6.5" style="115" customWidth="1"/>
    <col min="6159" max="6159" width="8.625" style="115" customWidth="1"/>
    <col min="6160" max="6160" width="12.875" style="115" customWidth="1"/>
    <col min="6161" max="6161" width="13.25" style="115" customWidth="1"/>
    <col min="6162" max="6162" width="13" style="115" bestFit="1" customWidth="1"/>
    <col min="6163" max="6163" width="10" style="115" bestFit="1" customWidth="1"/>
    <col min="6164" max="6164" width="17.5" style="115" bestFit="1" customWidth="1"/>
    <col min="6165" max="6403" width="7" style="115"/>
    <col min="6404" max="6404" width="4" style="115" bestFit="1" customWidth="1"/>
    <col min="6405" max="6405" width="4.625" style="115" bestFit="1" customWidth="1"/>
    <col min="6406" max="6406" width="25.125" style="115" customWidth="1"/>
    <col min="6407" max="6407" width="11.75" style="115" customWidth="1"/>
    <col min="6408" max="6408" width="7" style="115" bestFit="1" customWidth="1"/>
    <col min="6409" max="6409" width="9.125" style="115" customWidth="1"/>
    <col min="6410" max="6410" width="10" style="115" bestFit="1" customWidth="1"/>
    <col min="6411" max="6411" width="10.375" style="115" bestFit="1" customWidth="1"/>
    <col min="6412" max="6412" width="8.5" style="115" bestFit="1" customWidth="1"/>
    <col min="6413" max="6413" width="7.5" style="115" customWidth="1"/>
    <col min="6414" max="6414" width="6.5" style="115" customWidth="1"/>
    <col min="6415" max="6415" width="8.625" style="115" customWidth="1"/>
    <col min="6416" max="6416" width="12.875" style="115" customWidth="1"/>
    <col min="6417" max="6417" width="13.25" style="115" customWidth="1"/>
    <col min="6418" max="6418" width="13" style="115" bestFit="1" customWidth="1"/>
    <col min="6419" max="6419" width="10" style="115" bestFit="1" customWidth="1"/>
    <col min="6420" max="6420" width="17.5" style="115" bestFit="1" customWidth="1"/>
    <col min="6421" max="6659" width="7" style="115"/>
    <col min="6660" max="6660" width="4" style="115" bestFit="1" customWidth="1"/>
    <col min="6661" max="6661" width="4.625" style="115" bestFit="1" customWidth="1"/>
    <col min="6662" max="6662" width="25.125" style="115" customWidth="1"/>
    <col min="6663" max="6663" width="11.75" style="115" customWidth="1"/>
    <col min="6664" max="6664" width="7" style="115" bestFit="1" customWidth="1"/>
    <col min="6665" max="6665" width="9.125" style="115" customWidth="1"/>
    <col min="6666" max="6666" width="10" style="115" bestFit="1" customWidth="1"/>
    <col min="6667" max="6667" width="10.375" style="115" bestFit="1" customWidth="1"/>
    <col min="6668" max="6668" width="8.5" style="115" bestFit="1" customWidth="1"/>
    <col min="6669" max="6669" width="7.5" style="115" customWidth="1"/>
    <col min="6670" max="6670" width="6.5" style="115" customWidth="1"/>
    <col min="6671" max="6671" width="8.625" style="115" customWidth="1"/>
    <col min="6672" max="6672" width="12.875" style="115" customWidth="1"/>
    <col min="6673" max="6673" width="13.25" style="115" customWidth="1"/>
    <col min="6674" max="6674" width="13" style="115" bestFit="1" customWidth="1"/>
    <col min="6675" max="6675" width="10" style="115" bestFit="1" customWidth="1"/>
    <col min="6676" max="6676" width="17.5" style="115" bestFit="1" customWidth="1"/>
    <col min="6677" max="6915" width="7" style="115"/>
    <col min="6916" max="6916" width="4" style="115" bestFit="1" customWidth="1"/>
    <col min="6917" max="6917" width="4.625" style="115" bestFit="1" customWidth="1"/>
    <col min="6918" max="6918" width="25.125" style="115" customWidth="1"/>
    <col min="6919" max="6919" width="11.75" style="115" customWidth="1"/>
    <col min="6920" max="6920" width="7" style="115" bestFit="1" customWidth="1"/>
    <col min="6921" max="6921" width="9.125" style="115" customWidth="1"/>
    <col min="6922" max="6922" width="10" style="115" bestFit="1" customWidth="1"/>
    <col min="6923" max="6923" width="10.375" style="115" bestFit="1" customWidth="1"/>
    <col min="6924" max="6924" width="8.5" style="115" bestFit="1" customWidth="1"/>
    <col min="6925" max="6925" width="7.5" style="115" customWidth="1"/>
    <col min="6926" max="6926" width="6.5" style="115" customWidth="1"/>
    <col min="6927" max="6927" width="8.625" style="115" customWidth="1"/>
    <col min="6928" max="6928" width="12.875" style="115" customWidth="1"/>
    <col min="6929" max="6929" width="13.25" style="115" customWidth="1"/>
    <col min="6930" max="6930" width="13" style="115" bestFit="1" customWidth="1"/>
    <col min="6931" max="6931" width="10" style="115" bestFit="1" customWidth="1"/>
    <col min="6932" max="6932" width="17.5" style="115" bestFit="1" customWidth="1"/>
    <col min="6933" max="7171" width="7" style="115"/>
    <col min="7172" max="7172" width="4" style="115" bestFit="1" customWidth="1"/>
    <col min="7173" max="7173" width="4.625" style="115" bestFit="1" customWidth="1"/>
    <col min="7174" max="7174" width="25.125" style="115" customWidth="1"/>
    <col min="7175" max="7175" width="11.75" style="115" customWidth="1"/>
    <col min="7176" max="7176" width="7" style="115" bestFit="1" customWidth="1"/>
    <col min="7177" max="7177" width="9.125" style="115" customWidth="1"/>
    <col min="7178" max="7178" width="10" style="115" bestFit="1" customWidth="1"/>
    <col min="7179" max="7179" width="10.375" style="115" bestFit="1" customWidth="1"/>
    <col min="7180" max="7180" width="8.5" style="115" bestFit="1" customWidth="1"/>
    <col min="7181" max="7181" width="7.5" style="115" customWidth="1"/>
    <col min="7182" max="7182" width="6.5" style="115" customWidth="1"/>
    <col min="7183" max="7183" width="8.625" style="115" customWidth="1"/>
    <col min="7184" max="7184" width="12.875" style="115" customWidth="1"/>
    <col min="7185" max="7185" width="13.25" style="115" customWidth="1"/>
    <col min="7186" max="7186" width="13" style="115" bestFit="1" customWidth="1"/>
    <col min="7187" max="7187" width="10" style="115" bestFit="1" customWidth="1"/>
    <col min="7188" max="7188" width="17.5" style="115" bestFit="1" customWidth="1"/>
    <col min="7189" max="7427" width="7" style="115"/>
    <col min="7428" max="7428" width="4" style="115" bestFit="1" customWidth="1"/>
    <col min="7429" max="7429" width="4.625" style="115" bestFit="1" customWidth="1"/>
    <col min="7430" max="7430" width="25.125" style="115" customWidth="1"/>
    <col min="7431" max="7431" width="11.75" style="115" customWidth="1"/>
    <col min="7432" max="7432" width="7" style="115" bestFit="1" customWidth="1"/>
    <col min="7433" max="7433" width="9.125" style="115" customWidth="1"/>
    <col min="7434" max="7434" width="10" style="115" bestFit="1" customWidth="1"/>
    <col min="7435" max="7435" width="10.375" style="115" bestFit="1" customWidth="1"/>
    <col min="7436" max="7436" width="8.5" style="115" bestFit="1" customWidth="1"/>
    <col min="7437" max="7437" width="7.5" style="115" customWidth="1"/>
    <col min="7438" max="7438" width="6.5" style="115" customWidth="1"/>
    <col min="7439" max="7439" width="8.625" style="115" customWidth="1"/>
    <col min="7440" max="7440" width="12.875" style="115" customWidth="1"/>
    <col min="7441" max="7441" width="13.25" style="115" customWidth="1"/>
    <col min="7442" max="7442" width="13" style="115" bestFit="1" customWidth="1"/>
    <col min="7443" max="7443" width="10" style="115" bestFit="1" customWidth="1"/>
    <col min="7444" max="7444" width="17.5" style="115" bestFit="1" customWidth="1"/>
    <col min="7445" max="7683" width="7" style="115"/>
    <col min="7684" max="7684" width="4" style="115" bestFit="1" customWidth="1"/>
    <col min="7685" max="7685" width="4.625" style="115" bestFit="1" customWidth="1"/>
    <col min="7686" max="7686" width="25.125" style="115" customWidth="1"/>
    <col min="7687" max="7687" width="11.75" style="115" customWidth="1"/>
    <col min="7688" max="7688" width="7" style="115" bestFit="1" customWidth="1"/>
    <col min="7689" max="7689" width="9.125" style="115" customWidth="1"/>
    <col min="7690" max="7690" width="10" style="115" bestFit="1" customWidth="1"/>
    <col min="7691" max="7691" width="10.375" style="115" bestFit="1" customWidth="1"/>
    <col min="7692" max="7692" width="8.5" style="115" bestFit="1" customWidth="1"/>
    <col min="7693" max="7693" width="7.5" style="115" customWidth="1"/>
    <col min="7694" max="7694" width="6.5" style="115" customWidth="1"/>
    <col min="7695" max="7695" width="8.625" style="115" customWidth="1"/>
    <col min="7696" max="7696" width="12.875" style="115" customWidth="1"/>
    <col min="7697" max="7697" width="13.25" style="115" customWidth="1"/>
    <col min="7698" max="7698" width="13" style="115" bestFit="1" customWidth="1"/>
    <col min="7699" max="7699" width="10" style="115" bestFit="1" customWidth="1"/>
    <col min="7700" max="7700" width="17.5" style="115" bestFit="1" customWidth="1"/>
    <col min="7701" max="7939" width="7" style="115"/>
    <col min="7940" max="7940" width="4" style="115" bestFit="1" customWidth="1"/>
    <col min="7941" max="7941" width="4.625" style="115" bestFit="1" customWidth="1"/>
    <col min="7942" max="7942" width="25.125" style="115" customWidth="1"/>
    <col min="7943" max="7943" width="11.75" style="115" customWidth="1"/>
    <col min="7944" max="7944" width="7" style="115" bestFit="1" customWidth="1"/>
    <col min="7945" max="7945" width="9.125" style="115" customWidth="1"/>
    <col min="7946" max="7946" width="10" style="115" bestFit="1" customWidth="1"/>
    <col min="7947" max="7947" width="10.375" style="115" bestFit="1" customWidth="1"/>
    <col min="7948" max="7948" width="8.5" style="115" bestFit="1" customWidth="1"/>
    <col min="7949" max="7949" width="7.5" style="115" customWidth="1"/>
    <col min="7950" max="7950" width="6.5" style="115" customWidth="1"/>
    <col min="7951" max="7951" width="8.625" style="115" customWidth="1"/>
    <col min="7952" max="7952" width="12.875" style="115" customWidth="1"/>
    <col min="7953" max="7953" width="13.25" style="115" customWidth="1"/>
    <col min="7954" max="7954" width="13" style="115" bestFit="1" customWidth="1"/>
    <col min="7955" max="7955" width="10" style="115" bestFit="1" customWidth="1"/>
    <col min="7956" max="7956" width="17.5" style="115" bestFit="1" customWidth="1"/>
    <col min="7957" max="8195" width="7" style="115"/>
    <col min="8196" max="8196" width="4" style="115" bestFit="1" customWidth="1"/>
    <col min="8197" max="8197" width="4.625" style="115" bestFit="1" customWidth="1"/>
    <col min="8198" max="8198" width="25.125" style="115" customWidth="1"/>
    <col min="8199" max="8199" width="11.75" style="115" customWidth="1"/>
    <col min="8200" max="8200" width="7" style="115" bestFit="1" customWidth="1"/>
    <col min="8201" max="8201" width="9.125" style="115" customWidth="1"/>
    <col min="8202" max="8202" width="10" style="115" bestFit="1" customWidth="1"/>
    <col min="8203" max="8203" width="10.375" style="115" bestFit="1" customWidth="1"/>
    <col min="8204" max="8204" width="8.5" style="115" bestFit="1" customWidth="1"/>
    <col min="8205" max="8205" width="7.5" style="115" customWidth="1"/>
    <col min="8206" max="8206" width="6.5" style="115" customWidth="1"/>
    <col min="8207" max="8207" width="8.625" style="115" customWidth="1"/>
    <col min="8208" max="8208" width="12.875" style="115" customWidth="1"/>
    <col min="8209" max="8209" width="13.25" style="115" customWidth="1"/>
    <col min="8210" max="8210" width="13" style="115" bestFit="1" customWidth="1"/>
    <col min="8211" max="8211" width="10" style="115" bestFit="1" customWidth="1"/>
    <col min="8212" max="8212" width="17.5" style="115" bestFit="1" customWidth="1"/>
    <col min="8213" max="8451" width="7" style="115"/>
    <col min="8452" max="8452" width="4" style="115" bestFit="1" customWidth="1"/>
    <col min="8453" max="8453" width="4.625" style="115" bestFit="1" customWidth="1"/>
    <col min="8454" max="8454" width="25.125" style="115" customWidth="1"/>
    <col min="8455" max="8455" width="11.75" style="115" customWidth="1"/>
    <col min="8456" max="8456" width="7" style="115" bestFit="1" customWidth="1"/>
    <col min="8457" max="8457" width="9.125" style="115" customWidth="1"/>
    <col min="8458" max="8458" width="10" style="115" bestFit="1" customWidth="1"/>
    <col min="8459" max="8459" width="10.375" style="115" bestFit="1" customWidth="1"/>
    <col min="8460" max="8460" width="8.5" style="115" bestFit="1" customWidth="1"/>
    <col min="8461" max="8461" width="7.5" style="115" customWidth="1"/>
    <col min="8462" max="8462" width="6.5" style="115" customWidth="1"/>
    <col min="8463" max="8463" width="8.625" style="115" customWidth="1"/>
    <col min="8464" max="8464" width="12.875" style="115" customWidth="1"/>
    <col min="8465" max="8465" width="13.25" style="115" customWidth="1"/>
    <col min="8466" max="8466" width="13" style="115" bestFit="1" customWidth="1"/>
    <col min="8467" max="8467" width="10" style="115" bestFit="1" customWidth="1"/>
    <col min="8468" max="8468" width="17.5" style="115" bestFit="1" customWidth="1"/>
    <col min="8469" max="8707" width="7" style="115"/>
    <col min="8708" max="8708" width="4" style="115" bestFit="1" customWidth="1"/>
    <col min="8709" max="8709" width="4.625" style="115" bestFit="1" customWidth="1"/>
    <col min="8710" max="8710" width="25.125" style="115" customWidth="1"/>
    <col min="8711" max="8711" width="11.75" style="115" customWidth="1"/>
    <col min="8712" max="8712" width="7" style="115" bestFit="1" customWidth="1"/>
    <col min="8713" max="8713" width="9.125" style="115" customWidth="1"/>
    <col min="8714" max="8714" width="10" style="115" bestFit="1" customWidth="1"/>
    <col min="8715" max="8715" width="10.375" style="115" bestFit="1" customWidth="1"/>
    <col min="8716" max="8716" width="8.5" style="115" bestFit="1" customWidth="1"/>
    <col min="8717" max="8717" width="7.5" style="115" customWidth="1"/>
    <col min="8718" max="8718" width="6.5" style="115" customWidth="1"/>
    <col min="8719" max="8719" width="8.625" style="115" customWidth="1"/>
    <col min="8720" max="8720" width="12.875" style="115" customWidth="1"/>
    <col min="8721" max="8721" width="13.25" style="115" customWidth="1"/>
    <col min="8722" max="8722" width="13" style="115" bestFit="1" customWidth="1"/>
    <col min="8723" max="8723" width="10" style="115" bestFit="1" customWidth="1"/>
    <col min="8724" max="8724" width="17.5" style="115" bestFit="1" customWidth="1"/>
    <col min="8725" max="8963" width="7" style="115"/>
    <col min="8964" max="8964" width="4" style="115" bestFit="1" customWidth="1"/>
    <col min="8965" max="8965" width="4.625" style="115" bestFit="1" customWidth="1"/>
    <col min="8966" max="8966" width="25.125" style="115" customWidth="1"/>
    <col min="8967" max="8967" width="11.75" style="115" customWidth="1"/>
    <col min="8968" max="8968" width="7" style="115" bestFit="1" customWidth="1"/>
    <col min="8969" max="8969" width="9.125" style="115" customWidth="1"/>
    <col min="8970" max="8970" width="10" style="115" bestFit="1" customWidth="1"/>
    <col min="8971" max="8971" width="10.375" style="115" bestFit="1" customWidth="1"/>
    <col min="8972" max="8972" width="8.5" style="115" bestFit="1" customWidth="1"/>
    <col min="8973" max="8973" width="7.5" style="115" customWidth="1"/>
    <col min="8974" max="8974" width="6.5" style="115" customWidth="1"/>
    <col min="8975" max="8975" width="8.625" style="115" customWidth="1"/>
    <col min="8976" max="8976" width="12.875" style="115" customWidth="1"/>
    <col min="8977" max="8977" width="13.25" style="115" customWidth="1"/>
    <col min="8978" max="8978" width="13" style="115" bestFit="1" customWidth="1"/>
    <col min="8979" max="8979" width="10" style="115" bestFit="1" customWidth="1"/>
    <col min="8980" max="8980" width="17.5" style="115" bestFit="1" customWidth="1"/>
    <col min="8981" max="9219" width="7" style="115"/>
    <col min="9220" max="9220" width="4" style="115" bestFit="1" customWidth="1"/>
    <col min="9221" max="9221" width="4.625" style="115" bestFit="1" customWidth="1"/>
    <col min="9222" max="9222" width="25.125" style="115" customWidth="1"/>
    <col min="9223" max="9223" width="11.75" style="115" customWidth="1"/>
    <col min="9224" max="9224" width="7" style="115" bestFit="1" customWidth="1"/>
    <col min="9225" max="9225" width="9.125" style="115" customWidth="1"/>
    <col min="9226" max="9226" width="10" style="115" bestFit="1" customWidth="1"/>
    <col min="9227" max="9227" width="10.375" style="115" bestFit="1" customWidth="1"/>
    <col min="9228" max="9228" width="8.5" style="115" bestFit="1" customWidth="1"/>
    <col min="9229" max="9229" width="7.5" style="115" customWidth="1"/>
    <col min="9230" max="9230" width="6.5" style="115" customWidth="1"/>
    <col min="9231" max="9231" width="8.625" style="115" customWidth="1"/>
    <col min="9232" max="9232" width="12.875" style="115" customWidth="1"/>
    <col min="9233" max="9233" width="13.25" style="115" customWidth="1"/>
    <col min="9234" max="9234" width="13" style="115" bestFit="1" customWidth="1"/>
    <col min="9235" max="9235" width="10" style="115" bestFit="1" customWidth="1"/>
    <col min="9236" max="9236" width="17.5" style="115" bestFit="1" customWidth="1"/>
    <col min="9237" max="9475" width="7" style="115"/>
    <col min="9476" max="9476" width="4" style="115" bestFit="1" customWidth="1"/>
    <col min="9477" max="9477" width="4.625" style="115" bestFit="1" customWidth="1"/>
    <col min="9478" max="9478" width="25.125" style="115" customWidth="1"/>
    <col min="9479" max="9479" width="11.75" style="115" customWidth="1"/>
    <col min="9480" max="9480" width="7" style="115" bestFit="1" customWidth="1"/>
    <col min="9481" max="9481" width="9.125" style="115" customWidth="1"/>
    <col min="9482" max="9482" width="10" style="115" bestFit="1" customWidth="1"/>
    <col min="9483" max="9483" width="10.375" style="115" bestFit="1" customWidth="1"/>
    <col min="9484" max="9484" width="8.5" style="115" bestFit="1" customWidth="1"/>
    <col min="9485" max="9485" width="7.5" style="115" customWidth="1"/>
    <col min="9486" max="9486" width="6.5" style="115" customWidth="1"/>
    <col min="9487" max="9487" width="8.625" style="115" customWidth="1"/>
    <col min="9488" max="9488" width="12.875" style="115" customWidth="1"/>
    <col min="9489" max="9489" width="13.25" style="115" customWidth="1"/>
    <col min="9490" max="9490" width="13" style="115" bestFit="1" customWidth="1"/>
    <col min="9491" max="9491" width="10" style="115" bestFit="1" customWidth="1"/>
    <col min="9492" max="9492" width="17.5" style="115" bestFit="1" customWidth="1"/>
    <col min="9493" max="9731" width="7" style="115"/>
    <col min="9732" max="9732" width="4" style="115" bestFit="1" customWidth="1"/>
    <col min="9733" max="9733" width="4.625" style="115" bestFit="1" customWidth="1"/>
    <col min="9734" max="9734" width="25.125" style="115" customWidth="1"/>
    <col min="9735" max="9735" width="11.75" style="115" customWidth="1"/>
    <col min="9736" max="9736" width="7" style="115" bestFit="1" customWidth="1"/>
    <col min="9737" max="9737" width="9.125" style="115" customWidth="1"/>
    <col min="9738" max="9738" width="10" style="115" bestFit="1" customWidth="1"/>
    <col min="9739" max="9739" width="10.375" style="115" bestFit="1" customWidth="1"/>
    <col min="9740" max="9740" width="8.5" style="115" bestFit="1" customWidth="1"/>
    <col min="9741" max="9741" width="7.5" style="115" customWidth="1"/>
    <col min="9742" max="9742" width="6.5" style="115" customWidth="1"/>
    <col min="9743" max="9743" width="8.625" style="115" customWidth="1"/>
    <col min="9744" max="9744" width="12.875" style="115" customWidth="1"/>
    <col min="9745" max="9745" width="13.25" style="115" customWidth="1"/>
    <col min="9746" max="9746" width="13" style="115" bestFit="1" customWidth="1"/>
    <col min="9747" max="9747" width="10" style="115" bestFit="1" customWidth="1"/>
    <col min="9748" max="9748" width="17.5" style="115" bestFit="1" customWidth="1"/>
    <col min="9749" max="9987" width="7" style="115"/>
    <col min="9988" max="9988" width="4" style="115" bestFit="1" customWidth="1"/>
    <col min="9989" max="9989" width="4.625" style="115" bestFit="1" customWidth="1"/>
    <col min="9990" max="9990" width="25.125" style="115" customWidth="1"/>
    <col min="9991" max="9991" width="11.75" style="115" customWidth="1"/>
    <col min="9992" max="9992" width="7" style="115" bestFit="1" customWidth="1"/>
    <col min="9993" max="9993" width="9.125" style="115" customWidth="1"/>
    <col min="9994" max="9994" width="10" style="115" bestFit="1" customWidth="1"/>
    <col min="9995" max="9995" width="10.375" style="115" bestFit="1" customWidth="1"/>
    <col min="9996" max="9996" width="8.5" style="115" bestFit="1" customWidth="1"/>
    <col min="9997" max="9997" width="7.5" style="115" customWidth="1"/>
    <col min="9998" max="9998" width="6.5" style="115" customWidth="1"/>
    <col min="9999" max="9999" width="8.625" style="115" customWidth="1"/>
    <col min="10000" max="10000" width="12.875" style="115" customWidth="1"/>
    <col min="10001" max="10001" width="13.25" style="115" customWidth="1"/>
    <col min="10002" max="10002" width="13" style="115" bestFit="1" customWidth="1"/>
    <col min="10003" max="10003" width="10" style="115" bestFit="1" customWidth="1"/>
    <col min="10004" max="10004" width="17.5" style="115" bestFit="1" customWidth="1"/>
    <col min="10005" max="10243" width="7" style="115"/>
    <col min="10244" max="10244" width="4" style="115" bestFit="1" customWidth="1"/>
    <col min="10245" max="10245" width="4.625" style="115" bestFit="1" customWidth="1"/>
    <col min="10246" max="10246" width="25.125" style="115" customWidth="1"/>
    <col min="10247" max="10247" width="11.75" style="115" customWidth="1"/>
    <col min="10248" max="10248" width="7" style="115" bestFit="1" customWidth="1"/>
    <col min="10249" max="10249" width="9.125" style="115" customWidth="1"/>
    <col min="10250" max="10250" width="10" style="115" bestFit="1" customWidth="1"/>
    <col min="10251" max="10251" width="10.375" style="115" bestFit="1" customWidth="1"/>
    <col min="10252" max="10252" width="8.5" style="115" bestFit="1" customWidth="1"/>
    <col min="10253" max="10253" width="7.5" style="115" customWidth="1"/>
    <col min="10254" max="10254" width="6.5" style="115" customWidth="1"/>
    <col min="10255" max="10255" width="8.625" style="115" customWidth="1"/>
    <col min="10256" max="10256" width="12.875" style="115" customWidth="1"/>
    <col min="10257" max="10257" width="13.25" style="115" customWidth="1"/>
    <col min="10258" max="10258" width="13" style="115" bestFit="1" customWidth="1"/>
    <col min="10259" max="10259" width="10" style="115" bestFit="1" customWidth="1"/>
    <col min="10260" max="10260" width="17.5" style="115" bestFit="1" customWidth="1"/>
    <col min="10261" max="10499" width="7" style="115"/>
    <col min="10500" max="10500" width="4" style="115" bestFit="1" customWidth="1"/>
    <col min="10501" max="10501" width="4.625" style="115" bestFit="1" customWidth="1"/>
    <col min="10502" max="10502" width="25.125" style="115" customWidth="1"/>
    <col min="10503" max="10503" width="11.75" style="115" customWidth="1"/>
    <col min="10504" max="10504" width="7" style="115" bestFit="1" customWidth="1"/>
    <col min="10505" max="10505" width="9.125" style="115" customWidth="1"/>
    <col min="10506" max="10506" width="10" style="115" bestFit="1" customWidth="1"/>
    <col min="10507" max="10507" width="10.375" style="115" bestFit="1" customWidth="1"/>
    <col min="10508" max="10508" width="8.5" style="115" bestFit="1" customWidth="1"/>
    <col min="10509" max="10509" width="7.5" style="115" customWidth="1"/>
    <col min="10510" max="10510" width="6.5" style="115" customWidth="1"/>
    <col min="10511" max="10511" width="8.625" style="115" customWidth="1"/>
    <col min="10512" max="10512" width="12.875" style="115" customWidth="1"/>
    <col min="10513" max="10513" width="13.25" style="115" customWidth="1"/>
    <col min="10514" max="10514" width="13" style="115" bestFit="1" customWidth="1"/>
    <col min="10515" max="10515" width="10" style="115" bestFit="1" customWidth="1"/>
    <col min="10516" max="10516" width="17.5" style="115" bestFit="1" customWidth="1"/>
    <col min="10517" max="10755" width="7" style="115"/>
    <col min="10756" max="10756" width="4" style="115" bestFit="1" customWidth="1"/>
    <col min="10757" max="10757" width="4.625" style="115" bestFit="1" customWidth="1"/>
    <col min="10758" max="10758" width="25.125" style="115" customWidth="1"/>
    <col min="10759" max="10759" width="11.75" style="115" customWidth="1"/>
    <col min="10760" max="10760" width="7" style="115" bestFit="1" customWidth="1"/>
    <col min="10761" max="10761" width="9.125" style="115" customWidth="1"/>
    <col min="10762" max="10762" width="10" style="115" bestFit="1" customWidth="1"/>
    <col min="10763" max="10763" width="10.375" style="115" bestFit="1" customWidth="1"/>
    <col min="10764" max="10764" width="8.5" style="115" bestFit="1" customWidth="1"/>
    <col min="10765" max="10765" width="7.5" style="115" customWidth="1"/>
    <col min="10766" max="10766" width="6.5" style="115" customWidth="1"/>
    <col min="10767" max="10767" width="8.625" style="115" customWidth="1"/>
    <col min="10768" max="10768" width="12.875" style="115" customWidth="1"/>
    <col min="10769" max="10769" width="13.25" style="115" customWidth="1"/>
    <col min="10770" max="10770" width="13" style="115" bestFit="1" customWidth="1"/>
    <col min="10771" max="10771" width="10" style="115" bestFit="1" customWidth="1"/>
    <col min="10772" max="10772" width="17.5" style="115" bestFit="1" customWidth="1"/>
    <col min="10773" max="11011" width="7" style="115"/>
    <col min="11012" max="11012" width="4" style="115" bestFit="1" customWidth="1"/>
    <col min="11013" max="11013" width="4.625" style="115" bestFit="1" customWidth="1"/>
    <col min="11014" max="11014" width="25.125" style="115" customWidth="1"/>
    <col min="11015" max="11015" width="11.75" style="115" customWidth="1"/>
    <col min="11016" max="11016" width="7" style="115" bestFit="1" customWidth="1"/>
    <col min="11017" max="11017" width="9.125" style="115" customWidth="1"/>
    <col min="11018" max="11018" width="10" style="115" bestFit="1" customWidth="1"/>
    <col min="11019" max="11019" width="10.375" style="115" bestFit="1" customWidth="1"/>
    <col min="11020" max="11020" width="8.5" style="115" bestFit="1" customWidth="1"/>
    <col min="11021" max="11021" width="7.5" style="115" customWidth="1"/>
    <col min="11022" max="11022" width="6.5" style="115" customWidth="1"/>
    <col min="11023" max="11023" width="8.625" style="115" customWidth="1"/>
    <col min="11024" max="11024" width="12.875" style="115" customWidth="1"/>
    <col min="11025" max="11025" width="13.25" style="115" customWidth="1"/>
    <col min="11026" max="11026" width="13" style="115" bestFit="1" customWidth="1"/>
    <col min="11027" max="11027" width="10" style="115" bestFit="1" customWidth="1"/>
    <col min="11028" max="11028" width="17.5" style="115" bestFit="1" customWidth="1"/>
    <col min="11029" max="11267" width="7" style="115"/>
    <col min="11268" max="11268" width="4" style="115" bestFit="1" customWidth="1"/>
    <col min="11269" max="11269" width="4.625" style="115" bestFit="1" customWidth="1"/>
    <col min="11270" max="11270" width="25.125" style="115" customWidth="1"/>
    <col min="11271" max="11271" width="11.75" style="115" customWidth="1"/>
    <col min="11272" max="11272" width="7" style="115" bestFit="1" customWidth="1"/>
    <col min="11273" max="11273" width="9.125" style="115" customWidth="1"/>
    <col min="11274" max="11274" width="10" style="115" bestFit="1" customWidth="1"/>
    <col min="11275" max="11275" width="10.375" style="115" bestFit="1" customWidth="1"/>
    <col min="11276" max="11276" width="8.5" style="115" bestFit="1" customWidth="1"/>
    <col min="11277" max="11277" width="7.5" style="115" customWidth="1"/>
    <col min="11278" max="11278" width="6.5" style="115" customWidth="1"/>
    <col min="11279" max="11279" width="8.625" style="115" customWidth="1"/>
    <col min="11280" max="11280" width="12.875" style="115" customWidth="1"/>
    <col min="11281" max="11281" width="13.25" style="115" customWidth="1"/>
    <col min="11282" max="11282" width="13" style="115" bestFit="1" customWidth="1"/>
    <col min="11283" max="11283" width="10" style="115" bestFit="1" customWidth="1"/>
    <col min="11284" max="11284" width="17.5" style="115" bestFit="1" customWidth="1"/>
    <col min="11285" max="11523" width="7" style="115"/>
    <col min="11524" max="11524" width="4" style="115" bestFit="1" customWidth="1"/>
    <col min="11525" max="11525" width="4.625" style="115" bestFit="1" customWidth="1"/>
    <col min="11526" max="11526" width="25.125" style="115" customWidth="1"/>
    <col min="11527" max="11527" width="11.75" style="115" customWidth="1"/>
    <col min="11528" max="11528" width="7" style="115" bestFit="1" customWidth="1"/>
    <col min="11529" max="11529" width="9.125" style="115" customWidth="1"/>
    <col min="11530" max="11530" width="10" style="115" bestFit="1" customWidth="1"/>
    <col min="11531" max="11531" width="10.375" style="115" bestFit="1" customWidth="1"/>
    <col min="11532" max="11532" width="8.5" style="115" bestFit="1" customWidth="1"/>
    <col min="11533" max="11533" width="7.5" style="115" customWidth="1"/>
    <col min="11534" max="11534" width="6.5" style="115" customWidth="1"/>
    <col min="11535" max="11535" width="8.625" style="115" customWidth="1"/>
    <col min="11536" max="11536" width="12.875" style="115" customWidth="1"/>
    <col min="11537" max="11537" width="13.25" style="115" customWidth="1"/>
    <col min="11538" max="11538" width="13" style="115" bestFit="1" customWidth="1"/>
    <col min="11539" max="11539" width="10" style="115" bestFit="1" customWidth="1"/>
    <col min="11540" max="11540" width="17.5" style="115" bestFit="1" customWidth="1"/>
    <col min="11541" max="11779" width="7" style="115"/>
    <col min="11780" max="11780" width="4" style="115" bestFit="1" customWidth="1"/>
    <col min="11781" max="11781" width="4.625" style="115" bestFit="1" customWidth="1"/>
    <col min="11782" max="11782" width="25.125" style="115" customWidth="1"/>
    <col min="11783" max="11783" width="11.75" style="115" customWidth="1"/>
    <col min="11784" max="11784" width="7" style="115" bestFit="1" customWidth="1"/>
    <col min="11785" max="11785" width="9.125" style="115" customWidth="1"/>
    <col min="11786" max="11786" width="10" style="115" bestFit="1" customWidth="1"/>
    <col min="11787" max="11787" width="10.375" style="115" bestFit="1" customWidth="1"/>
    <col min="11788" max="11788" width="8.5" style="115" bestFit="1" customWidth="1"/>
    <col min="11789" max="11789" width="7.5" style="115" customWidth="1"/>
    <col min="11790" max="11790" width="6.5" style="115" customWidth="1"/>
    <col min="11791" max="11791" width="8.625" style="115" customWidth="1"/>
    <col min="11792" max="11792" width="12.875" style="115" customWidth="1"/>
    <col min="11793" max="11793" width="13.25" style="115" customWidth="1"/>
    <col min="11794" max="11794" width="13" style="115" bestFit="1" customWidth="1"/>
    <col min="11795" max="11795" width="10" style="115" bestFit="1" customWidth="1"/>
    <col min="11796" max="11796" width="17.5" style="115" bestFit="1" customWidth="1"/>
    <col min="11797" max="12035" width="7" style="115"/>
    <col min="12036" max="12036" width="4" style="115" bestFit="1" customWidth="1"/>
    <col min="12037" max="12037" width="4.625" style="115" bestFit="1" customWidth="1"/>
    <col min="12038" max="12038" width="25.125" style="115" customWidth="1"/>
    <col min="12039" max="12039" width="11.75" style="115" customWidth="1"/>
    <col min="12040" max="12040" width="7" style="115" bestFit="1" customWidth="1"/>
    <col min="12041" max="12041" width="9.125" style="115" customWidth="1"/>
    <col min="12042" max="12042" width="10" style="115" bestFit="1" customWidth="1"/>
    <col min="12043" max="12043" width="10.375" style="115" bestFit="1" customWidth="1"/>
    <col min="12044" max="12044" width="8.5" style="115" bestFit="1" customWidth="1"/>
    <col min="12045" max="12045" width="7.5" style="115" customWidth="1"/>
    <col min="12046" max="12046" width="6.5" style="115" customWidth="1"/>
    <col min="12047" max="12047" width="8.625" style="115" customWidth="1"/>
    <col min="12048" max="12048" width="12.875" style="115" customWidth="1"/>
    <col min="12049" max="12049" width="13.25" style="115" customWidth="1"/>
    <col min="12050" max="12050" width="13" style="115" bestFit="1" customWidth="1"/>
    <col min="12051" max="12051" width="10" style="115" bestFit="1" customWidth="1"/>
    <col min="12052" max="12052" width="17.5" style="115" bestFit="1" customWidth="1"/>
    <col min="12053" max="12291" width="7" style="115"/>
    <col min="12292" max="12292" width="4" style="115" bestFit="1" customWidth="1"/>
    <col min="12293" max="12293" width="4.625" style="115" bestFit="1" customWidth="1"/>
    <col min="12294" max="12294" width="25.125" style="115" customWidth="1"/>
    <col min="12295" max="12295" width="11.75" style="115" customWidth="1"/>
    <col min="12296" max="12296" width="7" style="115" bestFit="1" customWidth="1"/>
    <col min="12297" max="12297" width="9.125" style="115" customWidth="1"/>
    <col min="12298" max="12298" width="10" style="115" bestFit="1" customWidth="1"/>
    <col min="12299" max="12299" width="10.375" style="115" bestFit="1" customWidth="1"/>
    <col min="12300" max="12300" width="8.5" style="115" bestFit="1" customWidth="1"/>
    <col min="12301" max="12301" width="7.5" style="115" customWidth="1"/>
    <col min="12302" max="12302" width="6.5" style="115" customWidth="1"/>
    <col min="12303" max="12303" width="8.625" style="115" customWidth="1"/>
    <col min="12304" max="12304" width="12.875" style="115" customWidth="1"/>
    <col min="12305" max="12305" width="13.25" style="115" customWidth="1"/>
    <col min="12306" max="12306" width="13" style="115" bestFit="1" customWidth="1"/>
    <col min="12307" max="12307" width="10" style="115" bestFit="1" customWidth="1"/>
    <col min="12308" max="12308" width="17.5" style="115" bestFit="1" customWidth="1"/>
    <col min="12309" max="12547" width="7" style="115"/>
    <col min="12548" max="12548" width="4" style="115" bestFit="1" customWidth="1"/>
    <col min="12549" max="12549" width="4.625" style="115" bestFit="1" customWidth="1"/>
    <col min="12550" max="12550" width="25.125" style="115" customWidth="1"/>
    <col min="12551" max="12551" width="11.75" style="115" customWidth="1"/>
    <col min="12552" max="12552" width="7" style="115" bestFit="1" customWidth="1"/>
    <col min="12553" max="12553" width="9.125" style="115" customWidth="1"/>
    <col min="12554" max="12554" width="10" style="115" bestFit="1" customWidth="1"/>
    <col min="12555" max="12555" width="10.375" style="115" bestFit="1" customWidth="1"/>
    <col min="12556" max="12556" width="8.5" style="115" bestFit="1" customWidth="1"/>
    <col min="12557" max="12557" width="7.5" style="115" customWidth="1"/>
    <col min="12558" max="12558" width="6.5" style="115" customWidth="1"/>
    <col min="12559" max="12559" width="8.625" style="115" customWidth="1"/>
    <col min="12560" max="12560" width="12.875" style="115" customWidth="1"/>
    <col min="12561" max="12561" width="13.25" style="115" customWidth="1"/>
    <col min="12562" max="12562" width="13" style="115" bestFit="1" customWidth="1"/>
    <col min="12563" max="12563" width="10" style="115" bestFit="1" customWidth="1"/>
    <col min="12564" max="12564" width="17.5" style="115" bestFit="1" customWidth="1"/>
    <col min="12565" max="12803" width="7" style="115"/>
    <col min="12804" max="12804" width="4" style="115" bestFit="1" customWidth="1"/>
    <col min="12805" max="12805" width="4.625" style="115" bestFit="1" customWidth="1"/>
    <col min="12806" max="12806" width="25.125" style="115" customWidth="1"/>
    <col min="12807" max="12807" width="11.75" style="115" customWidth="1"/>
    <col min="12808" max="12808" width="7" style="115" bestFit="1" customWidth="1"/>
    <col min="12809" max="12809" width="9.125" style="115" customWidth="1"/>
    <col min="12810" max="12810" width="10" style="115" bestFit="1" customWidth="1"/>
    <col min="12811" max="12811" width="10.375" style="115" bestFit="1" customWidth="1"/>
    <col min="12812" max="12812" width="8.5" style="115" bestFit="1" customWidth="1"/>
    <col min="12813" max="12813" width="7.5" style="115" customWidth="1"/>
    <col min="12814" max="12814" width="6.5" style="115" customWidth="1"/>
    <col min="12815" max="12815" width="8.625" style="115" customWidth="1"/>
    <col min="12816" max="12816" width="12.875" style="115" customWidth="1"/>
    <col min="12817" max="12817" width="13.25" style="115" customWidth="1"/>
    <col min="12818" max="12818" width="13" style="115" bestFit="1" customWidth="1"/>
    <col min="12819" max="12819" width="10" style="115" bestFit="1" customWidth="1"/>
    <col min="12820" max="12820" width="17.5" style="115" bestFit="1" customWidth="1"/>
    <col min="12821" max="13059" width="7" style="115"/>
    <col min="13060" max="13060" width="4" style="115" bestFit="1" customWidth="1"/>
    <col min="13061" max="13061" width="4.625" style="115" bestFit="1" customWidth="1"/>
    <col min="13062" max="13062" width="25.125" style="115" customWidth="1"/>
    <col min="13063" max="13063" width="11.75" style="115" customWidth="1"/>
    <col min="13064" max="13064" width="7" style="115" bestFit="1" customWidth="1"/>
    <col min="13065" max="13065" width="9.125" style="115" customWidth="1"/>
    <col min="13066" max="13066" width="10" style="115" bestFit="1" customWidth="1"/>
    <col min="13067" max="13067" width="10.375" style="115" bestFit="1" customWidth="1"/>
    <col min="13068" max="13068" width="8.5" style="115" bestFit="1" customWidth="1"/>
    <col min="13069" max="13069" width="7.5" style="115" customWidth="1"/>
    <col min="13070" max="13070" width="6.5" style="115" customWidth="1"/>
    <col min="13071" max="13071" width="8.625" style="115" customWidth="1"/>
    <col min="13072" max="13072" width="12.875" style="115" customWidth="1"/>
    <col min="13073" max="13073" width="13.25" style="115" customWidth="1"/>
    <col min="13074" max="13074" width="13" style="115" bestFit="1" customWidth="1"/>
    <col min="13075" max="13075" width="10" style="115" bestFit="1" customWidth="1"/>
    <col min="13076" max="13076" width="17.5" style="115" bestFit="1" customWidth="1"/>
    <col min="13077" max="13315" width="7" style="115"/>
    <col min="13316" max="13316" width="4" style="115" bestFit="1" customWidth="1"/>
    <col min="13317" max="13317" width="4.625" style="115" bestFit="1" customWidth="1"/>
    <col min="13318" max="13318" width="25.125" style="115" customWidth="1"/>
    <col min="13319" max="13319" width="11.75" style="115" customWidth="1"/>
    <col min="13320" max="13320" width="7" style="115" bestFit="1" customWidth="1"/>
    <col min="13321" max="13321" width="9.125" style="115" customWidth="1"/>
    <col min="13322" max="13322" width="10" style="115" bestFit="1" customWidth="1"/>
    <col min="13323" max="13323" width="10.375" style="115" bestFit="1" customWidth="1"/>
    <col min="13324" max="13324" width="8.5" style="115" bestFit="1" customWidth="1"/>
    <col min="13325" max="13325" width="7.5" style="115" customWidth="1"/>
    <col min="13326" max="13326" width="6.5" style="115" customWidth="1"/>
    <col min="13327" max="13327" width="8.625" style="115" customWidth="1"/>
    <col min="13328" max="13328" width="12.875" style="115" customWidth="1"/>
    <col min="13329" max="13329" width="13.25" style="115" customWidth="1"/>
    <col min="13330" max="13330" width="13" style="115" bestFit="1" customWidth="1"/>
    <col min="13331" max="13331" width="10" style="115" bestFit="1" customWidth="1"/>
    <col min="13332" max="13332" width="17.5" style="115" bestFit="1" customWidth="1"/>
    <col min="13333" max="13571" width="7" style="115"/>
    <col min="13572" max="13572" width="4" style="115" bestFit="1" customWidth="1"/>
    <col min="13573" max="13573" width="4.625" style="115" bestFit="1" customWidth="1"/>
    <col min="13574" max="13574" width="25.125" style="115" customWidth="1"/>
    <col min="13575" max="13575" width="11.75" style="115" customWidth="1"/>
    <col min="13576" max="13576" width="7" style="115" bestFit="1" customWidth="1"/>
    <col min="13577" max="13577" width="9.125" style="115" customWidth="1"/>
    <col min="13578" max="13578" width="10" style="115" bestFit="1" customWidth="1"/>
    <col min="13579" max="13579" width="10.375" style="115" bestFit="1" customWidth="1"/>
    <col min="13580" max="13580" width="8.5" style="115" bestFit="1" customWidth="1"/>
    <col min="13581" max="13581" width="7.5" style="115" customWidth="1"/>
    <col min="13582" max="13582" width="6.5" style="115" customWidth="1"/>
    <col min="13583" max="13583" width="8.625" style="115" customWidth="1"/>
    <col min="13584" max="13584" width="12.875" style="115" customWidth="1"/>
    <col min="13585" max="13585" width="13.25" style="115" customWidth="1"/>
    <col min="13586" max="13586" width="13" style="115" bestFit="1" customWidth="1"/>
    <col min="13587" max="13587" width="10" style="115" bestFit="1" customWidth="1"/>
    <col min="13588" max="13588" width="17.5" style="115" bestFit="1" customWidth="1"/>
    <col min="13589" max="13827" width="7" style="115"/>
    <col min="13828" max="13828" width="4" style="115" bestFit="1" customWidth="1"/>
    <col min="13829" max="13829" width="4.625" style="115" bestFit="1" customWidth="1"/>
    <col min="13830" max="13830" width="25.125" style="115" customWidth="1"/>
    <col min="13831" max="13831" width="11.75" style="115" customWidth="1"/>
    <col min="13832" max="13832" width="7" style="115" bestFit="1" customWidth="1"/>
    <col min="13833" max="13833" width="9.125" style="115" customWidth="1"/>
    <col min="13834" max="13834" width="10" style="115" bestFit="1" customWidth="1"/>
    <col min="13835" max="13835" width="10.375" style="115" bestFit="1" customWidth="1"/>
    <col min="13836" max="13836" width="8.5" style="115" bestFit="1" customWidth="1"/>
    <col min="13837" max="13837" width="7.5" style="115" customWidth="1"/>
    <col min="13838" max="13838" width="6.5" style="115" customWidth="1"/>
    <col min="13839" max="13839" width="8.625" style="115" customWidth="1"/>
    <col min="13840" max="13840" width="12.875" style="115" customWidth="1"/>
    <col min="13841" max="13841" width="13.25" style="115" customWidth="1"/>
    <col min="13842" max="13842" width="13" style="115" bestFit="1" customWidth="1"/>
    <col min="13843" max="13843" width="10" style="115" bestFit="1" customWidth="1"/>
    <col min="13844" max="13844" width="17.5" style="115" bestFit="1" customWidth="1"/>
    <col min="13845" max="14083" width="7" style="115"/>
    <col min="14084" max="14084" width="4" style="115" bestFit="1" customWidth="1"/>
    <col min="14085" max="14085" width="4.625" style="115" bestFit="1" customWidth="1"/>
    <col min="14086" max="14086" width="25.125" style="115" customWidth="1"/>
    <col min="14087" max="14087" width="11.75" style="115" customWidth="1"/>
    <col min="14088" max="14088" width="7" style="115" bestFit="1" customWidth="1"/>
    <col min="14089" max="14089" width="9.125" style="115" customWidth="1"/>
    <col min="14090" max="14090" width="10" style="115" bestFit="1" customWidth="1"/>
    <col min="14091" max="14091" width="10.375" style="115" bestFit="1" customWidth="1"/>
    <col min="14092" max="14092" width="8.5" style="115" bestFit="1" customWidth="1"/>
    <col min="14093" max="14093" width="7.5" style="115" customWidth="1"/>
    <col min="14094" max="14094" width="6.5" style="115" customWidth="1"/>
    <col min="14095" max="14095" width="8.625" style="115" customWidth="1"/>
    <col min="14096" max="14096" width="12.875" style="115" customWidth="1"/>
    <col min="14097" max="14097" width="13.25" style="115" customWidth="1"/>
    <col min="14098" max="14098" width="13" style="115" bestFit="1" customWidth="1"/>
    <col min="14099" max="14099" width="10" style="115" bestFit="1" customWidth="1"/>
    <col min="14100" max="14100" width="17.5" style="115" bestFit="1" customWidth="1"/>
    <col min="14101" max="14339" width="7" style="115"/>
    <col min="14340" max="14340" width="4" style="115" bestFit="1" customWidth="1"/>
    <col min="14341" max="14341" width="4.625" style="115" bestFit="1" customWidth="1"/>
    <col min="14342" max="14342" width="25.125" style="115" customWidth="1"/>
    <col min="14343" max="14343" width="11.75" style="115" customWidth="1"/>
    <col min="14344" max="14344" width="7" style="115" bestFit="1" customWidth="1"/>
    <col min="14345" max="14345" width="9.125" style="115" customWidth="1"/>
    <col min="14346" max="14346" width="10" style="115" bestFit="1" customWidth="1"/>
    <col min="14347" max="14347" width="10.375" style="115" bestFit="1" customWidth="1"/>
    <col min="14348" max="14348" width="8.5" style="115" bestFit="1" customWidth="1"/>
    <col min="14349" max="14349" width="7.5" style="115" customWidth="1"/>
    <col min="14350" max="14350" width="6.5" style="115" customWidth="1"/>
    <col min="14351" max="14351" width="8.625" style="115" customWidth="1"/>
    <col min="14352" max="14352" width="12.875" style="115" customWidth="1"/>
    <col min="14353" max="14353" width="13.25" style="115" customWidth="1"/>
    <col min="14354" max="14354" width="13" style="115" bestFit="1" customWidth="1"/>
    <col min="14355" max="14355" width="10" style="115" bestFit="1" customWidth="1"/>
    <col min="14356" max="14356" width="17.5" style="115" bestFit="1" customWidth="1"/>
    <col min="14357" max="14595" width="7" style="115"/>
    <col min="14596" max="14596" width="4" style="115" bestFit="1" customWidth="1"/>
    <col min="14597" max="14597" width="4.625" style="115" bestFit="1" customWidth="1"/>
    <col min="14598" max="14598" width="25.125" style="115" customWidth="1"/>
    <col min="14599" max="14599" width="11.75" style="115" customWidth="1"/>
    <col min="14600" max="14600" width="7" style="115" bestFit="1" customWidth="1"/>
    <col min="14601" max="14601" width="9.125" style="115" customWidth="1"/>
    <col min="14602" max="14602" width="10" style="115" bestFit="1" customWidth="1"/>
    <col min="14603" max="14603" width="10.375" style="115" bestFit="1" customWidth="1"/>
    <col min="14604" max="14604" width="8.5" style="115" bestFit="1" customWidth="1"/>
    <col min="14605" max="14605" width="7.5" style="115" customWidth="1"/>
    <col min="14606" max="14606" width="6.5" style="115" customWidth="1"/>
    <col min="14607" max="14607" width="8.625" style="115" customWidth="1"/>
    <col min="14608" max="14608" width="12.875" style="115" customWidth="1"/>
    <col min="14609" max="14609" width="13.25" style="115" customWidth="1"/>
    <col min="14610" max="14610" width="13" style="115" bestFit="1" customWidth="1"/>
    <col min="14611" max="14611" width="10" style="115" bestFit="1" customWidth="1"/>
    <col min="14612" max="14612" width="17.5" style="115" bestFit="1" customWidth="1"/>
    <col min="14613" max="14851" width="7" style="115"/>
    <col min="14852" max="14852" width="4" style="115" bestFit="1" customWidth="1"/>
    <col min="14853" max="14853" width="4.625" style="115" bestFit="1" customWidth="1"/>
    <col min="14854" max="14854" width="25.125" style="115" customWidth="1"/>
    <col min="14855" max="14855" width="11.75" style="115" customWidth="1"/>
    <col min="14856" max="14856" width="7" style="115" bestFit="1" customWidth="1"/>
    <col min="14857" max="14857" width="9.125" style="115" customWidth="1"/>
    <col min="14858" max="14858" width="10" style="115" bestFit="1" customWidth="1"/>
    <col min="14859" max="14859" width="10.375" style="115" bestFit="1" customWidth="1"/>
    <col min="14860" max="14860" width="8.5" style="115" bestFit="1" customWidth="1"/>
    <col min="14861" max="14861" width="7.5" style="115" customWidth="1"/>
    <col min="14862" max="14862" width="6.5" style="115" customWidth="1"/>
    <col min="14863" max="14863" width="8.625" style="115" customWidth="1"/>
    <col min="14864" max="14864" width="12.875" style="115" customWidth="1"/>
    <col min="14865" max="14865" width="13.25" style="115" customWidth="1"/>
    <col min="14866" max="14866" width="13" style="115" bestFit="1" customWidth="1"/>
    <col min="14867" max="14867" width="10" style="115" bestFit="1" customWidth="1"/>
    <col min="14868" max="14868" width="17.5" style="115" bestFit="1" customWidth="1"/>
    <col min="14869" max="15107" width="7" style="115"/>
    <col min="15108" max="15108" width="4" style="115" bestFit="1" customWidth="1"/>
    <col min="15109" max="15109" width="4.625" style="115" bestFit="1" customWidth="1"/>
    <col min="15110" max="15110" width="25.125" style="115" customWidth="1"/>
    <col min="15111" max="15111" width="11.75" style="115" customWidth="1"/>
    <col min="15112" max="15112" width="7" style="115" bestFit="1" customWidth="1"/>
    <col min="15113" max="15113" width="9.125" style="115" customWidth="1"/>
    <col min="15114" max="15114" width="10" style="115" bestFit="1" customWidth="1"/>
    <col min="15115" max="15115" width="10.375" style="115" bestFit="1" customWidth="1"/>
    <col min="15116" max="15116" width="8.5" style="115" bestFit="1" customWidth="1"/>
    <col min="15117" max="15117" width="7.5" style="115" customWidth="1"/>
    <col min="15118" max="15118" width="6.5" style="115" customWidth="1"/>
    <col min="15119" max="15119" width="8.625" style="115" customWidth="1"/>
    <col min="15120" max="15120" width="12.875" style="115" customWidth="1"/>
    <col min="15121" max="15121" width="13.25" style="115" customWidth="1"/>
    <col min="15122" max="15122" width="13" style="115" bestFit="1" customWidth="1"/>
    <col min="15123" max="15123" width="10" style="115" bestFit="1" customWidth="1"/>
    <col min="15124" max="15124" width="17.5" style="115" bestFit="1" customWidth="1"/>
    <col min="15125" max="15363" width="7" style="115"/>
    <col min="15364" max="15364" width="4" style="115" bestFit="1" customWidth="1"/>
    <col min="15365" max="15365" width="4.625" style="115" bestFit="1" customWidth="1"/>
    <col min="15366" max="15366" width="25.125" style="115" customWidth="1"/>
    <col min="15367" max="15367" width="11.75" style="115" customWidth="1"/>
    <col min="15368" max="15368" width="7" style="115" bestFit="1" customWidth="1"/>
    <col min="15369" max="15369" width="9.125" style="115" customWidth="1"/>
    <col min="15370" max="15370" width="10" style="115" bestFit="1" customWidth="1"/>
    <col min="15371" max="15371" width="10.375" style="115" bestFit="1" customWidth="1"/>
    <col min="15372" max="15372" width="8.5" style="115" bestFit="1" customWidth="1"/>
    <col min="15373" max="15373" width="7.5" style="115" customWidth="1"/>
    <col min="15374" max="15374" width="6.5" style="115" customWidth="1"/>
    <col min="15375" max="15375" width="8.625" style="115" customWidth="1"/>
    <col min="15376" max="15376" width="12.875" style="115" customWidth="1"/>
    <col min="15377" max="15377" width="13.25" style="115" customWidth="1"/>
    <col min="15378" max="15378" width="13" style="115" bestFit="1" customWidth="1"/>
    <col min="15379" max="15379" width="10" style="115" bestFit="1" customWidth="1"/>
    <col min="15380" max="15380" width="17.5" style="115" bestFit="1" customWidth="1"/>
    <col min="15381" max="15619" width="7" style="115"/>
    <col min="15620" max="15620" width="4" style="115" bestFit="1" customWidth="1"/>
    <col min="15621" max="15621" width="4.625" style="115" bestFit="1" customWidth="1"/>
    <col min="15622" max="15622" width="25.125" style="115" customWidth="1"/>
    <col min="15623" max="15623" width="11.75" style="115" customWidth="1"/>
    <col min="15624" max="15624" width="7" style="115" bestFit="1" customWidth="1"/>
    <col min="15625" max="15625" width="9.125" style="115" customWidth="1"/>
    <col min="15626" max="15626" width="10" style="115" bestFit="1" customWidth="1"/>
    <col min="15627" max="15627" width="10.375" style="115" bestFit="1" customWidth="1"/>
    <col min="15628" max="15628" width="8.5" style="115" bestFit="1" customWidth="1"/>
    <col min="15629" max="15629" width="7.5" style="115" customWidth="1"/>
    <col min="15630" max="15630" width="6.5" style="115" customWidth="1"/>
    <col min="15631" max="15631" width="8.625" style="115" customWidth="1"/>
    <col min="15632" max="15632" width="12.875" style="115" customWidth="1"/>
    <col min="15633" max="15633" width="13.25" style="115" customWidth="1"/>
    <col min="15634" max="15634" width="13" style="115" bestFit="1" customWidth="1"/>
    <col min="15635" max="15635" width="10" style="115" bestFit="1" customWidth="1"/>
    <col min="15636" max="15636" width="17.5" style="115" bestFit="1" customWidth="1"/>
    <col min="15637" max="15875" width="7" style="115"/>
    <col min="15876" max="15876" width="4" style="115" bestFit="1" customWidth="1"/>
    <col min="15877" max="15877" width="4.625" style="115" bestFit="1" customWidth="1"/>
    <col min="15878" max="15878" width="25.125" style="115" customWidth="1"/>
    <col min="15879" max="15879" width="11.75" style="115" customWidth="1"/>
    <col min="15880" max="15880" width="7" style="115" bestFit="1" customWidth="1"/>
    <col min="15881" max="15881" width="9.125" style="115" customWidth="1"/>
    <col min="15882" max="15882" width="10" style="115" bestFit="1" customWidth="1"/>
    <col min="15883" max="15883" width="10.375" style="115" bestFit="1" customWidth="1"/>
    <col min="15884" max="15884" width="8.5" style="115" bestFit="1" customWidth="1"/>
    <col min="15885" max="15885" width="7.5" style="115" customWidth="1"/>
    <col min="15886" max="15886" width="6.5" style="115" customWidth="1"/>
    <col min="15887" max="15887" width="8.625" style="115" customWidth="1"/>
    <col min="15888" max="15888" width="12.875" style="115" customWidth="1"/>
    <col min="15889" max="15889" width="13.25" style="115" customWidth="1"/>
    <col min="15890" max="15890" width="13" style="115" bestFit="1" customWidth="1"/>
    <col min="15891" max="15891" width="10" style="115" bestFit="1" customWidth="1"/>
    <col min="15892" max="15892" width="17.5" style="115" bestFit="1" customWidth="1"/>
    <col min="15893" max="16131" width="7" style="115"/>
    <col min="16132" max="16132" width="4" style="115" bestFit="1" customWidth="1"/>
    <col min="16133" max="16133" width="4.625" style="115" bestFit="1" customWidth="1"/>
    <col min="16134" max="16134" width="25.125" style="115" customWidth="1"/>
    <col min="16135" max="16135" width="11.75" style="115" customWidth="1"/>
    <col min="16136" max="16136" width="7" style="115" bestFit="1" customWidth="1"/>
    <col min="16137" max="16137" width="9.125" style="115" customWidth="1"/>
    <col min="16138" max="16138" width="10" style="115" bestFit="1" customWidth="1"/>
    <col min="16139" max="16139" width="10.375" style="115" bestFit="1" customWidth="1"/>
    <col min="16140" max="16140" width="8.5" style="115" bestFit="1" customWidth="1"/>
    <col min="16141" max="16141" width="7.5" style="115" customWidth="1"/>
    <col min="16142" max="16142" width="6.5" style="115" customWidth="1"/>
    <col min="16143" max="16143" width="8.625" style="115" customWidth="1"/>
    <col min="16144" max="16144" width="12.875" style="115" customWidth="1"/>
    <col min="16145" max="16145" width="13.25" style="115" customWidth="1"/>
    <col min="16146" max="16146" width="13" style="115" bestFit="1" customWidth="1"/>
    <col min="16147" max="16147" width="10" style="115" bestFit="1" customWidth="1"/>
    <col min="16148" max="16148" width="17.5" style="115" bestFit="1" customWidth="1"/>
    <col min="16149" max="16384" width="7" style="115"/>
  </cols>
  <sheetData>
    <row r="1" spans="1:21">
      <c r="A1" s="1428" t="s">
        <v>131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15"/>
      <c r="T1" s="115"/>
      <c r="U1" s="115"/>
    </row>
    <row r="2" spans="1:21">
      <c r="A2" s="1428" t="s">
        <v>132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  <c r="N2" s="1428"/>
      <c r="O2" s="1428"/>
      <c r="P2" s="1428"/>
      <c r="Q2" s="1428"/>
      <c r="R2" s="1428"/>
      <c r="S2" s="116" t="s">
        <v>133</v>
      </c>
      <c r="T2" s="116"/>
      <c r="U2" s="116"/>
    </row>
    <row r="3" spans="1:21">
      <c r="A3" s="1429" t="s">
        <v>711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  <c r="M3" s="1429"/>
      <c r="N3" s="1429"/>
      <c r="O3" s="1429"/>
      <c r="P3" s="1429"/>
      <c r="Q3" s="1429"/>
      <c r="R3" s="1429"/>
      <c r="S3" s="800"/>
      <c r="T3" s="800"/>
      <c r="U3" s="800"/>
    </row>
    <row r="4" spans="1:21">
      <c r="A4" s="118"/>
      <c r="B4" s="118"/>
      <c r="C4" s="119" t="s">
        <v>134</v>
      </c>
      <c r="D4" s="12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21"/>
      <c r="Q4" s="118"/>
      <c r="R4" s="118"/>
      <c r="S4" s="122" t="s">
        <v>135</v>
      </c>
      <c r="T4" s="122"/>
      <c r="U4" s="122"/>
    </row>
    <row r="5" spans="1:21">
      <c r="A5" s="1362" t="s">
        <v>136</v>
      </c>
      <c r="B5" s="1362" t="s">
        <v>37</v>
      </c>
      <c r="C5" s="1362" t="s">
        <v>39</v>
      </c>
      <c r="D5" s="1430" t="s">
        <v>137</v>
      </c>
      <c r="E5" s="1432" t="s">
        <v>138</v>
      </c>
      <c r="F5" s="1368" t="s">
        <v>717</v>
      </c>
      <c r="G5" s="1368" t="s">
        <v>718</v>
      </c>
      <c r="H5" s="1368" t="s">
        <v>719</v>
      </c>
      <c r="I5" s="1368" t="s">
        <v>720</v>
      </c>
      <c r="J5" s="1368" t="s">
        <v>747</v>
      </c>
      <c r="K5" s="1368" t="s">
        <v>144</v>
      </c>
      <c r="L5" s="1362" t="s">
        <v>145</v>
      </c>
      <c r="M5" s="1362" t="s">
        <v>146</v>
      </c>
      <c r="N5" s="1362" t="s">
        <v>147</v>
      </c>
      <c r="O5" s="1362" t="s">
        <v>43</v>
      </c>
      <c r="P5" s="1362" t="s">
        <v>148</v>
      </c>
      <c r="Q5" s="1362" t="s">
        <v>149</v>
      </c>
      <c r="R5" s="1370" t="s">
        <v>150</v>
      </c>
      <c r="S5" s="1371"/>
      <c r="T5" s="1371"/>
      <c r="U5" s="1372"/>
    </row>
    <row r="6" spans="1:21" ht="56.25">
      <c r="A6" s="1363"/>
      <c r="B6" s="1363"/>
      <c r="C6" s="1363"/>
      <c r="D6" s="1431"/>
      <c r="E6" s="1433"/>
      <c r="F6" s="1369"/>
      <c r="G6" s="1369"/>
      <c r="H6" s="1369"/>
      <c r="I6" s="1369"/>
      <c r="J6" s="1369"/>
      <c r="K6" s="1369"/>
      <c r="L6" s="1363"/>
      <c r="M6" s="1363"/>
      <c r="N6" s="1363"/>
      <c r="O6" s="1363"/>
      <c r="P6" s="1363"/>
      <c r="Q6" s="1363"/>
      <c r="R6" s="797" t="s">
        <v>151</v>
      </c>
      <c r="S6" s="124" t="s">
        <v>152</v>
      </c>
      <c r="T6" s="124" t="s">
        <v>153</v>
      </c>
      <c r="U6" s="124" t="s">
        <v>154</v>
      </c>
    </row>
    <row r="7" spans="1:21" s="141" customFormat="1">
      <c r="A7" s="131"/>
      <c r="B7" s="132"/>
      <c r="C7" s="133" t="s">
        <v>829</v>
      </c>
      <c r="D7" s="134"/>
      <c r="E7" s="135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8"/>
      <c r="Q7" s="138"/>
      <c r="R7" s="139"/>
      <c r="S7" s="139"/>
      <c r="T7" s="139"/>
      <c r="U7" s="140"/>
    </row>
    <row r="8" spans="1:21" s="178" customFormat="1" ht="37.5">
      <c r="A8" s="142">
        <v>6</v>
      </c>
      <c r="B8" s="142">
        <v>1</v>
      </c>
      <c r="C8" s="133" t="s">
        <v>830</v>
      </c>
      <c r="D8" s="175">
        <v>1700000</v>
      </c>
      <c r="E8" s="175">
        <v>1</v>
      </c>
      <c r="F8" s="175">
        <v>1700000</v>
      </c>
      <c r="G8" s="175"/>
      <c r="H8" s="175"/>
      <c r="I8" s="175"/>
      <c r="J8" s="175"/>
      <c r="K8" s="175">
        <f>SUM(F8:J8)</f>
        <v>1700000</v>
      </c>
      <c r="L8" s="136" t="s">
        <v>184</v>
      </c>
      <c r="M8" s="173" t="s">
        <v>185</v>
      </c>
      <c r="N8" s="173" t="s">
        <v>185</v>
      </c>
      <c r="O8" s="139" t="s">
        <v>17</v>
      </c>
      <c r="P8" s="138" t="s">
        <v>181</v>
      </c>
      <c r="Q8" s="138" t="s">
        <v>831</v>
      </c>
      <c r="R8" s="142"/>
      <c r="S8" s="142"/>
      <c r="T8" s="142"/>
      <c r="U8" s="133"/>
    </row>
    <row r="9" spans="1:21" s="178" customFormat="1" ht="37.5">
      <c r="A9" s="142">
        <v>6</v>
      </c>
      <c r="B9" s="142">
        <v>2</v>
      </c>
      <c r="C9" s="133" t="s">
        <v>832</v>
      </c>
      <c r="D9" s="175">
        <v>436000</v>
      </c>
      <c r="E9" s="177">
        <v>1</v>
      </c>
      <c r="F9" s="176"/>
      <c r="G9" s="177">
        <v>436000</v>
      </c>
      <c r="H9" s="177"/>
      <c r="I9" s="177"/>
      <c r="J9" s="177"/>
      <c r="K9" s="175">
        <f>SUM(G9:J9)</f>
        <v>436000</v>
      </c>
      <c r="L9" s="763" t="s">
        <v>202</v>
      </c>
      <c r="M9" s="134" t="s">
        <v>203</v>
      </c>
      <c r="N9" s="173" t="s">
        <v>204</v>
      </c>
      <c r="O9" s="139" t="s">
        <v>17</v>
      </c>
      <c r="P9" s="132" t="s">
        <v>181</v>
      </c>
      <c r="Q9" s="138" t="s">
        <v>831</v>
      </c>
      <c r="R9" s="142"/>
      <c r="S9" s="142"/>
      <c r="T9" s="142"/>
      <c r="U9" s="133"/>
    </row>
    <row r="10" spans="1:21" s="178" customFormat="1" ht="37.5">
      <c r="A10" s="142">
        <v>6</v>
      </c>
      <c r="B10" s="142">
        <v>3</v>
      </c>
      <c r="C10" s="133" t="s">
        <v>832</v>
      </c>
      <c r="D10" s="175">
        <v>436000</v>
      </c>
      <c r="E10" s="177">
        <v>1</v>
      </c>
      <c r="F10" s="177"/>
      <c r="G10" s="177">
        <v>436000</v>
      </c>
      <c r="H10" s="176"/>
      <c r="I10" s="177"/>
      <c r="J10" s="177"/>
      <c r="K10" s="175">
        <f t="shared" ref="K10" si="0">SUM(F10:J10)</f>
        <v>436000</v>
      </c>
      <c r="L10" s="763" t="s">
        <v>229</v>
      </c>
      <c r="M10" s="134" t="s">
        <v>212</v>
      </c>
      <c r="N10" s="173" t="s">
        <v>230</v>
      </c>
      <c r="O10" s="139" t="s">
        <v>17</v>
      </c>
      <c r="P10" s="132" t="s">
        <v>173</v>
      </c>
      <c r="Q10" s="138" t="s">
        <v>831</v>
      </c>
      <c r="R10" s="142"/>
      <c r="S10" s="142"/>
      <c r="T10" s="142"/>
      <c r="U10" s="133"/>
    </row>
    <row r="11" spans="1:21" s="178" customFormat="1" ht="37.5">
      <c r="A11" s="142">
        <v>6</v>
      </c>
      <c r="B11" s="142">
        <v>4</v>
      </c>
      <c r="C11" s="133" t="s">
        <v>830</v>
      </c>
      <c r="D11" s="175">
        <v>1700000</v>
      </c>
      <c r="E11" s="177">
        <v>1</v>
      </c>
      <c r="F11" s="177"/>
      <c r="G11" s="176"/>
      <c r="H11" s="177">
        <v>1700000</v>
      </c>
      <c r="I11" s="177"/>
      <c r="J11" s="177"/>
      <c r="K11" s="175">
        <f>SUM(F11:J11)</f>
        <v>1700000</v>
      </c>
      <c r="L11" s="136" t="s">
        <v>227</v>
      </c>
      <c r="M11" s="173" t="s">
        <v>228</v>
      </c>
      <c r="N11" s="173" t="s">
        <v>228</v>
      </c>
      <c r="O11" s="139" t="s">
        <v>17</v>
      </c>
      <c r="P11" s="138" t="s">
        <v>181</v>
      </c>
      <c r="Q11" s="138" t="s">
        <v>831</v>
      </c>
      <c r="R11" s="142"/>
      <c r="S11" s="142"/>
      <c r="T11" s="142"/>
      <c r="U11" s="133"/>
    </row>
    <row r="12" spans="1:21" s="178" customFormat="1" ht="37.5">
      <c r="A12" s="142">
        <v>6</v>
      </c>
      <c r="B12" s="142">
        <v>5</v>
      </c>
      <c r="C12" s="133" t="s">
        <v>830</v>
      </c>
      <c r="D12" s="175">
        <v>1700000</v>
      </c>
      <c r="E12" s="177">
        <v>1</v>
      </c>
      <c r="F12" s="177"/>
      <c r="G12" s="177"/>
      <c r="H12" s="177"/>
      <c r="I12" s="177">
        <v>1700000</v>
      </c>
      <c r="J12" s="177"/>
      <c r="K12" s="175">
        <f>SUM(F12:J12)</f>
        <v>1700000</v>
      </c>
      <c r="L12" s="763" t="s">
        <v>229</v>
      </c>
      <c r="M12" s="134" t="s">
        <v>212</v>
      </c>
      <c r="N12" s="173" t="s">
        <v>230</v>
      </c>
      <c r="O12" s="139" t="s">
        <v>17</v>
      </c>
      <c r="P12" s="132" t="s">
        <v>173</v>
      </c>
      <c r="Q12" s="138" t="s">
        <v>831</v>
      </c>
      <c r="R12" s="142"/>
      <c r="S12" s="142"/>
      <c r="T12" s="142"/>
      <c r="U12" s="133"/>
    </row>
    <row r="13" spans="1:21" s="209" customFormat="1">
      <c r="A13" s="1427" t="s">
        <v>833</v>
      </c>
      <c r="B13" s="1427"/>
      <c r="C13" s="1438"/>
      <c r="D13" s="1438"/>
      <c r="E13" s="1438"/>
      <c r="F13" s="201">
        <f>SUM(F8:F12)</f>
        <v>1700000</v>
      </c>
      <c r="G13" s="201">
        <f t="shared" ref="G13:J13" si="1">SUM(G8:G12)</f>
        <v>872000</v>
      </c>
      <c r="H13" s="201">
        <f t="shared" si="1"/>
        <v>1700000</v>
      </c>
      <c r="I13" s="201">
        <f t="shared" si="1"/>
        <v>1700000</v>
      </c>
      <c r="J13" s="201">
        <f t="shared" si="1"/>
        <v>0</v>
      </c>
      <c r="K13" s="201">
        <f>SUM(K8:K12)</f>
        <v>5972000</v>
      </c>
      <c r="L13" s="780"/>
      <c r="M13" s="780"/>
      <c r="N13" s="850"/>
      <c r="O13" s="851"/>
      <c r="P13" s="207"/>
      <c r="Q13" s="852"/>
      <c r="R13" s="207"/>
      <c r="S13" s="207"/>
      <c r="T13" s="207"/>
      <c r="U13" s="208"/>
    </row>
    <row r="14" spans="1:21" s="853" customFormat="1">
      <c r="B14" s="795" t="s">
        <v>0</v>
      </c>
      <c r="C14" s="17" t="s">
        <v>1</v>
      </c>
      <c r="D14" s="1373" t="s">
        <v>18</v>
      </c>
      <c r="E14" s="1373"/>
      <c r="F14" s="1373"/>
      <c r="G14" s="1373"/>
      <c r="H14" s="1373"/>
      <c r="I14" s="1373"/>
      <c r="J14" s="1373"/>
      <c r="K14" s="1341" t="s">
        <v>834</v>
      </c>
      <c r="L14" s="855"/>
      <c r="M14" s="856"/>
      <c r="N14" s="856"/>
      <c r="O14" s="856"/>
      <c r="P14" s="854"/>
      <c r="Q14" s="854"/>
      <c r="R14" s="854"/>
      <c r="S14" s="854"/>
      <c r="T14" s="854"/>
      <c r="U14" s="854"/>
    </row>
    <row r="15" spans="1:21">
      <c r="B15" s="799"/>
      <c r="C15" s="799" t="s">
        <v>16</v>
      </c>
      <c r="D15" s="35" t="s">
        <v>2</v>
      </c>
      <c r="E15" s="35" t="s">
        <v>3</v>
      </c>
      <c r="F15" s="35" t="s">
        <v>4</v>
      </c>
      <c r="G15" s="35" t="s">
        <v>5</v>
      </c>
      <c r="H15" s="35" t="s">
        <v>6</v>
      </c>
      <c r="I15" s="35" t="s">
        <v>10</v>
      </c>
      <c r="J15" s="35" t="s">
        <v>11</v>
      </c>
      <c r="K15" s="1437"/>
    </row>
    <row r="16" spans="1:21" ht="112.5">
      <c r="B16" s="20">
        <v>2561</v>
      </c>
      <c r="C16" s="857" t="s">
        <v>835</v>
      </c>
      <c r="D16" s="9"/>
      <c r="E16" s="9"/>
      <c r="F16" s="9"/>
      <c r="G16" s="9"/>
      <c r="H16" s="9" t="s">
        <v>52</v>
      </c>
      <c r="I16" s="9"/>
      <c r="J16" s="9"/>
      <c r="K16" s="10">
        <v>13.156000000000001</v>
      </c>
    </row>
    <row r="17" spans="1:39">
      <c r="B17" s="21">
        <v>2562</v>
      </c>
      <c r="C17" s="21" t="s">
        <v>804</v>
      </c>
      <c r="D17" s="10"/>
      <c r="E17" s="10"/>
      <c r="F17" s="10"/>
      <c r="G17" s="10"/>
      <c r="H17" s="10"/>
      <c r="I17" s="10"/>
      <c r="J17" s="10"/>
      <c r="K17" s="10"/>
    </row>
    <row r="18" spans="1:39">
      <c r="B18" s="21">
        <v>2563</v>
      </c>
      <c r="C18" s="21" t="s">
        <v>804</v>
      </c>
      <c r="D18" s="10"/>
      <c r="E18" s="10"/>
      <c r="F18" s="10"/>
      <c r="G18" s="10"/>
      <c r="H18" s="10"/>
      <c r="I18" s="10"/>
      <c r="J18" s="10"/>
      <c r="K18" s="10"/>
    </row>
    <row r="19" spans="1:39">
      <c r="B19" s="21">
        <v>2564</v>
      </c>
      <c r="C19" s="21" t="s">
        <v>804</v>
      </c>
      <c r="D19" s="10"/>
      <c r="E19" s="10"/>
      <c r="F19" s="10"/>
      <c r="G19" s="10"/>
      <c r="H19" s="10"/>
      <c r="I19" s="10"/>
      <c r="J19" s="10"/>
      <c r="K19" s="10"/>
    </row>
    <row r="20" spans="1:39">
      <c r="B20" s="24">
        <v>2565</v>
      </c>
      <c r="C20" s="21" t="s">
        <v>804</v>
      </c>
      <c r="D20" s="12"/>
      <c r="E20" s="12"/>
      <c r="F20" s="12"/>
      <c r="G20" s="12"/>
      <c r="H20" s="12"/>
      <c r="I20" s="12"/>
      <c r="J20" s="12"/>
      <c r="K20" s="11"/>
    </row>
    <row r="21" spans="1:39">
      <c r="B21" s="38" t="s">
        <v>8</v>
      </c>
      <c r="C21" s="12"/>
      <c r="D21" s="12"/>
      <c r="E21" s="12"/>
      <c r="F21" s="12"/>
      <c r="G21" s="12"/>
      <c r="H21" s="12"/>
      <c r="I21" s="12"/>
      <c r="J21" s="12"/>
      <c r="K21" s="13"/>
    </row>
    <row r="22" spans="1:39">
      <c r="A22" s="1065" t="s">
        <v>909</v>
      </c>
      <c r="B22" s="106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>
      <c r="A23" s="876" t="s">
        <v>0</v>
      </c>
      <c r="B23" s="1053" t="s">
        <v>1</v>
      </c>
      <c r="C23" s="876" t="s">
        <v>890</v>
      </c>
      <c r="D23" s="1378" t="s">
        <v>1005</v>
      </c>
      <c r="E23" s="1378"/>
      <c r="F23" s="1378"/>
      <c r="G23" s="1378"/>
      <c r="H23" s="1378"/>
      <c r="I23" s="1378"/>
      <c r="J23" s="1378"/>
      <c r="K23" s="1378" t="s">
        <v>1006</v>
      </c>
      <c r="L23" s="1378"/>
      <c r="M23" s="1378"/>
      <c r="N23" s="1378"/>
      <c r="O23" s="1378"/>
      <c r="P23" s="1378"/>
      <c r="Q23" s="1378"/>
      <c r="R23" s="1378" t="s">
        <v>1007</v>
      </c>
      <c r="S23" s="1378"/>
      <c r="T23" s="1378"/>
      <c r="U23" s="1378"/>
      <c r="V23" s="1378"/>
      <c r="W23" s="1378"/>
      <c r="X23" s="1378"/>
      <c r="Y23" s="1378" t="s">
        <v>1008</v>
      </c>
      <c r="Z23" s="1378"/>
      <c r="AA23" s="1378"/>
      <c r="AB23" s="1378"/>
      <c r="AC23" s="1378"/>
      <c r="AD23" s="1378"/>
      <c r="AE23" s="1378"/>
      <c r="AF23" s="1378" t="s">
        <v>1008</v>
      </c>
      <c r="AG23" s="1378"/>
      <c r="AH23" s="1378"/>
      <c r="AI23" s="1378"/>
      <c r="AJ23" s="1378"/>
      <c r="AK23" s="1378"/>
      <c r="AL23" s="1378"/>
      <c r="AM23" s="1378" t="s">
        <v>8</v>
      </c>
    </row>
    <row r="24" spans="1:39">
      <c r="A24" s="878"/>
      <c r="B24" s="878" t="s">
        <v>16</v>
      </c>
      <c r="C24" s="879" t="s">
        <v>6</v>
      </c>
      <c r="D24" s="1054" t="s">
        <v>2</v>
      </c>
      <c r="E24" s="1054" t="s">
        <v>3</v>
      </c>
      <c r="F24" s="1054" t="s">
        <v>4</v>
      </c>
      <c r="G24" s="1054" t="s">
        <v>5</v>
      </c>
      <c r="H24" s="1054" t="s">
        <v>6</v>
      </c>
      <c r="I24" s="1054" t="s">
        <v>10</v>
      </c>
      <c r="J24" s="1054" t="s">
        <v>11</v>
      </c>
      <c r="K24" s="1054" t="s">
        <v>2</v>
      </c>
      <c r="L24" s="1054" t="s">
        <v>3</v>
      </c>
      <c r="M24" s="1054" t="s">
        <v>4</v>
      </c>
      <c r="N24" s="1054" t="s">
        <v>5</v>
      </c>
      <c r="O24" s="1054" t="s">
        <v>6</v>
      </c>
      <c r="P24" s="1054" t="s">
        <v>10</v>
      </c>
      <c r="Q24" s="1054" t="s">
        <v>11</v>
      </c>
      <c r="R24" s="1054" t="s">
        <v>2</v>
      </c>
      <c r="S24" s="1054" t="s">
        <v>3</v>
      </c>
      <c r="T24" s="1054" t="s">
        <v>4</v>
      </c>
      <c r="U24" s="1054" t="s">
        <v>5</v>
      </c>
      <c r="V24" s="1054" t="s">
        <v>6</v>
      </c>
      <c r="W24" s="1054" t="s">
        <v>10</v>
      </c>
      <c r="X24" s="1054" t="s">
        <v>11</v>
      </c>
      <c r="Y24" s="1054" t="s">
        <v>2</v>
      </c>
      <c r="Z24" s="1054" t="s">
        <v>3</v>
      </c>
      <c r="AA24" s="1054" t="s">
        <v>4</v>
      </c>
      <c r="AB24" s="1054" t="s">
        <v>5</v>
      </c>
      <c r="AC24" s="1054" t="s">
        <v>6</v>
      </c>
      <c r="AD24" s="1054" t="s">
        <v>10</v>
      </c>
      <c r="AE24" s="1054" t="s">
        <v>11</v>
      </c>
      <c r="AF24" s="1054" t="s">
        <v>2</v>
      </c>
      <c r="AG24" s="1054" t="s">
        <v>3</v>
      </c>
      <c r="AH24" s="1054" t="s">
        <v>4</v>
      </c>
      <c r="AI24" s="1054" t="s">
        <v>5</v>
      </c>
      <c r="AJ24" s="1054" t="s">
        <v>6</v>
      </c>
      <c r="AK24" s="1054" t="s">
        <v>10</v>
      </c>
      <c r="AL24" s="1054" t="s">
        <v>11</v>
      </c>
      <c r="AM24" s="1378"/>
    </row>
    <row r="25" spans="1:39" ht="52.5">
      <c r="A25" s="470">
        <v>2561</v>
      </c>
      <c r="B25" s="884"/>
      <c r="C25" s="231">
        <v>1700000</v>
      </c>
      <c r="D25" s="884"/>
      <c r="E25" s="884"/>
      <c r="F25" s="884"/>
      <c r="G25" s="1055">
        <v>500000</v>
      </c>
      <c r="H25" s="884"/>
      <c r="I25" s="884"/>
      <c r="J25" s="884"/>
      <c r="K25" s="884"/>
      <c r="L25" s="884"/>
      <c r="M25" s="884"/>
      <c r="N25" s="231">
        <v>1700000</v>
      </c>
      <c r="O25" s="884"/>
      <c r="P25" s="884"/>
      <c r="Q25" s="884"/>
      <c r="R25" s="884"/>
      <c r="S25" s="884"/>
      <c r="T25" s="884"/>
      <c r="U25" s="231">
        <v>3550000</v>
      </c>
      <c r="V25" s="884"/>
      <c r="W25" s="884"/>
      <c r="X25" s="884"/>
      <c r="Y25" s="884"/>
      <c r="Z25" s="884"/>
      <c r="AA25" s="884"/>
      <c r="AB25" s="884"/>
      <c r="AC25" s="884"/>
      <c r="AD25" s="884"/>
      <c r="AE25" s="884"/>
      <c r="AF25" s="884"/>
      <c r="AG25" s="884"/>
      <c r="AH25" s="884"/>
      <c r="AI25" s="884"/>
      <c r="AJ25" s="884"/>
      <c r="AK25" s="884"/>
      <c r="AL25" s="884"/>
      <c r="AM25" s="1056">
        <f t="shared" ref="AM25:AM30" si="2">SUM(C25:AL25)</f>
        <v>7450000</v>
      </c>
    </row>
    <row r="26" spans="1:39" ht="45.75">
      <c r="A26" s="470">
        <v>2562</v>
      </c>
      <c r="B26" s="884"/>
      <c r="C26" s="884"/>
      <c r="D26" s="884"/>
      <c r="E26" s="884"/>
      <c r="F26" s="884"/>
      <c r="G26" s="1057">
        <v>2500000</v>
      </c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4"/>
      <c r="AD26" s="884"/>
      <c r="AE26" s="884"/>
      <c r="AF26" s="884"/>
      <c r="AG26" s="884"/>
      <c r="AH26" s="884"/>
      <c r="AI26" s="884"/>
      <c r="AJ26" s="884"/>
      <c r="AK26" s="884"/>
      <c r="AL26" s="884"/>
      <c r="AM26" s="1056">
        <f t="shared" si="2"/>
        <v>2500000</v>
      </c>
    </row>
    <row r="27" spans="1:39">
      <c r="A27" s="470">
        <v>2563</v>
      </c>
      <c r="B27" s="884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475"/>
      <c r="V27" s="884"/>
      <c r="W27" s="884"/>
      <c r="X27" s="884"/>
      <c r="Y27" s="884"/>
      <c r="Z27" s="884"/>
      <c r="AA27" s="884"/>
      <c r="AB27" s="884"/>
      <c r="AC27" s="884"/>
      <c r="AD27" s="884"/>
      <c r="AE27" s="884"/>
      <c r="AF27" s="884"/>
      <c r="AG27" s="884"/>
      <c r="AH27" s="884"/>
      <c r="AI27" s="884"/>
      <c r="AJ27" s="884"/>
      <c r="AK27" s="884"/>
      <c r="AL27" s="884"/>
      <c r="AM27" s="1056">
        <f t="shared" si="2"/>
        <v>0</v>
      </c>
    </row>
    <row r="28" spans="1:39">
      <c r="A28" s="470">
        <v>2564</v>
      </c>
      <c r="B28" s="884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4"/>
      <c r="Y28" s="884"/>
      <c r="Z28" s="884"/>
      <c r="AA28" s="884"/>
      <c r="AB28" s="884"/>
      <c r="AC28" s="884"/>
      <c r="AD28" s="884"/>
      <c r="AE28" s="884"/>
      <c r="AF28" s="884"/>
      <c r="AG28" s="884"/>
      <c r="AH28" s="884"/>
      <c r="AI28" s="884"/>
      <c r="AJ28" s="884"/>
      <c r="AK28" s="884"/>
      <c r="AL28" s="884"/>
      <c r="AM28" s="1056">
        <f t="shared" si="2"/>
        <v>0</v>
      </c>
    </row>
    <row r="29" spans="1:39">
      <c r="A29" s="470">
        <v>2565</v>
      </c>
      <c r="B29" s="884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4"/>
      <c r="X29" s="884"/>
      <c r="Y29" s="884"/>
      <c r="Z29" s="884"/>
      <c r="AA29" s="884"/>
      <c r="AB29" s="884"/>
      <c r="AC29" s="884"/>
      <c r="AD29" s="884"/>
      <c r="AE29" s="884"/>
      <c r="AF29" s="884"/>
      <c r="AG29" s="884"/>
      <c r="AH29" s="884"/>
      <c r="AI29" s="884"/>
      <c r="AJ29" s="884"/>
      <c r="AK29" s="884"/>
      <c r="AL29" s="884"/>
      <c r="AM29" s="1056">
        <f t="shared" si="2"/>
        <v>0</v>
      </c>
    </row>
    <row r="30" spans="1:39" ht="52.5">
      <c r="A30" s="1058" t="s">
        <v>8</v>
      </c>
      <c r="B30" s="873"/>
      <c r="C30" s="1059">
        <f>SUM(C25:C29)</f>
        <v>1700000</v>
      </c>
      <c r="D30" s="1060">
        <f t="shared" ref="D30:AL30" si="3">SUM(D25:D29)</f>
        <v>0</v>
      </c>
      <c r="E30" s="1060">
        <f t="shared" si="3"/>
        <v>0</v>
      </c>
      <c r="F30" s="1060">
        <f t="shared" si="3"/>
        <v>0</v>
      </c>
      <c r="G30" s="1060">
        <f t="shared" si="3"/>
        <v>3000000</v>
      </c>
      <c r="H30" s="1060">
        <f t="shared" si="3"/>
        <v>0</v>
      </c>
      <c r="I30" s="1060">
        <f t="shared" si="3"/>
        <v>0</v>
      </c>
      <c r="J30" s="1060">
        <f t="shared" si="3"/>
        <v>0</v>
      </c>
      <c r="K30" s="1060">
        <f>SUM(K25:K29)</f>
        <v>0</v>
      </c>
      <c r="L30" s="1060"/>
      <c r="M30" s="1060"/>
      <c r="N30" s="1060">
        <f>SUM(N25:N29)</f>
        <v>1700000</v>
      </c>
      <c r="O30" s="1060"/>
      <c r="P30" s="1060"/>
      <c r="Q30" s="1060"/>
      <c r="R30" s="1060"/>
      <c r="S30" s="1060"/>
      <c r="T30" s="1060"/>
      <c r="U30" s="1060">
        <f>+U25</f>
        <v>3550000</v>
      </c>
      <c r="V30" s="1060"/>
      <c r="W30" s="1060"/>
      <c r="X30" s="1060"/>
      <c r="Y30" s="1060"/>
      <c r="Z30" s="1060"/>
      <c r="AA30" s="1060"/>
      <c r="AB30" s="1060"/>
      <c r="AC30" s="1060"/>
      <c r="AD30" s="1060"/>
      <c r="AE30" s="1060"/>
      <c r="AF30" s="1060"/>
      <c r="AG30" s="1060"/>
      <c r="AH30" s="1060"/>
      <c r="AI30" s="1060">
        <f t="shared" si="3"/>
        <v>0</v>
      </c>
      <c r="AJ30" s="1060">
        <f t="shared" si="3"/>
        <v>0</v>
      </c>
      <c r="AK30" s="1060">
        <f t="shared" si="3"/>
        <v>0</v>
      </c>
      <c r="AL30" s="1060">
        <f t="shared" si="3"/>
        <v>0</v>
      </c>
      <c r="AM30" s="1061">
        <f t="shared" si="2"/>
        <v>9950000</v>
      </c>
    </row>
    <row r="31" spans="1:39">
      <c r="A31" s="955" t="s">
        <v>890</v>
      </c>
      <c r="B31" s="57" t="s">
        <v>901</v>
      </c>
      <c r="C31" s="57" t="s">
        <v>1009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>
      <c r="A32" s="955" t="s">
        <v>1010</v>
      </c>
      <c r="B32" s="57" t="s">
        <v>901</v>
      </c>
      <c r="C32" s="57" t="s">
        <v>1011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>
      <c r="A33" s="955" t="s">
        <v>887</v>
      </c>
      <c r="B33" s="57" t="s">
        <v>901</v>
      </c>
      <c r="C33" s="1062" t="s">
        <v>1012</v>
      </c>
      <c r="D33" s="1063"/>
      <c r="E33" s="1064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>
      <c r="A34" s="955" t="s">
        <v>885</v>
      </c>
      <c r="B34" s="57" t="s">
        <v>902</v>
      </c>
      <c r="C34" s="57" t="s">
        <v>1013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>
      <c r="A35" s="955" t="s">
        <v>1010</v>
      </c>
      <c r="B35" s="57" t="s">
        <v>902</v>
      </c>
      <c r="C35" s="57" t="s">
        <v>1014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>
      <c r="A36" s="955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</sheetData>
  <mergeCells count="30">
    <mergeCell ref="AM23:AM24"/>
    <mergeCell ref="D23:J23"/>
    <mergeCell ref="K23:Q23"/>
    <mergeCell ref="R23:X23"/>
    <mergeCell ref="Y23:AE23"/>
    <mergeCell ref="AF23:AL2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Q5:Q6"/>
    <mergeCell ref="R5:U5"/>
    <mergeCell ref="L5:L6"/>
    <mergeCell ref="M5:M6"/>
    <mergeCell ref="D14:J14"/>
    <mergeCell ref="K14:K15"/>
    <mergeCell ref="N5:N6"/>
    <mergeCell ref="O5:O6"/>
    <mergeCell ref="P5:P6"/>
    <mergeCell ref="A13:E13"/>
    <mergeCell ref="H5:H6"/>
    <mergeCell ref="I5:I6"/>
    <mergeCell ref="J5:J6"/>
    <mergeCell ref="K5:K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topLeftCell="A16" zoomScale="120" zoomScaleNormal="120" workbookViewId="0">
      <selection activeCell="AE16" sqref="AE16:AI16"/>
    </sheetView>
  </sheetViews>
  <sheetFormatPr defaultColWidth="9" defaultRowHeight="18.75"/>
  <cols>
    <col min="1" max="1" width="5.375" style="8" customWidth="1"/>
    <col min="2" max="2" width="11" style="8" customWidth="1"/>
    <col min="3" max="4" width="2.125" style="8" customWidth="1"/>
    <col min="5" max="6" width="2.375" style="8" customWidth="1"/>
    <col min="7" max="11" width="1.875" style="8" customWidth="1"/>
    <col min="12" max="13" width="2.375" style="8" customWidth="1"/>
    <col min="14" max="15" width="2" style="8" customWidth="1"/>
    <col min="16" max="16" width="2.625" style="8" customWidth="1"/>
    <col min="17" max="18" width="2" style="8" customWidth="1"/>
    <col min="19" max="20" width="2.375" style="8" customWidth="1"/>
    <col min="21" max="25" width="2.25" style="8" customWidth="1"/>
    <col min="26" max="27" width="2.375" style="8" customWidth="1"/>
    <col min="28" max="30" width="2.125" style="8" customWidth="1"/>
    <col min="31" max="31" width="2.625" style="8" customWidth="1"/>
    <col min="32" max="32" width="2.5" style="8" customWidth="1"/>
    <col min="33" max="33" width="2.375" style="8" customWidth="1"/>
    <col min="34" max="34" width="2.625" style="8" customWidth="1"/>
    <col min="35" max="35" width="2.5" style="8" customWidth="1"/>
    <col min="36" max="36" width="2.625" style="8" customWidth="1"/>
    <col min="37" max="37" width="2.5" style="8" customWidth="1"/>
    <col min="38" max="39" width="2" style="8" customWidth="1"/>
    <col min="40" max="41" width="2.375" style="8" customWidth="1"/>
    <col min="42" max="46" width="2.125" style="8" customWidth="1"/>
    <col min="47" max="48" width="2.375" style="8" customWidth="1"/>
    <col min="49" max="53" width="2.125" style="8" customWidth="1"/>
    <col min="54" max="55" width="2.375" style="8" customWidth="1"/>
    <col min="56" max="58" width="2.125" style="8" customWidth="1"/>
    <col min="59" max="59" width="6.125" style="8" customWidth="1"/>
    <col min="60" max="60" width="19" style="8" customWidth="1"/>
    <col min="61" max="64" width="2.625" style="8" customWidth="1"/>
    <col min="65" max="73" width="2.75" style="8" customWidth="1"/>
    <col min="74" max="74" width="3.375" style="8" customWidth="1"/>
    <col min="75" max="16384" width="9" style="8"/>
  </cols>
  <sheetData>
    <row r="1" spans="1:60" ht="21.6" customHeight="1">
      <c r="A1" s="3" t="s">
        <v>14</v>
      </c>
      <c r="B1" s="3"/>
    </row>
    <row r="2" spans="1:60" ht="15" customHeigh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60" s="5" customFormat="1" ht="38.25" customHeight="1">
      <c r="A3" s="14" t="s">
        <v>0</v>
      </c>
      <c r="B3" s="14" t="s">
        <v>1</v>
      </c>
      <c r="C3" s="1340" t="s">
        <v>17</v>
      </c>
      <c r="D3" s="1340"/>
      <c r="E3" s="1340"/>
      <c r="F3" s="1340"/>
      <c r="G3" s="1340"/>
      <c r="H3" s="1340"/>
      <c r="I3" s="1340"/>
      <c r="J3" s="1340" t="s">
        <v>18</v>
      </c>
      <c r="K3" s="1340"/>
      <c r="L3" s="1340"/>
      <c r="M3" s="1340"/>
      <c r="N3" s="1340"/>
      <c r="O3" s="1340"/>
      <c r="P3" s="1340"/>
      <c r="Q3" s="1340" t="s">
        <v>19</v>
      </c>
      <c r="R3" s="1340"/>
      <c r="S3" s="1340"/>
      <c r="T3" s="1340"/>
      <c r="U3" s="1340"/>
      <c r="V3" s="1340"/>
      <c r="W3" s="1340"/>
      <c r="X3" s="1340" t="s">
        <v>20</v>
      </c>
      <c r="Y3" s="1340"/>
      <c r="Z3" s="1340"/>
      <c r="AA3" s="1340"/>
      <c r="AB3" s="1340"/>
      <c r="AC3" s="1340"/>
      <c r="AD3" s="1340"/>
      <c r="AE3" s="1340" t="s">
        <v>21</v>
      </c>
      <c r="AF3" s="1340"/>
      <c r="AG3" s="1340"/>
      <c r="AH3" s="1340"/>
      <c r="AI3" s="1340"/>
      <c r="AJ3" s="1340"/>
      <c r="AK3" s="1340"/>
      <c r="AL3" s="1340" t="s">
        <v>22</v>
      </c>
      <c r="AM3" s="1340"/>
      <c r="AN3" s="1340"/>
      <c r="AO3" s="1340"/>
      <c r="AP3" s="1340"/>
      <c r="AQ3" s="1340"/>
      <c r="AR3" s="1340"/>
      <c r="AS3" s="1340" t="s">
        <v>23</v>
      </c>
      <c r="AT3" s="1340"/>
      <c r="AU3" s="1340"/>
      <c r="AV3" s="1340"/>
      <c r="AW3" s="1340"/>
      <c r="AX3" s="1340"/>
      <c r="AY3" s="1340"/>
      <c r="AZ3" s="1340" t="s">
        <v>24</v>
      </c>
      <c r="BA3" s="1340"/>
      <c r="BB3" s="1340"/>
      <c r="BC3" s="1340"/>
      <c r="BD3" s="1340"/>
      <c r="BE3" s="1340"/>
      <c r="BF3" s="1340"/>
      <c r="BG3" s="1341" t="s">
        <v>8</v>
      </c>
    </row>
    <row r="4" spans="1:60" s="5" customFormat="1" ht="38.25" customHeight="1">
      <c r="A4" s="33"/>
      <c r="B4" s="33" t="s">
        <v>16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10</v>
      </c>
      <c r="I4" s="34" t="s">
        <v>11</v>
      </c>
      <c r="J4" s="34" t="s">
        <v>2</v>
      </c>
      <c r="K4" s="34" t="s">
        <v>3</v>
      </c>
      <c r="L4" s="34" t="s">
        <v>4</v>
      </c>
      <c r="M4" s="34" t="s">
        <v>5</v>
      </c>
      <c r="N4" s="34" t="s">
        <v>6</v>
      </c>
      <c r="O4" s="34" t="s">
        <v>10</v>
      </c>
      <c r="P4" s="34" t="s">
        <v>11</v>
      </c>
      <c r="Q4" s="34" t="s">
        <v>2</v>
      </c>
      <c r="R4" s="34" t="s">
        <v>3</v>
      </c>
      <c r="S4" s="34" t="s">
        <v>4</v>
      </c>
      <c r="T4" s="34" t="s">
        <v>5</v>
      </c>
      <c r="U4" s="34" t="s">
        <v>6</v>
      </c>
      <c r="V4" s="34" t="s">
        <v>10</v>
      </c>
      <c r="W4" s="34" t="s">
        <v>11</v>
      </c>
      <c r="X4" s="34" t="s">
        <v>2</v>
      </c>
      <c r="Y4" s="34" t="s">
        <v>3</v>
      </c>
      <c r="Z4" s="34" t="s">
        <v>4</v>
      </c>
      <c r="AA4" s="34" t="s">
        <v>5</v>
      </c>
      <c r="AB4" s="34" t="s">
        <v>6</v>
      </c>
      <c r="AC4" s="34" t="s">
        <v>10</v>
      </c>
      <c r="AD4" s="34" t="s">
        <v>11</v>
      </c>
      <c r="AE4" s="34" t="s">
        <v>2</v>
      </c>
      <c r="AF4" s="34" t="s">
        <v>3</v>
      </c>
      <c r="AG4" s="34" t="s">
        <v>4</v>
      </c>
      <c r="AH4" s="34" t="s">
        <v>5</v>
      </c>
      <c r="AI4" s="34" t="s">
        <v>6</v>
      </c>
      <c r="AJ4" s="34" t="s">
        <v>10</v>
      </c>
      <c r="AK4" s="34" t="s">
        <v>11</v>
      </c>
      <c r="AL4" s="34" t="s">
        <v>2</v>
      </c>
      <c r="AM4" s="34" t="s">
        <v>3</v>
      </c>
      <c r="AN4" s="34" t="s">
        <v>4</v>
      </c>
      <c r="AO4" s="34" t="s">
        <v>5</v>
      </c>
      <c r="AP4" s="34" t="s">
        <v>6</v>
      </c>
      <c r="AQ4" s="34" t="s">
        <v>10</v>
      </c>
      <c r="AR4" s="34" t="s">
        <v>11</v>
      </c>
      <c r="AS4" s="34" t="s">
        <v>2</v>
      </c>
      <c r="AT4" s="34" t="s">
        <v>3</v>
      </c>
      <c r="AU4" s="34" t="s">
        <v>4</v>
      </c>
      <c r="AV4" s="34" t="s">
        <v>5</v>
      </c>
      <c r="AW4" s="34" t="s">
        <v>6</v>
      </c>
      <c r="AX4" s="34" t="s">
        <v>10</v>
      </c>
      <c r="AY4" s="34" t="s">
        <v>11</v>
      </c>
      <c r="AZ4" s="34" t="s">
        <v>2</v>
      </c>
      <c r="BA4" s="34" t="s">
        <v>3</v>
      </c>
      <c r="BB4" s="34" t="s">
        <v>4</v>
      </c>
      <c r="BC4" s="34" t="s">
        <v>5</v>
      </c>
      <c r="BD4" s="34" t="s">
        <v>6</v>
      </c>
      <c r="BE4" s="34" t="s">
        <v>10</v>
      </c>
      <c r="BF4" s="34" t="s">
        <v>11</v>
      </c>
      <c r="BG4" s="1437"/>
    </row>
    <row r="5" spans="1:60" ht="43.7" customHeight="1">
      <c r="A5" s="20">
        <v>2561</v>
      </c>
      <c r="B5" s="510">
        <f>SUM(C5:BF5)</f>
        <v>301506900</v>
      </c>
      <c r="C5" s="265">
        <v>0</v>
      </c>
      <c r="D5" s="265">
        <v>0</v>
      </c>
      <c r="E5" s="228">
        <v>0</v>
      </c>
      <c r="F5" s="228">
        <v>0</v>
      </c>
      <c r="G5" s="783">
        <v>9736300</v>
      </c>
      <c r="H5" s="783">
        <v>4953600</v>
      </c>
      <c r="I5" s="265">
        <v>0</v>
      </c>
      <c r="J5" s="266"/>
      <c r="K5" s="9"/>
      <c r="L5" s="9"/>
      <c r="M5" s="9"/>
      <c r="N5" s="263">
        <v>11508800</v>
      </c>
      <c r="O5" s="9"/>
      <c r="P5" s="9"/>
      <c r="Q5" s="494">
        <v>67200000</v>
      </c>
      <c r="R5" s="9"/>
      <c r="S5" s="9"/>
      <c r="T5" s="9"/>
      <c r="U5" s="494">
        <v>20145200</v>
      </c>
      <c r="V5" s="498">
        <v>3100000</v>
      </c>
      <c r="W5" s="9"/>
      <c r="X5" s="500">
        <v>0</v>
      </c>
      <c r="Y5" s="500">
        <v>0</v>
      </c>
      <c r="Z5" s="497">
        <v>37148700</v>
      </c>
      <c r="AA5" s="500">
        <v>0</v>
      </c>
      <c r="AB5" s="500">
        <v>0</v>
      </c>
      <c r="AC5" s="497">
        <v>2542200</v>
      </c>
      <c r="AD5" s="497">
        <v>2474600</v>
      </c>
      <c r="AE5" s="228">
        <v>0</v>
      </c>
      <c r="AF5" s="228">
        <v>0</v>
      </c>
      <c r="AG5" s="233">
        <v>13953300</v>
      </c>
      <c r="AH5" s="228">
        <v>0</v>
      </c>
      <c r="AI5" s="234">
        <v>13051700</v>
      </c>
      <c r="AJ5" s="235">
        <v>13457000</v>
      </c>
      <c r="AK5" s="228">
        <v>0</v>
      </c>
      <c r="AL5" s="9"/>
      <c r="AM5" s="9"/>
      <c r="AN5" s="9"/>
      <c r="AO5" s="9"/>
      <c r="AP5" s="9"/>
      <c r="AQ5" s="235">
        <v>9898400</v>
      </c>
      <c r="AR5" s="235">
        <v>1237300</v>
      </c>
      <c r="AS5" s="503"/>
      <c r="AT5" s="485">
        <v>32387900</v>
      </c>
      <c r="AU5" s="500">
        <v>0</v>
      </c>
      <c r="AV5" s="500">
        <v>0</v>
      </c>
      <c r="AW5" s="500">
        <v>0</v>
      </c>
      <c r="AX5" s="500">
        <v>0</v>
      </c>
      <c r="AY5" s="485">
        <v>1237300</v>
      </c>
      <c r="AZ5" s="9"/>
      <c r="BA5" s="485">
        <v>28737300</v>
      </c>
      <c r="BB5" s="9"/>
      <c r="BC5" s="9"/>
      <c r="BD5" s="9"/>
      <c r="BE5" s="9"/>
      <c r="BF5" s="507">
        <f>SUM(BA5:BE5)</f>
        <v>28737300</v>
      </c>
      <c r="BG5" s="10"/>
    </row>
    <row r="6" spans="1:60" ht="46.7" customHeight="1">
      <c r="A6" s="21">
        <v>2562</v>
      </c>
      <c r="B6" s="510">
        <f t="shared" ref="B6:B10" si="0">SUM(C6:BF6)</f>
        <v>284351600</v>
      </c>
      <c r="C6" s="265">
        <v>0</v>
      </c>
      <c r="D6" s="265">
        <v>0</v>
      </c>
      <c r="E6" s="228">
        <v>0</v>
      </c>
      <c r="F6" s="228">
        <v>0</v>
      </c>
      <c r="G6" s="783">
        <v>9736300</v>
      </c>
      <c r="H6" s="783">
        <v>6190900</v>
      </c>
      <c r="I6" s="265">
        <v>0</v>
      </c>
      <c r="J6" s="267"/>
      <c r="K6" s="10"/>
      <c r="L6" s="10"/>
      <c r="M6" s="263">
        <v>11508800</v>
      </c>
      <c r="N6" s="263">
        <v>11508800</v>
      </c>
      <c r="O6" s="10"/>
      <c r="P6" s="10"/>
      <c r="Q6" s="10"/>
      <c r="R6" s="495">
        <v>70733200</v>
      </c>
      <c r="S6" s="10"/>
      <c r="T6" s="496">
        <v>11810400</v>
      </c>
      <c r="U6" s="495">
        <v>5219600</v>
      </c>
      <c r="V6" s="495">
        <v>2243800</v>
      </c>
      <c r="W6" s="10"/>
      <c r="X6" s="230">
        <v>59742700</v>
      </c>
      <c r="Y6" s="500">
        <v>0</v>
      </c>
      <c r="Z6" s="497">
        <v>9736300</v>
      </c>
      <c r="AA6" s="500">
        <v>0</v>
      </c>
      <c r="AB6" s="500">
        <v>0</v>
      </c>
      <c r="AC6" s="500">
        <v>0</v>
      </c>
      <c r="AD6" s="500">
        <v>0</v>
      </c>
      <c r="AE6" s="228">
        <v>0</v>
      </c>
      <c r="AF6" s="228">
        <v>0</v>
      </c>
      <c r="AG6" s="228">
        <v>0</v>
      </c>
      <c r="AH6" s="228">
        <v>0</v>
      </c>
      <c r="AI6" s="235">
        <v>9730000</v>
      </c>
      <c r="AJ6" s="235">
        <v>2483400</v>
      </c>
      <c r="AK6" s="228">
        <v>0</v>
      </c>
      <c r="AL6" s="10"/>
      <c r="AM6" s="10"/>
      <c r="AN6" s="10"/>
      <c r="AO6" s="10"/>
      <c r="AP6" s="10"/>
      <c r="AQ6" s="10"/>
      <c r="AR6" s="10"/>
      <c r="AS6" s="504"/>
      <c r="AT6" s="230">
        <v>54068300</v>
      </c>
      <c r="AU6" s="500">
        <v>0</v>
      </c>
      <c r="AV6" s="500">
        <v>0</v>
      </c>
      <c r="AW6" s="511">
        <v>1237300</v>
      </c>
      <c r="AX6" s="511">
        <v>1237300</v>
      </c>
      <c r="AY6" s="230">
        <v>1237300</v>
      </c>
      <c r="AZ6" s="10"/>
      <c r="BA6" s="10"/>
      <c r="BB6" s="485">
        <v>1237300</v>
      </c>
      <c r="BC6" s="10"/>
      <c r="BD6" s="486">
        <v>12215300</v>
      </c>
      <c r="BE6" s="486">
        <v>2474600</v>
      </c>
      <c r="BF6" s="10"/>
      <c r="BG6" s="10"/>
    </row>
    <row r="7" spans="1:60" ht="38.25" customHeight="1">
      <c r="A7" s="21">
        <v>2563</v>
      </c>
      <c r="B7" s="510">
        <f t="shared" si="0"/>
        <v>164530900</v>
      </c>
      <c r="C7" s="265">
        <v>0</v>
      </c>
      <c r="D7" s="265">
        <v>0</v>
      </c>
      <c r="E7" s="228">
        <v>0</v>
      </c>
      <c r="F7" s="228">
        <v>0</v>
      </c>
      <c r="G7" s="263"/>
      <c r="H7" s="783">
        <v>7423800</v>
      </c>
      <c r="I7" s="265">
        <v>0</v>
      </c>
      <c r="J7" s="263">
        <v>60000000</v>
      </c>
      <c r="K7" s="10"/>
      <c r="L7" s="10"/>
      <c r="M7" s="10"/>
      <c r="N7" s="10"/>
      <c r="O7" s="10"/>
      <c r="P7" s="382"/>
      <c r="Q7" s="494">
        <v>28737300</v>
      </c>
      <c r="R7" s="10"/>
      <c r="S7" s="10"/>
      <c r="T7" s="10"/>
      <c r="U7" s="495">
        <v>11810400</v>
      </c>
      <c r="V7" s="497">
        <v>2234600</v>
      </c>
      <c r="W7" s="10"/>
      <c r="X7" s="500">
        <v>0</v>
      </c>
      <c r="Y7" s="500">
        <v>0</v>
      </c>
      <c r="Z7" s="485">
        <v>28737300</v>
      </c>
      <c r="AA7" s="500">
        <v>0</v>
      </c>
      <c r="AB7" s="500">
        <v>0</v>
      </c>
      <c r="AC7" s="500">
        <v>0</v>
      </c>
      <c r="AD7" s="500">
        <v>0</v>
      </c>
      <c r="AE7" s="228">
        <v>0</v>
      </c>
      <c r="AF7" s="228">
        <v>0</v>
      </c>
      <c r="AG7" s="228">
        <v>0</v>
      </c>
      <c r="AH7" s="228">
        <v>0</v>
      </c>
      <c r="AI7" s="228">
        <v>0</v>
      </c>
      <c r="AJ7" s="228">
        <v>0</v>
      </c>
      <c r="AK7" s="228">
        <v>0</v>
      </c>
      <c r="AL7" s="10"/>
      <c r="AM7" s="10"/>
      <c r="AN7" s="10"/>
      <c r="AO7" s="235">
        <v>12139300</v>
      </c>
      <c r="AP7" s="10"/>
      <c r="AQ7" s="10"/>
      <c r="AR7" s="10"/>
      <c r="AS7" s="504"/>
      <c r="AT7" s="500">
        <v>0</v>
      </c>
      <c r="AU7" s="500">
        <v>0</v>
      </c>
      <c r="AV7" s="500">
        <v>0</v>
      </c>
      <c r="AW7" s="500">
        <v>0</v>
      </c>
      <c r="AX7" s="500">
        <v>0</v>
      </c>
      <c r="AY7" s="485">
        <v>1237300</v>
      </c>
      <c r="AZ7" s="10"/>
      <c r="BA7" s="10"/>
      <c r="BB7" s="10"/>
      <c r="BC7" s="10"/>
      <c r="BD7" s="486">
        <v>9736300</v>
      </c>
      <c r="BE7" s="486">
        <v>2474600</v>
      </c>
      <c r="BF7" s="10"/>
      <c r="BG7" s="10"/>
    </row>
    <row r="8" spans="1:60" ht="38.25" customHeight="1">
      <c r="A8" s="21">
        <v>2564</v>
      </c>
      <c r="B8" s="510">
        <f t="shared" si="0"/>
        <v>162330400</v>
      </c>
      <c r="C8" s="263">
        <v>54068300</v>
      </c>
      <c r="D8" s="265">
        <v>0</v>
      </c>
      <c r="E8" s="228">
        <v>0</v>
      </c>
      <c r="F8" s="228">
        <v>0</v>
      </c>
      <c r="G8" s="265">
        <v>0</v>
      </c>
      <c r="H8" s="265">
        <v>0</v>
      </c>
      <c r="I8" s="265">
        <v>0</v>
      </c>
      <c r="J8" s="267"/>
      <c r="K8" s="10"/>
      <c r="L8" s="10"/>
      <c r="M8" s="10"/>
      <c r="N8" s="10"/>
      <c r="O8" s="263">
        <v>19796800</v>
      </c>
      <c r="P8" s="10"/>
      <c r="Q8" s="10"/>
      <c r="R8" s="10"/>
      <c r="S8" s="10"/>
      <c r="T8" s="10"/>
      <c r="U8" s="10"/>
      <c r="V8" s="497">
        <v>4575200</v>
      </c>
      <c r="W8" s="497">
        <v>16373600</v>
      </c>
      <c r="X8" s="500">
        <v>0</v>
      </c>
      <c r="Y8" s="500">
        <v>0</v>
      </c>
      <c r="Z8" s="500">
        <v>0</v>
      </c>
      <c r="AA8" s="500">
        <v>0</v>
      </c>
      <c r="AB8" s="500">
        <v>0</v>
      </c>
      <c r="AC8" s="500">
        <v>0</v>
      </c>
      <c r="AD8" s="500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228">
        <v>0</v>
      </c>
      <c r="AL8" s="235">
        <v>54068300</v>
      </c>
      <c r="AM8" s="10"/>
      <c r="AN8" s="10"/>
      <c r="AO8" s="10"/>
      <c r="AP8" s="10"/>
      <c r="AQ8" s="10"/>
      <c r="AR8" s="10"/>
      <c r="AS8" s="504"/>
      <c r="AT8" s="500">
        <v>0</v>
      </c>
      <c r="AU8" s="500">
        <v>0</v>
      </c>
      <c r="AV8" s="500">
        <v>0</v>
      </c>
      <c r="AW8" s="500">
        <v>0</v>
      </c>
      <c r="AX8" s="500">
        <v>0</v>
      </c>
      <c r="AY8" s="485">
        <v>1237300</v>
      </c>
      <c r="AZ8" s="10"/>
      <c r="BA8" s="10"/>
      <c r="BB8" s="10"/>
      <c r="BC8" s="10"/>
      <c r="BD8" s="486">
        <v>9736300</v>
      </c>
      <c r="BE8" s="486">
        <v>2474600</v>
      </c>
      <c r="BF8" s="10"/>
      <c r="BG8" s="10"/>
    </row>
    <row r="9" spans="1:60" ht="42.6" customHeight="1">
      <c r="A9" s="24">
        <v>2565</v>
      </c>
      <c r="B9" s="510">
        <f t="shared" si="0"/>
        <v>90075900</v>
      </c>
      <c r="C9" s="265">
        <v>0</v>
      </c>
      <c r="D9" s="265">
        <v>0</v>
      </c>
      <c r="E9" s="228">
        <v>0</v>
      </c>
      <c r="F9" s="228">
        <v>0</v>
      </c>
      <c r="G9" s="265">
        <v>0</v>
      </c>
      <c r="H9" s="265">
        <v>0</v>
      </c>
      <c r="I9" s="265">
        <v>0</v>
      </c>
      <c r="J9" s="268"/>
      <c r="K9" s="12"/>
      <c r="L9" s="12"/>
      <c r="M9" s="12"/>
      <c r="N9" s="12"/>
      <c r="O9" s="263">
        <v>28457900</v>
      </c>
      <c r="P9" s="12"/>
      <c r="Q9" s="12"/>
      <c r="R9" s="12"/>
      <c r="S9" s="12"/>
      <c r="T9" s="497">
        <v>17336900</v>
      </c>
      <c r="U9" s="497">
        <v>13953300</v>
      </c>
      <c r="V9" s="497">
        <v>2287600</v>
      </c>
      <c r="W9" s="497">
        <v>1143800</v>
      </c>
      <c r="X9" s="500">
        <v>0</v>
      </c>
      <c r="Y9" s="500">
        <v>0</v>
      </c>
      <c r="Z9" s="500">
        <v>0</v>
      </c>
      <c r="AA9" s="500">
        <v>0</v>
      </c>
      <c r="AB9" s="500">
        <v>0</v>
      </c>
      <c r="AC9" s="500">
        <v>0</v>
      </c>
      <c r="AD9" s="500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35">
        <v>9736300</v>
      </c>
      <c r="AK9" s="228">
        <v>0</v>
      </c>
      <c r="AL9" s="12"/>
      <c r="AM9" s="12"/>
      <c r="AN9" s="12"/>
      <c r="AO9" s="12"/>
      <c r="AP9" s="12"/>
      <c r="AQ9" s="12"/>
      <c r="AR9" s="12"/>
      <c r="AS9" s="505"/>
      <c r="AT9" s="500">
        <v>0</v>
      </c>
      <c r="AU9" s="500">
        <v>0</v>
      </c>
      <c r="AV9" s="500">
        <v>0</v>
      </c>
      <c r="AW9" s="500">
        <v>0</v>
      </c>
      <c r="AX9" s="500">
        <v>0</v>
      </c>
      <c r="AY9" s="506">
        <v>2474600</v>
      </c>
      <c r="AZ9" s="12"/>
      <c r="BA9" s="12"/>
      <c r="BB9" s="12"/>
      <c r="BC9" s="12"/>
      <c r="BD9" s="486">
        <v>10973600</v>
      </c>
      <c r="BE9" s="486">
        <v>3711900</v>
      </c>
      <c r="BF9" s="12"/>
      <c r="BG9" s="11"/>
    </row>
    <row r="10" spans="1:60" ht="49.5" customHeight="1">
      <c r="A10" s="38" t="s">
        <v>8</v>
      </c>
      <c r="B10" s="510">
        <f t="shared" si="0"/>
        <v>1057830200</v>
      </c>
      <c r="C10" s="783">
        <f t="shared" ref="C10:H10" si="1">SUM(C5:C9)</f>
        <v>54068300</v>
      </c>
      <c r="D10" s="784">
        <f t="shared" si="1"/>
        <v>0</v>
      </c>
      <c r="E10" s="785">
        <f t="shared" si="1"/>
        <v>0</v>
      </c>
      <c r="F10" s="785">
        <f t="shared" si="1"/>
        <v>0</v>
      </c>
      <c r="G10" s="786">
        <f t="shared" si="1"/>
        <v>19472600</v>
      </c>
      <c r="H10" s="786">
        <f t="shared" si="1"/>
        <v>18568300</v>
      </c>
      <c r="I10" s="265">
        <v>0</v>
      </c>
      <c r="J10" s="264">
        <f>SUM(J5:J9)</f>
        <v>60000000</v>
      </c>
      <c r="K10" s="264"/>
      <c r="L10" s="264"/>
      <c r="M10" s="264">
        <f>SUM(M5:M9)</f>
        <v>11508800</v>
      </c>
      <c r="N10" s="264">
        <f>SUM(N5:N9)</f>
        <v>23017600</v>
      </c>
      <c r="O10" s="264">
        <f>SUM(O5:O9)</f>
        <v>48254700</v>
      </c>
      <c r="P10" s="12"/>
      <c r="Q10" s="264">
        <f>SUM(Q5:Q9)</f>
        <v>95937300</v>
      </c>
      <c r="R10" s="264">
        <f>SUM(R5:R9)</f>
        <v>70733200</v>
      </c>
      <c r="S10" s="264"/>
      <c r="T10" s="264">
        <f>SUM(T5:T9)</f>
        <v>29147300</v>
      </c>
      <c r="U10" s="264">
        <f>SUM(U5:U9)</f>
        <v>51128500</v>
      </c>
      <c r="V10" s="264">
        <f>SUM(V5:V9)</f>
        <v>14441200</v>
      </c>
      <c r="W10" s="264">
        <f>SUM(W5:W9)</f>
        <v>17517400</v>
      </c>
      <c r="X10" s="501">
        <f t="shared" ref="X10:AD10" si="2">SUM(X5:X9)</f>
        <v>59742700</v>
      </c>
      <c r="Y10" s="502">
        <f t="shared" si="2"/>
        <v>0</v>
      </c>
      <c r="Z10" s="501">
        <f t="shared" si="2"/>
        <v>75622300</v>
      </c>
      <c r="AA10" s="501">
        <f t="shared" si="2"/>
        <v>0</v>
      </c>
      <c r="AB10" s="501">
        <f t="shared" si="2"/>
        <v>0</v>
      </c>
      <c r="AC10" s="501">
        <f t="shared" si="2"/>
        <v>2542200</v>
      </c>
      <c r="AD10" s="501">
        <f t="shared" si="2"/>
        <v>2474600</v>
      </c>
      <c r="AE10" s="228">
        <v>0</v>
      </c>
      <c r="AF10" s="228">
        <v>0</v>
      </c>
      <c r="AG10" s="242">
        <f t="shared" ref="AG10" si="3">SUM(AG5:AG9)</f>
        <v>13953300</v>
      </c>
      <c r="AH10" s="232">
        <v>0</v>
      </c>
      <c r="AI10" s="391">
        <f>SUM(AI5:AI9)</f>
        <v>22781700</v>
      </c>
      <c r="AJ10" s="392">
        <f>SUM(AJ5:AJ9)</f>
        <v>25676700</v>
      </c>
      <c r="AK10" s="228">
        <v>0</v>
      </c>
      <c r="AL10" s="242">
        <f>SUM(AL5:AL9)</f>
        <v>54068300</v>
      </c>
      <c r="AM10" s="242"/>
      <c r="AN10" s="242"/>
      <c r="AO10" s="242">
        <f>SUM(AO5:AO9)</f>
        <v>12139300</v>
      </c>
      <c r="AP10" s="242"/>
      <c r="AQ10" s="242">
        <f>SUM(AQ5:AQ9)</f>
        <v>9898400</v>
      </c>
      <c r="AR10" s="242">
        <f>SUM(AR5:AR9)</f>
        <v>1237300</v>
      </c>
      <c r="AS10" s="12"/>
      <c r="AT10" s="501">
        <f>AT5+AT6+AT7+AT8+AT9</f>
        <v>86456200</v>
      </c>
      <c r="AU10" s="501">
        <f>SUM(AU5:AU9)</f>
        <v>0</v>
      </c>
      <c r="AV10" s="501">
        <f>SUM(AV5:AV9)</f>
        <v>0</v>
      </c>
      <c r="AW10" s="501">
        <f>SUM(AW5:AW9)</f>
        <v>1237300</v>
      </c>
      <c r="AX10" s="501">
        <f>SUM(AX5:AX9)</f>
        <v>1237300</v>
      </c>
      <c r="AY10" s="501">
        <f>SUM(AY5:AY9)</f>
        <v>7423800</v>
      </c>
      <c r="AZ10" s="12"/>
      <c r="BA10" s="499">
        <f>SUM(BA5:BA9)</f>
        <v>28737300</v>
      </c>
      <c r="BB10" s="501">
        <f>SUM(BB5:BB9)</f>
        <v>1237300</v>
      </c>
      <c r="BC10" s="501"/>
      <c r="BD10" s="501">
        <f>SUM(BD5:BD9)</f>
        <v>42661500</v>
      </c>
      <c r="BE10" s="501">
        <f>SUM(BE5:BE9)</f>
        <v>11135700</v>
      </c>
      <c r="BF10" s="499">
        <f>SUM(BA10:BE10)</f>
        <v>83771800</v>
      </c>
      <c r="BG10" s="13"/>
      <c r="BH10" s="8">
        <v>13953300</v>
      </c>
    </row>
    <row r="11" spans="1:60">
      <c r="BH11" s="8">
        <v>22781700</v>
      </c>
    </row>
    <row r="12" spans="1:60">
      <c r="A12" s="1439" t="s">
        <v>1054</v>
      </c>
      <c r="B12" s="1439"/>
      <c r="C12" s="1439"/>
      <c r="D12" s="1439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BH12" s="8">
        <v>25676700</v>
      </c>
    </row>
    <row r="13" spans="1:60">
      <c r="A13" s="25" t="s">
        <v>37</v>
      </c>
      <c r="B13" s="1409" t="s">
        <v>929</v>
      </c>
      <c r="C13" s="1409"/>
      <c r="D13" s="1409"/>
      <c r="E13" s="1409"/>
      <c r="F13" s="1409"/>
      <c r="G13" s="1409"/>
      <c r="H13" s="1409"/>
      <c r="I13" s="1409" t="s">
        <v>1052</v>
      </c>
      <c r="J13" s="1409"/>
      <c r="K13" s="1409"/>
      <c r="L13" s="1409"/>
      <c r="M13" s="1409"/>
      <c r="N13" s="1409"/>
      <c r="O13" s="1409"/>
      <c r="P13" s="1409"/>
      <c r="Q13" s="1409" t="s">
        <v>1053</v>
      </c>
      <c r="R13" s="1409"/>
      <c r="S13" s="1409"/>
      <c r="T13" s="1409"/>
      <c r="U13" s="1409"/>
      <c r="V13" s="1409"/>
      <c r="W13" s="1409"/>
      <c r="X13" s="1409"/>
      <c r="Y13" s="1409" t="s">
        <v>43</v>
      </c>
      <c r="Z13" s="1409"/>
      <c r="AA13" s="1409"/>
      <c r="AB13" s="1409"/>
      <c r="AC13" s="1409"/>
      <c r="AD13" s="1409"/>
      <c r="AE13" s="1440" t="s">
        <v>1055</v>
      </c>
      <c r="AF13" s="1441"/>
      <c r="AG13" s="1441"/>
      <c r="AH13" s="1441"/>
      <c r="AI13" s="1442"/>
      <c r="BH13" s="8">
        <f>SUM(BH10:BH12)</f>
        <v>62411700</v>
      </c>
    </row>
    <row r="14" spans="1:60">
      <c r="A14" s="25"/>
      <c r="B14" s="1409"/>
      <c r="C14" s="1409"/>
      <c r="D14" s="1409"/>
      <c r="E14" s="1409"/>
      <c r="F14" s="1409"/>
      <c r="G14" s="1409"/>
      <c r="H14" s="1409"/>
      <c r="I14" s="1409"/>
      <c r="J14" s="1409"/>
      <c r="K14" s="1409"/>
      <c r="L14" s="1409"/>
      <c r="M14" s="1409"/>
      <c r="N14" s="1409"/>
      <c r="O14" s="1409"/>
      <c r="P14" s="1409"/>
      <c r="Q14" s="1409"/>
      <c r="R14" s="1409"/>
      <c r="S14" s="1409"/>
      <c r="T14" s="1409"/>
      <c r="U14" s="1409"/>
      <c r="V14" s="1409"/>
      <c r="W14" s="1409"/>
      <c r="X14" s="1409"/>
      <c r="Y14" s="1409"/>
      <c r="Z14" s="1409"/>
      <c r="AA14" s="1409"/>
      <c r="AB14" s="1409"/>
      <c r="AC14" s="1409"/>
      <c r="AD14" s="1409"/>
      <c r="AE14" s="1440"/>
      <c r="AF14" s="1441"/>
      <c r="AG14" s="1441"/>
      <c r="AH14" s="1441"/>
      <c r="AI14" s="1442"/>
    </row>
    <row r="15" spans="1:60">
      <c r="A15" s="25"/>
      <c r="B15" s="1409"/>
      <c r="C15" s="1409"/>
      <c r="D15" s="1409"/>
      <c r="E15" s="1409"/>
      <c r="F15" s="1409"/>
      <c r="G15" s="1409"/>
      <c r="H15" s="1409"/>
      <c r="I15" s="1409"/>
      <c r="J15" s="1409"/>
      <c r="K15" s="1409"/>
      <c r="L15" s="1409"/>
      <c r="M15" s="1409"/>
      <c r="N15" s="1409"/>
      <c r="O15" s="1409"/>
      <c r="P15" s="1409"/>
      <c r="Q15" s="1409"/>
      <c r="R15" s="1409"/>
      <c r="S15" s="1409"/>
      <c r="T15" s="1409"/>
      <c r="U15" s="1409"/>
      <c r="V15" s="1409"/>
      <c r="W15" s="1409"/>
      <c r="X15" s="1409"/>
      <c r="Y15" s="1409"/>
      <c r="Z15" s="1409"/>
      <c r="AA15" s="1409"/>
      <c r="AB15" s="1409"/>
      <c r="AC15" s="1409"/>
      <c r="AD15" s="1409"/>
      <c r="AE15" s="1440"/>
      <c r="AF15" s="1441"/>
      <c r="AG15" s="1441"/>
      <c r="AH15" s="1441"/>
      <c r="AI15" s="1442"/>
    </row>
    <row r="16" spans="1:60">
      <c r="A16" s="25"/>
      <c r="B16" s="1409"/>
      <c r="C16" s="1409"/>
      <c r="D16" s="1409"/>
      <c r="E16" s="1409"/>
      <c r="F16" s="1409"/>
      <c r="G16" s="1409"/>
      <c r="H16" s="1409"/>
      <c r="I16" s="1409"/>
      <c r="J16" s="1409"/>
      <c r="K16" s="1409"/>
      <c r="L16" s="1409"/>
      <c r="M16" s="1409"/>
      <c r="N16" s="1409"/>
      <c r="O16" s="1409"/>
      <c r="P16" s="1409"/>
      <c r="Q16" s="1409"/>
      <c r="R16" s="1409"/>
      <c r="S16" s="1409"/>
      <c r="T16" s="1409"/>
      <c r="U16" s="1409"/>
      <c r="V16" s="1409"/>
      <c r="W16" s="1409"/>
      <c r="X16" s="1409"/>
      <c r="Y16" s="1409"/>
      <c r="Z16" s="1409"/>
      <c r="AA16" s="1409"/>
      <c r="AB16" s="1409"/>
      <c r="AC16" s="1409"/>
      <c r="AD16" s="1409"/>
      <c r="AE16" s="1440"/>
      <c r="AF16" s="1441"/>
      <c r="AG16" s="1441"/>
      <c r="AH16" s="1441"/>
      <c r="AI16" s="1442"/>
    </row>
    <row r="17" spans="1:35">
      <c r="A17" s="25"/>
      <c r="B17" s="1409"/>
      <c r="C17" s="1409"/>
      <c r="D17" s="1409"/>
      <c r="E17" s="1409"/>
      <c r="F17" s="1409"/>
      <c r="G17" s="1409"/>
      <c r="H17" s="1409"/>
      <c r="I17" s="1409"/>
      <c r="J17" s="1409"/>
      <c r="K17" s="1409"/>
      <c r="L17" s="1409"/>
      <c r="M17" s="1409"/>
      <c r="N17" s="1409"/>
      <c r="O17" s="1409"/>
      <c r="P17" s="1409"/>
      <c r="Q17" s="1409"/>
      <c r="R17" s="1409"/>
      <c r="S17" s="1409"/>
      <c r="T17" s="1409"/>
      <c r="U17" s="1409"/>
      <c r="V17" s="1409"/>
      <c r="W17" s="1409"/>
      <c r="X17" s="1409"/>
      <c r="Y17" s="1409"/>
      <c r="Z17" s="1409"/>
      <c r="AA17" s="1409"/>
      <c r="AB17" s="1409"/>
      <c r="AC17" s="1409"/>
      <c r="AD17" s="1409"/>
      <c r="AE17" s="1440"/>
      <c r="AF17" s="1441"/>
      <c r="AG17" s="1441"/>
      <c r="AH17" s="1441"/>
      <c r="AI17" s="1442"/>
    </row>
    <row r="18" spans="1:35">
      <c r="A18" s="25"/>
      <c r="B18" s="1409"/>
      <c r="C18" s="1409"/>
      <c r="D18" s="1409"/>
      <c r="E18" s="1409"/>
      <c r="F18" s="1409"/>
      <c r="G18" s="1409"/>
      <c r="H18" s="1409"/>
      <c r="I18" s="1409"/>
      <c r="J18" s="1409"/>
      <c r="K18" s="1409"/>
      <c r="L18" s="1409"/>
      <c r="M18" s="1409"/>
      <c r="N18" s="1409"/>
      <c r="O18" s="1409"/>
      <c r="P18" s="1409"/>
      <c r="Q18" s="1409"/>
      <c r="R18" s="1409"/>
      <c r="S18" s="1409"/>
      <c r="T18" s="1409"/>
      <c r="U18" s="1409"/>
      <c r="V18" s="1409"/>
      <c r="W18" s="1409"/>
      <c r="X18" s="1409"/>
      <c r="Y18" s="1409"/>
      <c r="Z18" s="1409"/>
      <c r="AA18" s="1409"/>
      <c r="AB18" s="1409"/>
      <c r="AC18" s="1409"/>
      <c r="AD18" s="1409"/>
      <c r="AE18" s="1440"/>
      <c r="AF18" s="1441"/>
      <c r="AG18" s="1441"/>
      <c r="AH18" s="1441"/>
      <c r="AI18" s="1442"/>
    </row>
    <row r="19" spans="1:35">
      <c r="A19" s="25"/>
      <c r="B19" s="1409"/>
      <c r="C19" s="1409"/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40"/>
      <c r="AF19" s="1441"/>
      <c r="AG19" s="1441"/>
      <c r="AH19" s="1441"/>
      <c r="AI19" s="1442"/>
    </row>
    <row r="20" spans="1:35">
      <c r="A20" s="25"/>
      <c r="B20" s="1409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40"/>
      <c r="AF20" s="1441"/>
      <c r="AG20" s="1441"/>
      <c r="AH20" s="1441"/>
      <c r="AI20" s="1442"/>
    </row>
    <row r="21" spans="1:35">
      <c r="A21" s="25"/>
      <c r="B21" s="1409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40"/>
      <c r="AF21" s="1441"/>
      <c r="AG21" s="1441"/>
      <c r="AH21" s="1441"/>
      <c r="AI21" s="1442"/>
    </row>
    <row r="22" spans="1:35">
      <c r="A22" s="25"/>
      <c r="B22" s="1409"/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09"/>
      <c r="AA22" s="1409"/>
      <c r="AB22" s="1409"/>
      <c r="AC22" s="1409"/>
      <c r="AD22" s="1409"/>
      <c r="AE22" s="1440"/>
      <c r="AF22" s="1441"/>
      <c r="AG22" s="1441"/>
      <c r="AH22" s="1441"/>
      <c r="AI22" s="1442"/>
    </row>
    <row r="23" spans="1:35">
      <c r="A23" s="25"/>
      <c r="B23" s="1409"/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09"/>
      <c r="AA23" s="1409"/>
      <c r="AB23" s="1409"/>
      <c r="AC23" s="1409"/>
      <c r="AD23" s="1409"/>
      <c r="AE23" s="1440"/>
      <c r="AF23" s="1441"/>
      <c r="AG23" s="1441"/>
      <c r="AH23" s="1441"/>
      <c r="AI23" s="1442"/>
    </row>
    <row r="24" spans="1:35">
      <c r="A24" s="25"/>
      <c r="B24" s="1409"/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09"/>
      <c r="AA24" s="1409"/>
      <c r="AB24" s="1409"/>
      <c r="AC24" s="1409"/>
      <c r="AD24" s="1409"/>
      <c r="AE24" s="1440"/>
      <c r="AF24" s="1441"/>
      <c r="AG24" s="1441"/>
      <c r="AH24" s="1441"/>
      <c r="AI24" s="1442"/>
    </row>
    <row r="25" spans="1:35">
      <c r="A25" s="25"/>
      <c r="B25" s="1409"/>
      <c r="C25" s="1409"/>
      <c r="D25" s="1409"/>
      <c r="E25" s="1409"/>
      <c r="F25" s="1409"/>
      <c r="G25" s="1409"/>
      <c r="H25" s="1409"/>
      <c r="I25" s="1409"/>
      <c r="J25" s="1409"/>
      <c r="K25" s="1409"/>
      <c r="L25" s="1409"/>
      <c r="M25" s="1409"/>
      <c r="N25" s="1409"/>
      <c r="O25" s="1409"/>
      <c r="P25" s="1409"/>
      <c r="Q25" s="1409"/>
      <c r="R25" s="1409"/>
      <c r="S25" s="1409"/>
      <c r="T25" s="1409"/>
      <c r="U25" s="1409"/>
      <c r="V25" s="1409"/>
      <c r="W25" s="1409"/>
      <c r="X25" s="1409"/>
      <c r="Y25" s="1409"/>
      <c r="Z25" s="1409"/>
      <c r="AA25" s="1409"/>
      <c r="AB25" s="1409"/>
      <c r="AC25" s="1409"/>
      <c r="AD25" s="1409"/>
      <c r="AE25" s="1440"/>
      <c r="AF25" s="1441"/>
      <c r="AG25" s="1441"/>
      <c r="AH25" s="1441"/>
      <c r="AI25" s="1442"/>
    </row>
    <row r="26" spans="1:35">
      <c r="A26" s="25"/>
      <c r="B26" s="1409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  <c r="AE26" s="1440"/>
      <c r="AF26" s="1441"/>
      <c r="AG26" s="1441"/>
      <c r="AH26" s="1441"/>
      <c r="AI26" s="1442"/>
    </row>
    <row r="27" spans="1:35">
      <c r="A27" s="25"/>
      <c r="B27" s="1409"/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40"/>
      <c r="AF27" s="1441"/>
      <c r="AG27" s="1441"/>
      <c r="AH27" s="1441"/>
      <c r="AI27" s="1442"/>
    </row>
    <row r="28" spans="1:35">
      <c r="A28" s="25"/>
      <c r="B28" s="1409"/>
      <c r="C28" s="1409"/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40"/>
      <c r="AF28" s="1441"/>
      <c r="AG28" s="1441"/>
      <c r="AH28" s="1441"/>
      <c r="AI28" s="1442"/>
    </row>
    <row r="29" spans="1:35">
      <c r="A29" s="25"/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40"/>
      <c r="AF29" s="1441"/>
      <c r="AG29" s="1441"/>
      <c r="AH29" s="1441"/>
      <c r="AI29" s="1442"/>
    </row>
    <row r="30" spans="1:35">
      <c r="A30" s="25"/>
      <c r="B30" s="1409"/>
      <c r="C30" s="1409"/>
      <c r="D30" s="1409"/>
      <c r="E30" s="1409"/>
      <c r="F30" s="1409"/>
      <c r="G30" s="1409"/>
      <c r="H30" s="1409"/>
      <c r="I30" s="1409"/>
      <c r="J30" s="1409"/>
      <c r="K30" s="1409"/>
      <c r="L30" s="1409"/>
      <c r="M30" s="1409"/>
      <c r="N30" s="1409"/>
      <c r="O30" s="1409"/>
      <c r="P30" s="1409"/>
      <c r="Q30" s="1409"/>
      <c r="R30" s="1409"/>
      <c r="S30" s="1409"/>
      <c r="T30" s="1409"/>
      <c r="U30" s="1409"/>
      <c r="V30" s="1409"/>
      <c r="W30" s="1409"/>
      <c r="X30" s="1409"/>
      <c r="Y30" s="1409"/>
      <c r="Z30" s="1409"/>
      <c r="AA30" s="1409"/>
      <c r="AB30" s="1409"/>
      <c r="AC30" s="1409"/>
      <c r="AD30" s="1409"/>
      <c r="AE30" s="1440"/>
      <c r="AF30" s="1441"/>
      <c r="AG30" s="1441"/>
      <c r="AH30" s="1441"/>
      <c r="AI30" s="1442"/>
    </row>
    <row r="31" spans="1:35">
      <c r="A31" s="25"/>
      <c r="B31" s="1409"/>
      <c r="C31" s="1409"/>
      <c r="D31" s="1409"/>
      <c r="E31" s="1409"/>
      <c r="F31" s="1409"/>
      <c r="G31" s="1409"/>
      <c r="H31" s="1409"/>
      <c r="I31" s="1409"/>
      <c r="J31" s="1409"/>
      <c r="K31" s="1409"/>
      <c r="L31" s="1409"/>
      <c r="M31" s="1409"/>
      <c r="N31" s="1409"/>
      <c r="O31" s="1409"/>
      <c r="P31" s="1409"/>
      <c r="Q31" s="1409"/>
      <c r="R31" s="1409"/>
      <c r="S31" s="1409"/>
      <c r="T31" s="1409"/>
      <c r="U31" s="1409"/>
      <c r="V31" s="1409"/>
      <c r="W31" s="1409"/>
      <c r="X31" s="1409"/>
      <c r="Y31" s="1409"/>
      <c r="Z31" s="1409"/>
      <c r="AA31" s="1409"/>
      <c r="AB31" s="1409"/>
      <c r="AC31" s="1409"/>
      <c r="AD31" s="1409"/>
      <c r="AE31" s="1440"/>
      <c r="AF31" s="1441"/>
      <c r="AG31" s="1441"/>
      <c r="AH31" s="1441"/>
      <c r="AI31" s="1442"/>
    </row>
  </sheetData>
  <mergeCells count="105">
    <mergeCell ref="AE27:AI27"/>
    <mergeCell ref="AE28:AI28"/>
    <mergeCell ref="AE29:AI29"/>
    <mergeCell ref="AE30:AI30"/>
    <mergeCell ref="AE31:AI31"/>
    <mergeCell ref="AE22:AI22"/>
    <mergeCell ref="AE23:AI23"/>
    <mergeCell ref="AE24:AI24"/>
    <mergeCell ref="AE25:AI25"/>
    <mergeCell ref="AE26:AI26"/>
    <mergeCell ref="AE17:AI17"/>
    <mergeCell ref="AE18:AI18"/>
    <mergeCell ref="AE19:AI19"/>
    <mergeCell ref="AE20:AI20"/>
    <mergeCell ref="AE21:AI21"/>
    <mergeCell ref="AE13:AI13"/>
    <mergeCell ref="AE14:AI14"/>
    <mergeCell ref="AE15:AI15"/>
    <mergeCell ref="AE16:AI16"/>
    <mergeCell ref="B30:H30"/>
    <mergeCell ref="I30:P30"/>
    <mergeCell ref="Q30:X30"/>
    <mergeCell ref="Y30:AD30"/>
    <mergeCell ref="B31:H31"/>
    <mergeCell ref="I31:P31"/>
    <mergeCell ref="Q31:X31"/>
    <mergeCell ref="Y31:AD31"/>
    <mergeCell ref="B28:H28"/>
    <mergeCell ref="I28:P28"/>
    <mergeCell ref="Q28:X28"/>
    <mergeCell ref="Y28:AD28"/>
    <mergeCell ref="B29:H29"/>
    <mergeCell ref="I29:P29"/>
    <mergeCell ref="Q29:X29"/>
    <mergeCell ref="Y29:AD29"/>
    <mergeCell ref="B26:H26"/>
    <mergeCell ref="I26:P26"/>
    <mergeCell ref="Q26:X26"/>
    <mergeCell ref="Y26:AD26"/>
    <mergeCell ref="B27:H27"/>
    <mergeCell ref="I27:P27"/>
    <mergeCell ref="Q27:X27"/>
    <mergeCell ref="Y27:AD27"/>
    <mergeCell ref="B24:H24"/>
    <mergeCell ref="I24:P24"/>
    <mergeCell ref="Q24:X24"/>
    <mergeCell ref="Y24:AD24"/>
    <mergeCell ref="B25:H25"/>
    <mergeCell ref="I25:P25"/>
    <mergeCell ref="Q25:X25"/>
    <mergeCell ref="Y25:AD25"/>
    <mergeCell ref="B22:H22"/>
    <mergeCell ref="I22:P22"/>
    <mergeCell ref="Q22:X22"/>
    <mergeCell ref="Y22:AD22"/>
    <mergeCell ref="B23:H23"/>
    <mergeCell ref="I23:P23"/>
    <mergeCell ref="Q23:X23"/>
    <mergeCell ref="Y23:AD23"/>
    <mergeCell ref="B20:H20"/>
    <mergeCell ref="I20:P20"/>
    <mergeCell ref="Q20:X20"/>
    <mergeCell ref="Y20:AD20"/>
    <mergeCell ref="B21:H21"/>
    <mergeCell ref="I21:P21"/>
    <mergeCell ref="Q21:X21"/>
    <mergeCell ref="Y21:AD21"/>
    <mergeCell ref="B18:H18"/>
    <mergeCell ref="I18:P18"/>
    <mergeCell ref="Q18:X18"/>
    <mergeCell ref="Y18:AD18"/>
    <mergeCell ref="B19:H19"/>
    <mergeCell ref="I19:P19"/>
    <mergeCell ref="Q19:X19"/>
    <mergeCell ref="Y19:AD19"/>
    <mergeCell ref="B16:H16"/>
    <mergeCell ref="I16:P16"/>
    <mergeCell ref="Q16:X16"/>
    <mergeCell ref="Y16:AD16"/>
    <mergeCell ref="B17:H17"/>
    <mergeCell ref="I17:P17"/>
    <mergeCell ref="Q17:X17"/>
    <mergeCell ref="Y17:AD17"/>
    <mergeCell ref="B14:H14"/>
    <mergeCell ref="I14:P14"/>
    <mergeCell ref="Q14:X14"/>
    <mergeCell ref="Y14:AD14"/>
    <mergeCell ref="B15:H15"/>
    <mergeCell ref="I15:P15"/>
    <mergeCell ref="Q15:X15"/>
    <mergeCell ref="Y15:AD15"/>
    <mergeCell ref="A12:D12"/>
    <mergeCell ref="B13:H13"/>
    <mergeCell ref="I13:P13"/>
    <mergeCell ref="Q13:X13"/>
    <mergeCell ref="Y13:AD13"/>
    <mergeCell ref="AZ3:BF3"/>
    <mergeCell ref="BG3:BG4"/>
    <mergeCell ref="C3:I3"/>
    <mergeCell ref="J3:P3"/>
    <mergeCell ref="Q3:W3"/>
    <mergeCell ref="X3:AD3"/>
    <mergeCell ref="AE3:AK3"/>
    <mergeCell ref="AL3:AR3"/>
    <mergeCell ref="AS3:AY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79"/>
  <sheetViews>
    <sheetView topLeftCell="A94" workbookViewId="0">
      <selection activeCell="C50" sqref="C50"/>
    </sheetView>
  </sheetViews>
  <sheetFormatPr defaultColWidth="7" defaultRowHeight="18.75"/>
  <cols>
    <col min="1" max="1" width="11.625" style="141" customWidth="1"/>
    <col min="2" max="2" width="10" style="769" customWidth="1"/>
    <col min="3" max="3" width="27.625" style="141" customWidth="1"/>
    <col min="4" max="4" width="15.375" style="770" customWidth="1"/>
    <col min="5" max="5" width="15.875" style="770" customWidth="1"/>
    <col min="6" max="6" width="11.125" style="762" customWidth="1"/>
    <col min="7" max="7" width="16.125" style="762" customWidth="1"/>
    <col min="8" max="8" width="18.375" style="762" customWidth="1"/>
    <col min="9" max="9" width="8.75" style="762" bestFit="1" customWidth="1"/>
    <col min="10" max="10" width="9.625" style="762" bestFit="1" customWidth="1"/>
    <col min="11" max="11" width="16.5" style="762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361" t="s">
        <v>711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56.25">
      <c r="A5" s="1362" t="s">
        <v>136</v>
      </c>
      <c r="B5" s="1364" t="s">
        <v>712</v>
      </c>
      <c r="C5" s="796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718</v>
      </c>
      <c r="I5" s="1368" t="s">
        <v>719</v>
      </c>
      <c r="J5" s="1368" t="s">
        <v>720</v>
      </c>
      <c r="K5" s="1368" t="s">
        <v>747</v>
      </c>
      <c r="L5" s="1364" t="s">
        <v>722</v>
      </c>
      <c r="M5" s="796" t="s">
        <v>145</v>
      </c>
      <c r="N5" s="796" t="s">
        <v>146</v>
      </c>
      <c r="O5" s="796" t="s">
        <v>147</v>
      </c>
      <c r="P5" s="796" t="s">
        <v>43</v>
      </c>
      <c r="Q5" s="796" t="s">
        <v>148</v>
      </c>
      <c r="R5" s="796" t="s">
        <v>723</v>
      </c>
      <c r="S5" s="796" t="s">
        <v>724</v>
      </c>
      <c r="T5" s="796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797"/>
      <c r="D6" s="1367"/>
      <c r="E6" s="1367"/>
      <c r="F6" s="1369"/>
      <c r="G6" s="1369"/>
      <c r="H6" s="1369"/>
      <c r="I6" s="1369"/>
      <c r="J6" s="1369"/>
      <c r="K6" s="1369"/>
      <c r="L6" s="1365"/>
      <c r="M6" s="797"/>
      <c r="N6" s="797"/>
      <c r="O6" s="797"/>
      <c r="P6" s="797"/>
      <c r="Q6" s="797"/>
      <c r="R6" s="797"/>
      <c r="S6" s="797"/>
      <c r="T6" s="797"/>
      <c r="U6" s="797" t="s">
        <v>727</v>
      </c>
      <c r="V6" s="124" t="s">
        <v>152</v>
      </c>
      <c r="W6" s="124" t="s">
        <v>153</v>
      </c>
      <c r="X6" s="124" t="s">
        <v>728</v>
      </c>
    </row>
    <row r="7" spans="1:24">
      <c r="A7" s="131"/>
      <c r="B7" s="132"/>
      <c r="C7" s="133" t="s">
        <v>836</v>
      </c>
      <c r="D7" s="134"/>
      <c r="E7" s="135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9"/>
      <c r="Q7" s="139"/>
      <c r="R7" s="139"/>
      <c r="S7" s="139"/>
      <c r="T7" s="139"/>
      <c r="U7" s="140"/>
      <c r="V7" s="140"/>
      <c r="W7" s="140"/>
      <c r="X7" s="140"/>
    </row>
    <row r="8" spans="1:24" ht="75">
      <c r="A8" s="131">
        <v>6</v>
      </c>
      <c r="B8" s="132">
        <v>1</v>
      </c>
      <c r="C8" s="133" t="s">
        <v>837</v>
      </c>
      <c r="D8" s="134">
        <v>9555</v>
      </c>
      <c r="E8" s="135">
        <v>9736300</v>
      </c>
      <c r="F8" s="132">
        <v>1</v>
      </c>
      <c r="G8" s="135">
        <v>9736300</v>
      </c>
      <c r="H8" s="135"/>
      <c r="I8" s="132"/>
      <c r="J8" s="135"/>
      <c r="K8" s="132"/>
      <c r="L8" s="135">
        <f>SUM(G8:K8)</f>
        <v>9736300</v>
      </c>
      <c r="M8" s="136" t="s">
        <v>227</v>
      </c>
      <c r="N8" s="137" t="s">
        <v>228</v>
      </c>
      <c r="O8" s="137" t="s">
        <v>228</v>
      </c>
      <c r="P8" s="139" t="s">
        <v>17</v>
      </c>
      <c r="Q8" s="139" t="s">
        <v>181</v>
      </c>
      <c r="R8" s="139" t="s">
        <v>838</v>
      </c>
      <c r="S8" s="139">
        <v>30</v>
      </c>
      <c r="T8" s="761">
        <v>68.39</v>
      </c>
      <c r="U8" s="132" t="s">
        <v>839</v>
      </c>
      <c r="V8" s="133"/>
      <c r="W8" s="161" t="s">
        <v>840</v>
      </c>
      <c r="X8" s="133"/>
    </row>
    <row r="9" spans="1:24" ht="56.25">
      <c r="A9" s="131">
        <v>6</v>
      </c>
      <c r="B9" s="132">
        <v>2</v>
      </c>
      <c r="C9" s="133" t="s">
        <v>841</v>
      </c>
      <c r="D9" s="134" t="s">
        <v>842</v>
      </c>
      <c r="E9" s="758">
        <v>1237300</v>
      </c>
      <c r="F9" s="132">
        <v>1</v>
      </c>
      <c r="G9" s="758">
        <v>1237300</v>
      </c>
      <c r="H9" s="132"/>
      <c r="I9" s="132"/>
      <c r="J9" s="132"/>
      <c r="K9" s="132"/>
      <c r="L9" s="135">
        <f t="shared" ref="L9:L25" si="0">SUM(G9:K9)</f>
        <v>1237300</v>
      </c>
      <c r="M9" s="136" t="s">
        <v>843</v>
      </c>
      <c r="N9" s="137" t="s">
        <v>209</v>
      </c>
      <c r="O9" s="137" t="s">
        <v>844</v>
      </c>
      <c r="P9" s="139" t="s">
        <v>17</v>
      </c>
      <c r="Q9" s="139" t="s">
        <v>10</v>
      </c>
      <c r="R9" s="139" t="s">
        <v>838</v>
      </c>
      <c r="S9" s="139"/>
      <c r="T9" s="139"/>
      <c r="U9" s="858" t="s">
        <v>845</v>
      </c>
      <c r="V9" s="859"/>
      <c r="W9" s="140"/>
      <c r="X9" s="140"/>
    </row>
    <row r="10" spans="1:24" ht="56.25">
      <c r="A10" s="131">
        <v>6</v>
      </c>
      <c r="B10" s="132">
        <v>3</v>
      </c>
      <c r="C10" s="133" t="s">
        <v>841</v>
      </c>
      <c r="D10" s="134" t="s">
        <v>842</v>
      </c>
      <c r="E10" s="758">
        <v>1237300</v>
      </c>
      <c r="F10" s="132">
        <v>1</v>
      </c>
      <c r="G10" s="758">
        <v>1237300</v>
      </c>
      <c r="H10" s="132"/>
      <c r="I10" s="132"/>
      <c r="J10" s="132"/>
      <c r="K10" s="132"/>
      <c r="L10" s="135">
        <f t="shared" si="0"/>
        <v>1237300</v>
      </c>
      <c r="M10" s="136" t="s">
        <v>846</v>
      </c>
      <c r="N10" s="137" t="s">
        <v>232</v>
      </c>
      <c r="O10" s="137" t="s">
        <v>847</v>
      </c>
      <c r="P10" s="139" t="s">
        <v>17</v>
      </c>
      <c r="Q10" s="139" t="s">
        <v>10</v>
      </c>
      <c r="R10" s="139" t="s">
        <v>838</v>
      </c>
      <c r="S10" s="139"/>
      <c r="T10" s="139"/>
      <c r="U10" s="858" t="s">
        <v>845</v>
      </c>
      <c r="V10" s="859"/>
      <c r="W10" s="140"/>
      <c r="X10" s="140"/>
    </row>
    <row r="11" spans="1:24" ht="56.25">
      <c r="A11" s="131">
        <v>6</v>
      </c>
      <c r="B11" s="132">
        <v>4</v>
      </c>
      <c r="C11" s="133" t="s">
        <v>841</v>
      </c>
      <c r="D11" s="134" t="s">
        <v>842</v>
      </c>
      <c r="E11" s="758">
        <v>1237300</v>
      </c>
      <c r="F11" s="132">
        <v>1</v>
      </c>
      <c r="G11" s="758">
        <v>1237300</v>
      </c>
      <c r="H11" s="132"/>
      <c r="I11" s="132"/>
      <c r="J11" s="132"/>
      <c r="K11" s="132"/>
      <c r="L11" s="135">
        <f t="shared" si="0"/>
        <v>1237300</v>
      </c>
      <c r="M11" s="136" t="s">
        <v>848</v>
      </c>
      <c r="N11" s="137" t="s">
        <v>203</v>
      </c>
      <c r="O11" s="137" t="s">
        <v>849</v>
      </c>
      <c r="P11" s="139" t="s">
        <v>17</v>
      </c>
      <c r="Q11" s="139" t="s">
        <v>10</v>
      </c>
      <c r="R11" s="139" t="s">
        <v>838</v>
      </c>
      <c r="S11" s="139"/>
      <c r="T11" s="139"/>
      <c r="U11" s="858" t="s">
        <v>845</v>
      </c>
      <c r="V11" s="859"/>
      <c r="W11" s="140"/>
      <c r="X11" s="140"/>
    </row>
    <row r="12" spans="1:24" ht="56.25">
      <c r="A12" s="131">
        <v>6</v>
      </c>
      <c r="B12" s="132">
        <v>5</v>
      </c>
      <c r="C12" s="133" t="s">
        <v>850</v>
      </c>
      <c r="D12" s="134" t="s">
        <v>851</v>
      </c>
      <c r="E12" s="758">
        <v>1241700</v>
      </c>
      <c r="F12" s="132">
        <v>1</v>
      </c>
      <c r="G12" s="758">
        <v>1241700</v>
      </c>
      <c r="H12" s="132"/>
      <c r="I12" s="132"/>
      <c r="J12" s="132"/>
      <c r="K12" s="132"/>
      <c r="L12" s="135">
        <f t="shared" si="0"/>
        <v>1241700</v>
      </c>
      <c r="M12" s="136" t="s">
        <v>852</v>
      </c>
      <c r="N12" s="137" t="s">
        <v>209</v>
      </c>
      <c r="O12" s="137" t="s">
        <v>210</v>
      </c>
      <c r="P12" s="139" t="s">
        <v>17</v>
      </c>
      <c r="Q12" s="139"/>
      <c r="R12" s="139" t="s">
        <v>838</v>
      </c>
      <c r="S12" s="139"/>
      <c r="T12" s="139"/>
      <c r="U12" s="860"/>
      <c r="V12" s="859"/>
      <c r="W12" s="140"/>
      <c r="X12" s="140"/>
    </row>
    <row r="13" spans="1:24" ht="75">
      <c r="A13" s="131">
        <v>6</v>
      </c>
      <c r="B13" s="132">
        <v>6</v>
      </c>
      <c r="C13" s="133" t="s">
        <v>837</v>
      </c>
      <c r="D13" s="134">
        <v>9555</v>
      </c>
      <c r="E13" s="135">
        <v>9736300</v>
      </c>
      <c r="F13" s="132">
        <v>1</v>
      </c>
      <c r="G13" s="773"/>
      <c r="H13" s="135">
        <v>9736300</v>
      </c>
      <c r="I13" s="132"/>
      <c r="J13" s="135"/>
      <c r="K13" s="132"/>
      <c r="L13" s="135">
        <f t="shared" si="0"/>
        <v>9736300</v>
      </c>
      <c r="M13" s="136" t="s">
        <v>184</v>
      </c>
      <c r="N13" s="137" t="s">
        <v>185</v>
      </c>
      <c r="O13" s="137" t="s">
        <v>185</v>
      </c>
      <c r="P13" s="139" t="s">
        <v>17</v>
      </c>
      <c r="Q13" s="139" t="s">
        <v>181</v>
      </c>
      <c r="R13" s="139" t="s">
        <v>838</v>
      </c>
      <c r="S13" s="139">
        <v>30</v>
      </c>
      <c r="T13" s="761">
        <v>90.69</v>
      </c>
      <c r="U13" s="132" t="s">
        <v>839</v>
      </c>
      <c r="V13" s="133"/>
      <c r="W13" s="161" t="s">
        <v>840</v>
      </c>
      <c r="X13" s="133"/>
    </row>
    <row r="14" spans="1:24" ht="56.25">
      <c r="A14" s="131">
        <v>6</v>
      </c>
      <c r="B14" s="132">
        <v>7</v>
      </c>
      <c r="C14" s="133" t="s">
        <v>850</v>
      </c>
      <c r="D14" s="134" t="s">
        <v>851</v>
      </c>
      <c r="E14" s="758">
        <v>1241700</v>
      </c>
      <c r="F14" s="132">
        <v>2</v>
      </c>
      <c r="G14" s="758">
        <v>1241700</v>
      </c>
      <c r="H14" s="758">
        <v>1241700</v>
      </c>
      <c r="I14" s="132"/>
      <c r="J14" s="132"/>
      <c r="K14" s="132"/>
      <c r="L14" s="135">
        <f t="shared" si="0"/>
        <v>2483400</v>
      </c>
      <c r="M14" s="136" t="s">
        <v>767</v>
      </c>
      <c r="N14" s="137" t="s">
        <v>159</v>
      </c>
      <c r="O14" s="137" t="s">
        <v>197</v>
      </c>
      <c r="P14" s="139" t="s">
        <v>17</v>
      </c>
      <c r="Q14" s="139"/>
      <c r="R14" s="139" t="s">
        <v>838</v>
      </c>
      <c r="S14" s="139"/>
      <c r="T14" s="139"/>
      <c r="U14" s="860"/>
      <c r="V14" s="859"/>
      <c r="W14" s="140"/>
      <c r="X14" s="140"/>
    </row>
    <row r="15" spans="1:24" ht="56.25">
      <c r="A15" s="131">
        <v>6</v>
      </c>
      <c r="B15" s="132">
        <v>8</v>
      </c>
      <c r="C15" s="133" t="s">
        <v>841</v>
      </c>
      <c r="D15" s="134" t="s">
        <v>842</v>
      </c>
      <c r="E15" s="758">
        <v>1237300</v>
      </c>
      <c r="F15" s="132">
        <v>1</v>
      </c>
      <c r="G15" s="773"/>
      <c r="H15" s="758">
        <v>1237300</v>
      </c>
      <c r="I15" s="132"/>
      <c r="J15" s="132"/>
      <c r="K15" s="132"/>
      <c r="L15" s="135">
        <f t="shared" si="0"/>
        <v>1237300</v>
      </c>
      <c r="M15" s="136" t="s">
        <v>853</v>
      </c>
      <c r="N15" s="137" t="s">
        <v>203</v>
      </c>
      <c r="O15" s="137" t="s">
        <v>854</v>
      </c>
      <c r="P15" s="139" t="s">
        <v>17</v>
      </c>
      <c r="Q15" s="139" t="s">
        <v>10</v>
      </c>
      <c r="R15" s="139" t="s">
        <v>838</v>
      </c>
      <c r="S15" s="139"/>
      <c r="T15" s="139"/>
      <c r="U15" s="858" t="s">
        <v>845</v>
      </c>
      <c r="V15" s="859"/>
      <c r="W15" s="140"/>
      <c r="X15" s="140"/>
    </row>
    <row r="16" spans="1:24" ht="56.25">
      <c r="A16" s="131">
        <v>6</v>
      </c>
      <c r="B16" s="132">
        <v>9</v>
      </c>
      <c r="C16" s="133" t="s">
        <v>841</v>
      </c>
      <c r="D16" s="134" t="s">
        <v>842</v>
      </c>
      <c r="E16" s="758">
        <v>1237300</v>
      </c>
      <c r="F16" s="132">
        <v>1</v>
      </c>
      <c r="G16" s="773"/>
      <c r="H16" s="758">
        <v>1237300</v>
      </c>
      <c r="I16" s="132"/>
      <c r="J16" s="132"/>
      <c r="K16" s="132"/>
      <c r="L16" s="135">
        <f t="shared" si="0"/>
        <v>1237300</v>
      </c>
      <c r="M16" s="136" t="s">
        <v>855</v>
      </c>
      <c r="N16" s="137" t="s">
        <v>192</v>
      </c>
      <c r="O16" s="137" t="s">
        <v>192</v>
      </c>
      <c r="P16" s="139" t="s">
        <v>17</v>
      </c>
      <c r="Q16" s="139" t="s">
        <v>10</v>
      </c>
      <c r="R16" s="139" t="s">
        <v>838</v>
      </c>
      <c r="S16" s="139"/>
      <c r="T16" s="139"/>
      <c r="U16" s="858" t="s">
        <v>845</v>
      </c>
      <c r="V16" s="859"/>
      <c r="W16" s="140"/>
      <c r="X16" s="140"/>
    </row>
    <row r="17" spans="1:24" ht="56.25">
      <c r="A17" s="131">
        <v>6</v>
      </c>
      <c r="B17" s="132">
        <v>10</v>
      </c>
      <c r="C17" s="133" t="s">
        <v>841</v>
      </c>
      <c r="D17" s="134" t="s">
        <v>842</v>
      </c>
      <c r="E17" s="758">
        <v>1237300</v>
      </c>
      <c r="F17" s="132">
        <v>1</v>
      </c>
      <c r="G17" s="773"/>
      <c r="H17" s="758">
        <v>1237300</v>
      </c>
      <c r="I17" s="132"/>
      <c r="J17" s="132"/>
      <c r="K17" s="132"/>
      <c r="L17" s="135">
        <f t="shared" si="0"/>
        <v>1237300</v>
      </c>
      <c r="M17" s="136" t="s">
        <v>856</v>
      </c>
      <c r="N17" s="137" t="s">
        <v>185</v>
      </c>
      <c r="O17" s="137" t="s">
        <v>857</v>
      </c>
      <c r="P17" s="139" t="s">
        <v>17</v>
      </c>
      <c r="Q17" s="139" t="s">
        <v>10</v>
      </c>
      <c r="R17" s="139" t="s">
        <v>838</v>
      </c>
      <c r="S17" s="139"/>
      <c r="T17" s="139"/>
      <c r="U17" s="858" t="s">
        <v>845</v>
      </c>
      <c r="V17" s="859"/>
      <c r="W17" s="140"/>
      <c r="X17" s="140"/>
    </row>
    <row r="18" spans="1:24" ht="56.25">
      <c r="A18" s="131">
        <v>6</v>
      </c>
      <c r="B18" s="132">
        <v>11</v>
      </c>
      <c r="C18" s="133" t="s">
        <v>841</v>
      </c>
      <c r="D18" s="134" t="s">
        <v>842</v>
      </c>
      <c r="E18" s="758">
        <v>1237300</v>
      </c>
      <c r="F18" s="132">
        <v>1</v>
      </c>
      <c r="G18" s="773"/>
      <c r="H18" s="758">
        <v>1237300</v>
      </c>
      <c r="I18" s="132"/>
      <c r="J18" s="132"/>
      <c r="K18" s="132"/>
      <c r="L18" s="135">
        <f t="shared" si="0"/>
        <v>1237300</v>
      </c>
      <c r="M18" s="136" t="s">
        <v>858</v>
      </c>
      <c r="N18" s="137" t="s">
        <v>228</v>
      </c>
      <c r="O18" s="137" t="s">
        <v>228</v>
      </c>
      <c r="P18" s="139" t="s">
        <v>17</v>
      </c>
      <c r="Q18" s="139" t="s">
        <v>10</v>
      </c>
      <c r="R18" s="139" t="s">
        <v>838</v>
      </c>
      <c r="S18" s="139"/>
      <c r="T18" s="139"/>
      <c r="U18" s="858" t="s">
        <v>845</v>
      </c>
      <c r="V18" s="859"/>
      <c r="W18" s="140"/>
      <c r="X18" s="140"/>
    </row>
    <row r="19" spans="1:24" ht="56.25">
      <c r="A19" s="131">
        <v>6</v>
      </c>
      <c r="B19" s="132">
        <v>12</v>
      </c>
      <c r="C19" s="133" t="s">
        <v>841</v>
      </c>
      <c r="D19" s="134" t="s">
        <v>842</v>
      </c>
      <c r="E19" s="758">
        <v>1237300</v>
      </c>
      <c r="F19" s="132">
        <v>1</v>
      </c>
      <c r="G19" s="760"/>
      <c r="H19" s="773"/>
      <c r="I19" s="758">
        <v>1237300</v>
      </c>
      <c r="J19" s="132"/>
      <c r="K19" s="132"/>
      <c r="L19" s="135">
        <f t="shared" si="0"/>
        <v>1237300</v>
      </c>
      <c r="M19" s="136" t="s">
        <v>859</v>
      </c>
      <c r="N19" s="137" t="s">
        <v>209</v>
      </c>
      <c r="O19" s="137" t="s">
        <v>844</v>
      </c>
      <c r="P19" s="139" t="s">
        <v>17</v>
      </c>
      <c r="Q19" s="139" t="s">
        <v>10</v>
      </c>
      <c r="R19" s="139" t="s">
        <v>838</v>
      </c>
      <c r="S19" s="139"/>
      <c r="T19" s="139"/>
      <c r="U19" s="858" t="s">
        <v>845</v>
      </c>
      <c r="V19" s="859"/>
      <c r="W19" s="140"/>
      <c r="X19" s="140"/>
    </row>
    <row r="20" spans="1:24" ht="56.25">
      <c r="A20" s="131">
        <v>6</v>
      </c>
      <c r="B20" s="132">
        <v>13</v>
      </c>
      <c r="C20" s="133" t="s">
        <v>841</v>
      </c>
      <c r="D20" s="134" t="s">
        <v>842</v>
      </c>
      <c r="E20" s="758">
        <v>1237300</v>
      </c>
      <c r="F20" s="132">
        <v>1</v>
      </c>
      <c r="G20" s="760"/>
      <c r="H20" s="773"/>
      <c r="I20" s="758">
        <v>1237300</v>
      </c>
      <c r="J20" s="132"/>
      <c r="K20" s="132"/>
      <c r="L20" s="135">
        <f t="shared" si="0"/>
        <v>1237300</v>
      </c>
      <c r="M20" s="136" t="s">
        <v>860</v>
      </c>
      <c r="N20" s="137" t="s">
        <v>232</v>
      </c>
      <c r="O20" s="137" t="s">
        <v>861</v>
      </c>
      <c r="P20" s="139" t="s">
        <v>17</v>
      </c>
      <c r="Q20" s="139" t="s">
        <v>10</v>
      </c>
      <c r="R20" s="139" t="s">
        <v>838</v>
      </c>
      <c r="S20" s="139"/>
      <c r="T20" s="139"/>
      <c r="U20" s="858" t="s">
        <v>845</v>
      </c>
      <c r="V20" s="859"/>
      <c r="W20" s="140"/>
      <c r="X20" s="140"/>
    </row>
    <row r="21" spans="1:24" ht="56.25">
      <c r="A21" s="131">
        <v>6</v>
      </c>
      <c r="B21" s="132">
        <v>14</v>
      </c>
      <c r="C21" s="133" t="s">
        <v>841</v>
      </c>
      <c r="D21" s="134" t="s">
        <v>842</v>
      </c>
      <c r="E21" s="758">
        <v>1237300</v>
      </c>
      <c r="F21" s="132">
        <v>1</v>
      </c>
      <c r="G21" s="760"/>
      <c r="H21" s="773"/>
      <c r="I21" s="758">
        <v>1237300</v>
      </c>
      <c r="J21" s="132"/>
      <c r="K21" s="132"/>
      <c r="L21" s="135">
        <f t="shared" si="0"/>
        <v>1237300</v>
      </c>
      <c r="M21" s="136" t="s">
        <v>862</v>
      </c>
      <c r="N21" s="137" t="s">
        <v>203</v>
      </c>
      <c r="O21" s="137" t="s">
        <v>863</v>
      </c>
      <c r="P21" s="139" t="s">
        <v>17</v>
      </c>
      <c r="Q21" s="139" t="s">
        <v>10</v>
      </c>
      <c r="R21" s="139" t="s">
        <v>838</v>
      </c>
      <c r="S21" s="139"/>
      <c r="T21" s="139"/>
      <c r="U21" s="858" t="s">
        <v>845</v>
      </c>
      <c r="V21" s="859"/>
      <c r="W21" s="140"/>
      <c r="X21" s="140"/>
    </row>
    <row r="22" spans="1:24" ht="56.25">
      <c r="A22" s="131">
        <v>6</v>
      </c>
      <c r="B22" s="132">
        <v>15</v>
      </c>
      <c r="C22" s="133" t="s">
        <v>841</v>
      </c>
      <c r="D22" s="134" t="s">
        <v>842</v>
      </c>
      <c r="E22" s="758">
        <v>1237300</v>
      </c>
      <c r="F22" s="132">
        <v>1</v>
      </c>
      <c r="G22" s="760"/>
      <c r="H22" s="773"/>
      <c r="I22" s="758">
        <v>1237300</v>
      </c>
      <c r="J22" s="132"/>
      <c r="K22" s="132"/>
      <c r="L22" s="135">
        <f t="shared" si="0"/>
        <v>1237300</v>
      </c>
      <c r="M22" s="136" t="s">
        <v>864</v>
      </c>
      <c r="N22" s="137" t="s">
        <v>192</v>
      </c>
      <c r="O22" s="137" t="s">
        <v>193</v>
      </c>
      <c r="P22" s="139" t="s">
        <v>17</v>
      </c>
      <c r="Q22" s="139" t="s">
        <v>10</v>
      </c>
      <c r="R22" s="139" t="s">
        <v>838</v>
      </c>
      <c r="S22" s="139"/>
      <c r="T22" s="139"/>
      <c r="U22" s="858" t="s">
        <v>845</v>
      </c>
      <c r="V22" s="859"/>
      <c r="W22" s="140"/>
      <c r="X22" s="140"/>
    </row>
    <row r="23" spans="1:24" ht="56.25">
      <c r="A23" s="131">
        <v>6</v>
      </c>
      <c r="B23" s="132">
        <v>16</v>
      </c>
      <c r="C23" s="133" t="s">
        <v>841</v>
      </c>
      <c r="D23" s="134" t="s">
        <v>842</v>
      </c>
      <c r="E23" s="758">
        <v>1237300</v>
      </c>
      <c r="F23" s="132">
        <v>1</v>
      </c>
      <c r="G23" s="760"/>
      <c r="H23" s="773"/>
      <c r="I23" s="758">
        <v>1237300</v>
      </c>
      <c r="J23" s="132"/>
      <c r="K23" s="132"/>
      <c r="L23" s="135">
        <f t="shared" si="0"/>
        <v>1237300</v>
      </c>
      <c r="M23" s="136" t="s">
        <v>865</v>
      </c>
      <c r="N23" s="137" t="s">
        <v>228</v>
      </c>
      <c r="O23" s="137" t="s">
        <v>866</v>
      </c>
      <c r="P23" s="139" t="s">
        <v>17</v>
      </c>
      <c r="Q23" s="139" t="s">
        <v>10</v>
      </c>
      <c r="R23" s="139" t="s">
        <v>838</v>
      </c>
      <c r="S23" s="139"/>
      <c r="T23" s="139"/>
      <c r="U23" s="858" t="s">
        <v>845</v>
      </c>
      <c r="V23" s="859"/>
      <c r="W23" s="140"/>
      <c r="X23" s="140"/>
    </row>
    <row r="24" spans="1:24" ht="56.25">
      <c r="A24" s="131">
        <v>6</v>
      </c>
      <c r="B24" s="132">
        <v>17</v>
      </c>
      <c r="C24" s="133" t="s">
        <v>841</v>
      </c>
      <c r="D24" s="134" t="s">
        <v>867</v>
      </c>
      <c r="E24" s="758">
        <v>1237300</v>
      </c>
      <c r="F24" s="132">
        <v>1</v>
      </c>
      <c r="G24" s="760"/>
      <c r="H24" s="773"/>
      <c r="I24" s="758">
        <v>1237300</v>
      </c>
      <c r="J24" s="132"/>
      <c r="K24" s="132"/>
      <c r="L24" s="135">
        <f t="shared" si="0"/>
        <v>1237300</v>
      </c>
      <c r="M24" s="763" t="s">
        <v>229</v>
      </c>
      <c r="N24" s="134" t="s">
        <v>212</v>
      </c>
      <c r="O24" s="173" t="s">
        <v>230</v>
      </c>
      <c r="P24" s="139" t="s">
        <v>17</v>
      </c>
      <c r="Q24" s="139" t="s">
        <v>173</v>
      </c>
      <c r="R24" s="139" t="s">
        <v>838</v>
      </c>
      <c r="S24" s="139"/>
      <c r="T24" s="139"/>
      <c r="U24" s="858" t="s">
        <v>868</v>
      </c>
      <c r="V24" s="859"/>
      <c r="W24" s="140"/>
      <c r="X24" s="140"/>
    </row>
    <row r="25" spans="1:24" ht="126">
      <c r="A25" s="131">
        <v>6</v>
      </c>
      <c r="B25" s="132">
        <v>18</v>
      </c>
      <c r="C25" s="133" t="s">
        <v>869</v>
      </c>
      <c r="D25" s="134">
        <v>10135</v>
      </c>
      <c r="E25" s="758">
        <v>54068300</v>
      </c>
      <c r="F25" s="132">
        <v>1</v>
      </c>
      <c r="G25" s="760"/>
      <c r="H25" s="773"/>
      <c r="I25" s="758"/>
      <c r="J25" s="758">
        <v>54068300</v>
      </c>
      <c r="K25" s="132"/>
      <c r="L25" s="135">
        <f t="shared" si="0"/>
        <v>54068300</v>
      </c>
      <c r="M25" s="136" t="s">
        <v>755</v>
      </c>
      <c r="N25" s="137" t="s">
        <v>159</v>
      </c>
      <c r="O25" s="137" t="s">
        <v>197</v>
      </c>
      <c r="P25" s="139" t="s">
        <v>17</v>
      </c>
      <c r="Q25" s="139" t="s">
        <v>2</v>
      </c>
      <c r="R25" s="139" t="s">
        <v>838</v>
      </c>
      <c r="S25" s="139">
        <v>755</v>
      </c>
      <c r="T25" s="761">
        <v>93.84</v>
      </c>
      <c r="U25" s="815" t="s">
        <v>870</v>
      </c>
      <c r="V25" s="815" t="s">
        <v>871</v>
      </c>
      <c r="W25" s="861" t="s">
        <v>872</v>
      </c>
      <c r="X25" s="790" t="s">
        <v>873</v>
      </c>
    </row>
    <row r="26" spans="1:24" s="768" customFormat="1">
      <c r="A26" s="1374" t="s">
        <v>874</v>
      </c>
      <c r="B26" s="1375"/>
      <c r="C26" s="1375"/>
      <c r="D26" s="1375"/>
      <c r="E26" s="1375"/>
      <c r="F26" s="1376"/>
      <c r="G26" s="764">
        <f>SUM(G8:G25)</f>
        <v>15931600</v>
      </c>
      <c r="H26" s="764">
        <f t="shared" ref="H26:K26" si="1">SUM(H8:H25)</f>
        <v>15927200</v>
      </c>
      <c r="I26" s="764">
        <f t="shared" si="1"/>
        <v>7423800</v>
      </c>
      <c r="J26" s="764">
        <f t="shared" si="1"/>
        <v>54068300</v>
      </c>
      <c r="K26" s="764">
        <f t="shared" si="1"/>
        <v>0</v>
      </c>
      <c r="L26" s="764">
        <f>SUM(L8:L25)</f>
        <v>93350900</v>
      </c>
      <c r="M26" s="765"/>
      <c r="N26" s="203"/>
      <c r="O26" s="203"/>
      <c r="P26" s="204"/>
      <c r="Q26" s="204"/>
      <c r="R26" s="204"/>
      <c r="S26" s="204"/>
      <c r="T26" s="204"/>
      <c r="U26" s="208"/>
      <c r="V26" s="208"/>
      <c r="W26" s="208"/>
      <c r="X26" s="208"/>
    </row>
    <row r="27" spans="1:24">
      <c r="B27" s="795" t="s">
        <v>0</v>
      </c>
      <c r="C27" s="795" t="s">
        <v>1</v>
      </c>
      <c r="D27" s="1340" t="s">
        <v>18</v>
      </c>
      <c r="E27" s="1340"/>
      <c r="F27" s="1340"/>
      <c r="G27" s="1340"/>
      <c r="H27" s="1340"/>
      <c r="I27" s="1340"/>
      <c r="J27" s="1340"/>
      <c r="K27" s="1341" t="s">
        <v>8</v>
      </c>
    </row>
    <row r="28" spans="1:24">
      <c r="B28" s="799"/>
      <c r="C28" s="799" t="s">
        <v>16</v>
      </c>
      <c r="D28" s="34" t="s">
        <v>2</v>
      </c>
      <c r="E28" s="34" t="s">
        <v>3</v>
      </c>
      <c r="F28" s="34" t="s">
        <v>4</v>
      </c>
      <c r="G28" s="34" t="s">
        <v>5</v>
      </c>
      <c r="H28" s="34" t="s">
        <v>6</v>
      </c>
      <c r="I28" s="34" t="s">
        <v>10</v>
      </c>
      <c r="J28" s="34" t="s">
        <v>11</v>
      </c>
      <c r="K28" s="1437"/>
    </row>
    <row r="29" spans="1:24" ht="56.25">
      <c r="B29" s="381">
        <v>2561</v>
      </c>
      <c r="C29" s="857" t="s">
        <v>875</v>
      </c>
      <c r="D29" s="9"/>
      <c r="E29" s="9"/>
      <c r="F29" s="9"/>
      <c r="G29" s="9"/>
      <c r="H29" s="9" t="s">
        <v>264</v>
      </c>
      <c r="I29" s="9"/>
      <c r="J29" s="9"/>
      <c r="K29" s="862">
        <v>11508800</v>
      </c>
    </row>
    <row r="30" spans="1:24" ht="56.25">
      <c r="B30" s="21">
        <v>2562</v>
      </c>
      <c r="C30" s="863" t="s">
        <v>876</v>
      </c>
      <c r="D30" s="10"/>
      <c r="E30" s="10"/>
      <c r="F30" s="10"/>
      <c r="G30" s="10"/>
      <c r="H30" s="10" t="s">
        <v>91</v>
      </c>
      <c r="I30" s="10"/>
      <c r="J30" s="10"/>
      <c r="K30" s="862">
        <v>11508800</v>
      </c>
    </row>
    <row r="31" spans="1:24" ht="56.25">
      <c r="B31" s="21">
        <v>2562</v>
      </c>
      <c r="C31" s="863" t="s">
        <v>877</v>
      </c>
      <c r="D31" s="11"/>
      <c r="E31" s="11"/>
      <c r="F31" s="11"/>
      <c r="G31" s="11" t="s">
        <v>264</v>
      </c>
      <c r="H31" s="11"/>
      <c r="I31" s="11"/>
      <c r="J31" s="11"/>
      <c r="K31" s="862">
        <v>11508800</v>
      </c>
    </row>
    <row r="32" spans="1:24" ht="56.25">
      <c r="B32" s="21">
        <v>2563</v>
      </c>
      <c r="C32" s="864" t="s">
        <v>878</v>
      </c>
      <c r="D32" s="11" t="s">
        <v>91</v>
      </c>
      <c r="E32" s="11"/>
      <c r="F32" s="11"/>
      <c r="G32" s="11"/>
      <c r="H32" s="11"/>
      <c r="I32" s="11"/>
      <c r="J32" s="11"/>
      <c r="K32" s="865">
        <v>60000000</v>
      </c>
    </row>
    <row r="33" spans="1:42" ht="37.5">
      <c r="B33" s="8">
        <v>2564</v>
      </c>
      <c r="C33" s="866" t="s">
        <v>879</v>
      </c>
      <c r="D33" s="13"/>
      <c r="E33" s="13"/>
      <c r="F33" s="13"/>
      <c r="G33" s="13"/>
      <c r="H33" s="13"/>
      <c r="I33" s="13" t="s">
        <v>91</v>
      </c>
      <c r="J33" s="13"/>
      <c r="K33" s="867">
        <v>19796800</v>
      </c>
    </row>
    <row r="34" spans="1:42" ht="37.5">
      <c r="B34" s="24">
        <v>2565</v>
      </c>
      <c r="C34" s="866" t="s">
        <v>880</v>
      </c>
      <c r="D34" s="868"/>
      <c r="E34" s="868"/>
      <c r="F34" s="868"/>
      <c r="G34" s="868"/>
      <c r="H34" s="868"/>
      <c r="I34" s="868" t="s">
        <v>91</v>
      </c>
      <c r="J34" s="868"/>
      <c r="K34" s="869">
        <v>28457900</v>
      </c>
    </row>
    <row r="35" spans="1:42">
      <c r="B35" s="38" t="s">
        <v>8</v>
      </c>
      <c r="C35" s="12"/>
      <c r="D35" s="12"/>
      <c r="E35" s="12"/>
      <c r="F35" s="12"/>
      <c r="G35" s="12"/>
      <c r="H35" s="12"/>
      <c r="I35" s="12"/>
      <c r="J35" s="12"/>
      <c r="K35" s="870">
        <f>SUM(K29:K34)</f>
        <v>142781100</v>
      </c>
    </row>
    <row r="36" spans="1:42" s="886" customFormat="1" ht="16.5" customHeight="1">
      <c r="A36" s="916" t="s">
        <v>909</v>
      </c>
      <c r="B36" s="950"/>
      <c r="C36" s="950"/>
    </row>
    <row r="37" spans="1:42" s="881" customFormat="1" ht="51" customHeight="1">
      <c r="A37" s="876" t="s">
        <v>0</v>
      </c>
      <c r="B37" s="876" t="s">
        <v>1</v>
      </c>
      <c r="C37" s="1066" t="s">
        <v>158</v>
      </c>
      <c r="D37" s="1066" t="s">
        <v>884</v>
      </c>
      <c r="E37" s="1066" t="s">
        <v>885</v>
      </c>
      <c r="F37" s="1066" t="s">
        <v>886</v>
      </c>
      <c r="G37" s="1066" t="s">
        <v>887</v>
      </c>
      <c r="H37" s="1066" t="s">
        <v>888</v>
      </c>
      <c r="I37" s="1066" t="s">
        <v>528</v>
      </c>
      <c r="J37" s="1066" t="s">
        <v>517</v>
      </c>
      <c r="K37" s="1066" t="s">
        <v>171</v>
      </c>
      <c r="L37" s="1067" t="s">
        <v>1015</v>
      </c>
      <c r="M37" s="1067" t="s">
        <v>1016</v>
      </c>
      <c r="N37" s="1067" t="s">
        <v>1017</v>
      </c>
      <c r="O37" s="1068" t="s">
        <v>1018</v>
      </c>
      <c r="P37" s="1067" t="s">
        <v>1019</v>
      </c>
      <c r="Q37" s="1069" t="s">
        <v>1020</v>
      </c>
      <c r="R37" s="1069" t="s">
        <v>1021</v>
      </c>
      <c r="S37" s="1069" t="s">
        <v>1022</v>
      </c>
      <c r="T37" s="1070" t="s">
        <v>1023</v>
      </c>
      <c r="U37" s="1070" t="s">
        <v>1024</v>
      </c>
      <c r="V37" s="1069" t="s">
        <v>1025</v>
      </c>
      <c r="W37" s="1069" t="s">
        <v>767</v>
      </c>
      <c r="X37" s="1069" t="s">
        <v>1026</v>
      </c>
      <c r="Y37" s="1069" t="s">
        <v>1027</v>
      </c>
      <c r="Z37" s="1378" t="s">
        <v>8</v>
      </c>
    </row>
    <row r="38" spans="1:42" s="881" customFormat="1" ht="22.5" customHeight="1">
      <c r="A38" s="878"/>
      <c r="B38" s="878" t="s">
        <v>16</v>
      </c>
      <c r="C38" s="879" t="s">
        <v>2</v>
      </c>
      <c r="D38" s="879" t="s">
        <v>3</v>
      </c>
      <c r="E38" s="879" t="s">
        <v>5</v>
      </c>
      <c r="F38" s="879" t="s">
        <v>5</v>
      </c>
      <c r="G38" s="879" t="s">
        <v>5</v>
      </c>
      <c r="H38" s="879" t="s">
        <v>181</v>
      </c>
      <c r="I38" s="879" t="s">
        <v>173</v>
      </c>
      <c r="J38" s="879" t="s">
        <v>173</v>
      </c>
      <c r="K38" s="879" t="s">
        <v>173</v>
      </c>
      <c r="L38" s="879" t="s">
        <v>10</v>
      </c>
      <c r="M38" s="879" t="s">
        <v>10</v>
      </c>
      <c r="N38" s="879" t="s">
        <v>10</v>
      </c>
      <c r="O38" s="879" t="s">
        <v>10</v>
      </c>
      <c r="P38" s="879" t="s">
        <v>10</v>
      </c>
      <c r="Q38" s="879" t="s">
        <v>10</v>
      </c>
      <c r="R38" s="879" t="s">
        <v>10</v>
      </c>
      <c r="S38" s="879" t="s">
        <v>10</v>
      </c>
      <c r="T38" s="879" t="s">
        <v>10</v>
      </c>
      <c r="U38" s="879" t="s">
        <v>10</v>
      </c>
      <c r="V38" s="879" t="s">
        <v>10</v>
      </c>
      <c r="W38" s="879" t="s">
        <v>11</v>
      </c>
      <c r="X38" s="879" t="s">
        <v>11</v>
      </c>
      <c r="Y38" s="879" t="s">
        <v>11</v>
      </c>
      <c r="Z38" s="1378"/>
    </row>
    <row r="39" spans="1:42" s="886" customFormat="1" ht="64.5" customHeight="1">
      <c r="A39" s="956">
        <v>2561</v>
      </c>
      <c r="B39" s="960"/>
      <c r="C39" s="1071">
        <v>67200000</v>
      </c>
      <c r="D39" s="1072"/>
      <c r="E39" s="1073"/>
      <c r="F39" s="1072"/>
      <c r="G39" s="1072"/>
      <c r="H39" s="1055">
        <v>19001400</v>
      </c>
      <c r="I39" s="231">
        <v>1143800</v>
      </c>
      <c r="J39" s="1072"/>
      <c r="K39" s="1072"/>
      <c r="L39" s="1074">
        <v>3100000</v>
      </c>
      <c r="M39" s="1075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1055">
        <f t="shared" ref="Z39:Z42" si="2">SUM(C39:Y39)</f>
        <v>90445200</v>
      </c>
      <c r="AA39" s="881"/>
      <c r="AB39" s="881"/>
      <c r="AC39" s="881"/>
      <c r="AD39" s="881"/>
      <c r="AE39" s="881"/>
      <c r="AF39" s="881"/>
      <c r="AG39" s="881"/>
      <c r="AH39" s="881"/>
      <c r="AI39" s="881"/>
      <c r="AJ39" s="881"/>
      <c r="AK39" s="881"/>
      <c r="AL39" s="881"/>
      <c r="AM39" s="881"/>
      <c r="AN39" s="881"/>
      <c r="AO39" s="881"/>
      <c r="AP39" s="881"/>
    </row>
    <row r="40" spans="1:42" s="1080" customFormat="1" ht="64.5" customHeight="1">
      <c r="A40" s="956">
        <v>2562</v>
      </c>
      <c r="B40" s="1076"/>
      <c r="C40" s="1077"/>
      <c r="D40" s="1055">
        <v>70733200</v>
      </c>
      <c r="E40" s="1073">
        <v>11810400</v>
      </c>
      <c r="F40" s="1078"/>
      <c r="G40" s="1078"/>
      <c r="H40" s="1078"/>
      <c r="I40" s="1078"/>
      <c r="J40" s="1055">
        <v>5219600</v>
      </c>
      <c r="K40" s="1072"/>
      <c r="L40" s="1072"/>
      <c r="M40" s="1075">
        <v>1100000</v>
      </c>
      <c r="N40" s="231">
        <v>1143800</v>
      </c>
      <c r="O40" s="231"/>
      <c r="P40" s="231"/>
      <c r="Q40" s="231"/>
      <c r="R40" s="231"/>
      <c r="S40" s="231"/>
      <c r="T40" s="231"/>
      <c r="U40" s="1079"/>
      <c r="V40" s="1079"/>
      <c r="W40" s="1079"/>
      <c r="X40" s="1079"/>
      <c r="Y40" s="1079"/>
      <c r="Z40" s="1055">
        <f t="shared" si="2"/>
        <v>90007000</v>
      </c>
      <c r="AA40" s="881"/>
      <c r="AB40" s="881"/>
      <c r="AC40" s="881"/>
      <c r="AD40" s="881"/>
      <c r="AE40" s="881"/>
      <c r="AF40" s="881"/>
      <c r="AG40" s="881"/>
      <c r="AH40" s="881"/>
      <c r="AI40" s="881"/>
      <c r="AJ40" s="881"/>
      <c r="AK40" s="881"/>
      <c r="AL40" s="881"/>
      <c r="AM40" s="881"/>
      <c r="AN40" s="881"/>
      <c r="AO40" s="881"/>
      <c r="AP40" s="881"/>
    </row>
    <row r="41" spans="1:42" s="1080" customFormat="1" ht="55.5" customHeight="1">
      <c r="A41" s="956">
        <v>2563</v>
      </c>
      <c r="B41" s="1081"/>
      <c r="C41" s="1071">
        <v>28737300</v>
      </c>
      <c r="D41" s="1072"/>
      <c r="E41" s="1078"/>
      <c r="F41" s="1078"/>
      <c r="G41" s="1078"/>
      <c r="H41" s="1055">
        <v>11810400</v>
      </c>
      <c r="I41" s="1078"/>
      <c r="J41" s="1078"/>
      <c r="K41" s="1072"/>
      <c r="L41" s="1072"/>
      <c r="M41" s="231"/>
      <c r="N41" s="231"/>
      <c r="O41" s="231">
        <v>1143800</v>
      </c>
      <c r="P41" s="231">
        <v>1090800</v>
      </c>
      <c r="Q41" s="231"/>
      <c r="R41" s="231"/>
      <c r="S41" s="231"/>
      <c r="T41" s="231"/>
      <c r="U41" s="1079"/>
      <c r="V41" s="1079"/>
      <c r="W41" s="1079"/>
      <c r="X41" s="1079"/>
      <c r="Y41" s="1079"/>
      <c r="Z41" s="1055">
        <f t="shared" si="2"/>
        <v>42782300</v>
      </c>
      <c r="AA41" s="881"/>
      <c r="AB41" s="881"/>
      <c r="AC41" s="881"/>
      <c r="AD41" s="881"/>
      <c r="AE41" s="881"/>
      <c r="AF41" s="881"/>
      <c r="AG41" s="881"/>
      <c r="AH41" s="881"/>
      <c r="AI41" s="881"/>
      <c r="AJ41" s="881"/>
      <c r="AK41" s="881"/>
      <c r="AL41" s="881"/>
      <c r="AM41" s="881"/>
      <c r="AN41" s="881"/>
      <c r="AO41" s="881"/>
      <c r="AP41" s="881"/>
    </row>
    <row r="42" spans="1:42" s="1080" customFormat="1" ht="56.25" customHeight="1">
      <c r="A42" s="1082">
        <v>2564</v>
      </c>
      <c r="B42" s="1083"/>
      <c r="C42" s="1084"/>
      <c r="D42" s="1085"/>
      <c r="E42" s="1086"/>
      <c r="F42" s="1086"/>
      <c r="G42" s="1086"/>
      <c r="H42" s="1086"/>
      <c r="I42" s="1086"/>
      <c r="J42" s="1086"/>
      <c r="K42" s="1085"/>
      <c r="L42" s="1085"/>
      <c r="M42" s="1087"/>
      <c r="N42" s="1087"/>
      <c r="O42" s="1087"/>
      <c r="P42" s="1087"/>
      <c r="Q42" s="1087">
        <v>1143800</v>
      </c>
      <c r="R42" s="1087">
        <v>1143800</v>
      </c>
      <c r="S42" s="1087">
        <v>1143800</v>
      </c>
      <c r="T42" s="1087">
        <v>1143800</v>
      </c>
      <c r="U42" s="1088"/>
      <c r="V42" s="1088"/>
      <c r="W42" s="1088"/>
      <c r="X42" s="1089">
        <v>13953300</v>
      </c>
      <c r="Y42" s="1089">
        <v>2420300</v>
      </c>
      <c r="Z42" s="1055">
        <f t="shared" si="2"/>
        <v>20948800</v>
      </c>
      <c r="AA42" s="1090">
        <f>X42+Y42</f>
        <v>16373600</v>
      </c>
      <c r="AB42" s="881"/>
      <c r="AC42" s="881"/>
      <c r="AD42" s="881"/>
      <c r="AE42" s="881"/>
      <c r="AF42" s="881"/>
      <c r="AG42" s="881"/>
      <c r="AH42" s="881"/>
    </row>
    <row r="43" spans="1:42" s="475" customFormat="1" ht="64.5" customHeight="1">
      <c r="A43" s="956">
        <v>2565</v>
      </c>
      <c r="B43" s="1091"/>
      <c r="C43" s="1072"/>
      <c r="D43" s="1072"/>
      <c r="E43" s="1072"/>
      <c r="F43" s="231">
        <v>17336900</v>
      </c>
      <c r="G43" s="1092"/>
      <c r="H43" s="1072"/>
      <c r="I43" s="1072"/>
      <c r="J43" s="1072"/>
      <c r="K43" s="231">
        <v>13953300</v>
      </c>
      <c r="L43" s="231"/>
      <c r="M43" s="231"/>
      <c r="N43" s="231"/>
      <c r="O43" s="231"/>
      <c r="P43" s="231"/>
      <c r="Q43" s="231"/>
      <c r="R43" s="231"/>
      <c r="S43" s="231"/>
      <c r="T43" s="231"/>
      <c r="U43" s="231">
        <v>1143800</v>
      </c>
      <c r="V43" s="231">
        <v>1143800</v>
      </c>
      <c r="W43" s="231">
        <v>1143800</v>
      </c>
      <c r="X43" s="231"/>
      <c r="Y43" s="231"/>
      <c r="Z43" s="1055">
        <f>SUM(C43:Y43)</f>
        <v>34721600</v>
      </c>
      <c r="AA43" s="881"/>
      <c r="AB43" s="881"/>
      <c r="AC43" s="881"/>
      <c r="AD43" s="881"/>
      <c r="AE43" s="881"/>
      <c r="AF43" s="881"/>
      <c r="AG43" s="881"/>
      <c r="AH43" s="881"/>
    </row>
    <row r="44" spans="1:42" s="886" customFormat="1" ht="69.75" customHeight="1">
      <c r="A44" s="1093" t="s">
        <v>8</v>
      </c>
      <c r="B44" s="1094"/>
      <c r="C44" s="1095">
        <f>SUM(C39:C43)</f>
        <v>95937300</v>
      </c>
      <c r="D44" s="1095">
        <f t="shared" ref="D44:Y44" si="3">SUM(D39:D43)</f>
        <v>70733200</v>
      </c>
      <c r="E44" s="1095">
        <f t="shared" si="3"/>
        <v>11810400</v>
      </c>
      <c r="F44" s="1095">
        <f t="shared" si="3"/>
        <v>17336900</v>
      </c>
      <c r="G44" s="1095">
        <f t="shared" si="3"/>
        <v>0</v>
      </c>
      <c r="H44" s="1095">
        <f t="shared" si="3"/>
        <v>30811800</v>
      </c>
      <c r="I44" s="1095">
        <f t="shared" si="3"/>
        <v>1143800</v>
      </c>
      <c r="J44" s="1095">
        <f>SUM(J39:J43)</f>
        <v>5219600</v>
      </c>
      <c r="K44" s="1095">
        <f t="shared" si="3"/>
        <v>13953300</v>
      </c>
      <c r="L44" s="1095">
        <f t="shared" si="3"/>
        <v>3100000</v>
      </c>
      <c r="M44" s="1095">
        <f t="shared" si="3"/>
        <v>1100000</v>
      </c>
      <c r="N44" s="1095">
        <f t="shared" si="3"/>
        <v>1143800</v>
      </c>
      <c r="O44" s="1095">
        <f t="shared" si="3"/>
        <v>1143800</v>
      </c>
      <c r="P44" s="1095">
        <f t="shared" si="3"/>
        <v>1090800</v>
      </c>
      <c r="Q44" s="1095">
        <f t="shared" si="3"/>
        <v>1143800</v>
      </c>
      <c r="R44" s="1095">
        <f t="shared" si="3"/>
        <v>1143800</v>
      </c>
      <c r="S44" s="1095">
        <f t="shared" si="3"/>
        <v>1143800</v>
      </c>
      <c r="T44" s="1095">
        <f t="shared" si="3"/>
        <v>1143800</v>
      </c>
      <c r="U44" s="1096">
        <f>SUM(U39:U43)</f>
        <v>1143800</v>
      </c>
      <c r="V44" s="1096">
        <f t="shared" si="3"/>
        <v>1143800</v>
      </c>
      <c r="W44" s="1096">
        <f t="shared" si="3"/>
        <v>1143800</v>
      </c>
      <c r="X44" s="1096">
        <f t="shared" si="3"/>
        <v>13953300</v>
      </c>
      <c r="Y44" s="1096">
        <f t="shared" si="3"/>
        <v>2420300</v>
      </c>
      <c r="Z44" s="1097">
        <f>SUM(C44:Y44)</f>
        <v>278904900</v>
      </c>
      <c r="AA44" s="881"/>
      <c r="AB44" s="881"/>
      <c r="AC44" s="881"/>
      <c r="AD44" s="881"/>
      <c r="AE44" s="881"/>
      <c r="AF44" s="881"/>
      <c r="AG44" s="881"/>
      <c r="AH44" s="881"/>
    </row>
    <row r="45" spans="1:42" s="1080" customFormat="1">
      <c r="D45" s="475"/>
      <c r="E45" s="1098"/>
      <c r="F45" s="1098"/>
      <c r="G45" s="1098"/>
      <c r="H45" s="1098"/>
      <c r="I45" s="1098"/>
      <c r="J45" s="1098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1098"/>
      <c r="V45" s="1098"/>
      <c r="W45" s="1098"/>
      <c r="X45" s="1098"/>
      <c r="Y45" s="1098"/>
      <c r="Z45" s="1098"/>
    </row>
    <row r="46" spans="1:42" s="1080" customFormat="1">
      <c r="D46" s="56"/>
      <c r="E46" s="1099"/>
      <c r="F46" s="1099"/>
      <c r="G46" s="1099"/>
      <c r="H46" s="1099"/>
      <c r="I46" s="1099"/>
      <c r="J46" s="1099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1099"/>
      <c r="V46" s="1099"/>
      <c r="W46" s="1099"/>
      <c r="X46" s="1099"/>
      <c r="Y46" s="1099"/>
      <c r="Z46" s="1099"/>
    </row>
    <row r="47" spans="1:42" s="886" customFormat="1">
      <c r="A47" s="886" t="s">
        <v>158</v>
      </c>
      <c r="B47" s="886" t="s">
        <v>901</v>
      </c>
      <c r="C47" s="886" t="s">
        <v>1028</v>
      </c>
      <c r="D47" s="1100"/>
      <c r="E47" s="1100"/>
      <c r="G47" s="1100"/>
      <c r="I47" s="1100"/>
      <c r="J47" s="1100"/>
      <c r="L47" s="1100"/>
      <c r="M47" s="1100"/>
      <c r="N47" s="1100"/>
      <c r="O47" s="1445">
        <v>67200000</v>
      </c>
      <c r="P47" s="1445"/>
      <c r="Q47" s="1445"/>
      <c r="R47" s="1445"/>
      <c r="S47" s="1100"/>
      <c r="T47" s="1100"/>
      <c r="U47" s="1100"/>
      <c r="V47" s="1100"/>
      <c r="W47" s="1100"/>
      <c r="X47" s="1100"/>
      <c r="Y47" s="1100"/>
      <c r="Z47" s="1100"/>
    </row>
    <row r="48" spans="1:42" s="886" customFormat="1">
      <c r="A48" s="886" t="s">
        <v>888</v>
      </c>
      <c r="B48" s="886" t="s">
        <v>901</v>
      </c>
      <c r="C48" s="886" t="s">
        <v>1029</v>
      </c>
      <c r="D48" s="893"/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3"/>
      <c r="R48" s="893"/>
      <c r="S48" s="893"/>
      <c r="T48" s="893"/>
      <c r="U48" s="893"/>
      <c r="V48" s="893"/>
      <c r="W48" s="893"/>
      <c r="X48" s="893"/>
      <c r="Y48" s="893"/>
      <c r="Z48" s="893"/>
    </row>
    <row r="49" spans="1:28" s="1106" customFormat="1" ht="15.75">
      <c r="A49" s="1101" t="s">
        <v>1030</v>
      </c>
      <c r="B49" s="1102" t="s">
        <v>901</v>
      </c>
      <c r="C49" s="1103" t="s">
        <v>1031</v>
      </c>
      <c r="D49" s="1104"/>
      <c r="E49" s="1104"/>
      <c r="F49" s="1104"/>
      <c r="G49" s="1104"/>
      <c r="H49" s="1104"/>
      <c r="I49" s="1104"/>
      <c r="J49" s="1105" t="s">
        <v>851</v>
      </c>
      <c r="L49" s="1105"/>
      <c r="M49" s="1105"/>
      <c r="N49" s="1105"/>
      <c r="O49" s="1105"/>
      <c r="P49" s="1446">
        <v>1143800</v>
      </c>
      <c r="Q49" s="1446"/>
      <c r="R49" s="1446"/>
      <c r="S49" s="1105"/>
      <c r="T49" s="1105"/>
      <c r="V49" s="1104"/>
      <c r="W49" s="1104"/>
      <c r="X49" s="1104"/>
      <c r="Y49" s="1104"/>
      <c r="Z49" s="1104"/>
    </row>
    <row r="50" spans="1:28" s="886" customFormat="1">
      <c r="A50" s="886" t="s">
        <v>885</v>
      </c>
      <c r="B50" s="886" t="s">
        <v>902</v>
      </c>
      <c r="C50" s="886" t="s">
        <v>1032</v>
      </c>
      <c r="D50" s="1100"/>
      <c r="E50" s="1100"/>
      <c r="G50" s="1100"/>
      <c r="H50" s="1100"/>
      <c r="I50" s="1100"/>
      <c r="J50" s="1100"/>
      <c r="K50" s="1100"/>
      <c r="L50" s="1100"/>
      <c r="M50" s="1100"/>
      <c r="N50" s="1100"/>
      <c r="O50" s="1100"/>
      <c r="P50" s="1100"/>
      <c r="Q50" s="1447">
        <v>11810400</v>
      </c>
      <c r="R50" s="1447"/>
      <c r="S50" s="1447"/>
      <c r="T50" s="1100"/>
      <c r="U50" s="1100"/>
      <c r="V50" s="1100"/>
      <c r="W50" s="1100"/>
      <c r="X50" s="1100"/>
      <c r="Y50" s="1100"/>
      <c r="Z50" s="1100"/>
    </row>
    <row r="51" spans="1:28" s="886" customFormat="1">
      <c r="A51" s="886" t="s">
        <v>884</v>
      </c>
      <c r="B51" s="886" t="s">
        <v>902</v>
      </c>
      <c r="C51" s="886" t="s">
        <v>1033</v>
      </c>
      <c r="D51" s="1100"/>
      <c r="E51" s="1100"/>
      <c r="F51" s="1107"/>
      <c r="G51" s="1100"/>
      <c r="H51" s="1100"/>
      <c r="I51" s="1100"/>
      <c r="J51" s="1100"/>
      <c r="K51" s="1100"/>
      <c r="L51" s="1100"/>
      <c r="M51" s="1100"/>
      <c r="N51" s="1100"/>
      <c r="O51" s="1100"/>
      <c r="P51" s="1100"/>
      <c r="Q51" s="1100"/>
      <c r="R51" s="1100"/>
      <c r="S51" s="1100"/>
      <c r="T51" s="1100"/>
      <c r="U51" s="1100"/>
      <c r="V51" s="1100"/>
      <c r="W51" s="1100"/>
      <c r="X51" s="1100"/>
      <c r="Y51" s="1100"/>
      <c r="Z51" s="1100"/>
    </row>
    <row r="52" spans="1:28" s="886" customFormat="1">
      <c r="A52" s="886" t="s">
        <v>517</v>
      </c>
      <c r="B52" s="886" t="s">
        <v>902</v>
      </c>
      <c r="C52" s="886" t="s">
        <v>1034</v>
      </c>
      <c r="D52" s="1100"/>
      <c r="E52" s="1100"/>
      <c r="F52" s="1100"/>
      <c r="G52" s="1100"/>
      <c r="H52" s="1100"/>
      <c r="I52" s="1100"/>
      <c r="J52" s="1100"/>
      <c r="K52" s="1100"/>
      <c r="L52" s="1100"/>
      <c r="M52" s="1100"/>
      <c r="N52" s="1100"/>
      <c r="O52" s="1100"/>
      <c r="P52" s="1100"/>
      <c r="Q52" s="1100"/>
      <c r="R52" s="1100"/>
      <c r="S52" s="1100"/>
      <c r="T52" s="1100"/>
      <c r="U52" s="1100"/>
      <c r="V52" s="1100"/>
      <c r="W52" s="1100"/>
      <c r="X52" s="1100"/>
      <c r="Y52" s="1100"/>
      <c r="Z52" s="1100"/>
    </row>
    <row r="53" spans="1:28" s="886" customFormat="1">
      <c r="A53" s="886" t="s">
        <v>158</v>
      </c>
      <c r="B53" s="886" t="s">
        <v>903</v>
      </c>
      <c r="C53" s="886" t="s">
        <v>1035</v>
      </c>
      <c r="D53" s="1100"/>
      <c r="E53" s="1100"/>
      <c r="G53" s="1100"/>
      <c r="H53" s="1100"/>
      <c r="I53" s="1100"/>
      <c r="J53" s="1100"/>
      <c r="K53" s="1100"/>
      <c r="L53" s="1100"/>
      <c r="M53" s="1100"/>
      <c r="N53" s="1100"/>
      <c r="O53" s="1100"/>
      <c r="P53" s="1445">
        <v>28737300</v>
      </c>
      <c r="Q53" s="1445"/>
      <c r="R53" s="1445"/>
      <c r="S53" s="1100"/>
      <c r="T53" s="1100"/>
      <c r="U53" s="1100"/>
      <c r="V53" s="1100"/>
      <c r="W53" s="1100"/>
      <c r="X53" s="1100"/>
      <c r="Y53" s="1100"/>
      <c r="Z53" s="1100"/>
    </row>
    <row r="54" spans="1:28" s="886" customFormat="1">
      <c r="A54" s="886" t="s">
        <v>888</v>
      </c>
      <c r="B54" s="886" t="s">
        <v>903</v>
      </c>
      <c r="C54" s="886" t="s">
        <v>1036</v>
      </c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3"/>
      <c r="R54" s="893"/>
      <c r="S54" s="893"/>
      <c r="T54" s="893"/>
      <c r="U54" s="893"/>
      <c r="V54" s="893"/>
      <c r="W54" s="893"/>
      <c r="X54" s="893"/>
      <c r="Y54" s="893"/>
      <c r="Z54" s="893"/>
    </row>
    <row r="55" spans="1:28" s="886" customFormat="1">
      <c r="A55" s="886" t="s">
        <v>1026</v>
      </c>
      <c r="B55" s="886" t="s">
        <v>904</v>
      </c>
      <c r="C55" s="886" t="s">
        <v>1037</v>
      </c>
      <c r="D55" s="1100"/>
      <c r="E55" s="1100"/>
      <c r="G55" s="1100"/>
      <c r="H55" s="1100"/>
      <c r="J55" s="1100"/>
      <c r="K55" s="1100"/>
      <c r="L55" s="1100"/>
      <c r="M55" s="1100"/>
      <c r="N55" s="1443">
        <v>13953300</v>
      </c>
      <c r="O55" s="1443"/>
      <c r="P55" s="1443"/>
      <c r="Q55" s="1443"/>
      <c r="R55" s="1100"/>
      <c r="S55" s="1100"/>
      <c r="T55" s="1100"/>
      <c r="V55" s="1100"/>
      <c r="W55" s="1100"/>
      <c r="X55" s="1100"/>
      <c r="Y55" s="1100"/>
      <c r="Z55" s="1100"/>
      <c r="AB55" s="1100"/>
    </row>
    <row r="56" spans="1:28" s="886" customFormat="1">
      <c r="A56" s="886" t="s">
        <v>1027</v>
      </c>
      <c r="B56" s="886" t="s">
        <v>904</v>
      </c>
      <c r="C56" s="886" t="s">
        <v>1038</v>
      </c>
      <c r="D56" s="1100"/>
      <c r="E56" s="1100"/>
      <c r="G56" s="1100"/>
      <c r="H56" s="1100"/>
      <c r="J56" s="1100"/>
      <c r="K56" s="1100"/>
      <c r="L56" s="1100"/>
      <c r="M56" s="1100"/>
      <c r="N56" s="1108"/>
      <c r="O56" s="1108"/>
      <c r="P56" s="1108"/>
      <c r="Q56" s="1108"/>
      <c r="R56" s="1100"/>
      <c r="S56" s="1100"/>
      <c r="T56" s="1100"/>
      <c r="V56" s="1100"/>
      <c r="W56" s="1100"/>
      <c r="X56" s="1100"/>
      <c r="Y56" s="1100"/>
      <c r="Z56" s="1100"/>
      <c r="AB56" s="1100"/>
    </row>
    <row r="57" spans="1:28" s="886" customFormat="1">
      <c r="A57" s="886" t="s">
        <v>886</v>
      </c>
      <c r="B57" s="886" t="s">
        <v>905</v>
      </c>
      <c r="C57" s="886" t="s">
        <v>1039</v>
      </c>
      <c r="D57" s="1100"/>
      <c r="E57" s="1100"/>
      <c r="F57" s="1100"/>
      <c r="G57" s="1100"/>
      <c r="H57" s="1100"/>
      <c r="I57" s="1100"/>
      <c r="J57" s="1100"/>
      <c r="K57" s="1100"/>
      <c r="L57" s="1100"/>
      <c r="M57" s="1100"/>
      <c r="N57" s="1100"/>
      <c r="O57" s="1100"/>
      <c r="P57" s="1100"/>
      <c r="Q57" s="1100"/>
      <c r="R57" s="1100"/>
      <c r="S57" s="1100"/>
      <c r="T57" s="1100"/>
      <c r="U57" s="1100"/>
      <c r="V57" s="1100"/>
      <c r="W57" s="1100"/>
      <c r="X57" s="1100"/>
      <c r="Y57" s="1100"/>
      <c r="Z57" s="1100"/>
    </row>
    <row r="58" spans="1:28" s="886" customFormat="1">
      <c r="A58" s="886" t="s">
        <v>171</v>
      </c>
      <c r="B58" s="886" t="s">
        <v>905</v>
      </c>
      <c r="C58" s="886" t="s">
        <v>1037</v>
      </c>
      <c r="D58" s="1100"/>
      <c r="E58" s="1100"/>
      <c r="G58" s="1100"/>
      <c r="H58" s="1100"/>
      <c r="J58" s="1100"/>
      <c r="K58" s="1100"/>
      <c r="L58" s="1100"/>
      <c r="M58" s="1100"/>
      <c r="N58" s="1443">
        <v>13953300</v>
      </c>
      <c r="O58" s="1443"/>
      <c r="P58" s="1443"/>
      <c r="Q58" s="1443"/>
      <c r="R58" s="1100"/>
      <c r="S58" s="1100"/>
      <c r="T58" s="1100"/>
      <c r="V58" s="1100"/>
      <c r="W58" s="1100"/>
      <c r="X58" s="1100"/>
      <c r="Y58" s="1100"/>
      <c r="Z58" s="1100"/>
      <c r="AB58" s="1100" t="s">
        <v>1040</v>
      </c>
    </row>
    <row r="59" spans="1:28" s="1098" customFormat="1" ht="19.5">
      <c r="A59" s="1101" t="s">
        <v>1015</v>
      </c>
      <c r="C59" s="475" t="s">
        <v>901</v>
      </c>
      <c r="D59" s="1109" t="s">
        <v>1041</v>
      </c>
      <c r="E59" s="1110"/>
      <c r="F59" s="1110"/>
      <c r="G59" s="1110"/>
      <c r="H59" s="1110"/>
      <c r="I59" s="1110"/>
      <c r="J59" s="1110"/>
      <c r="K59" s="1111"/>
      <c r="L59" s="1111"/>
      <c r="M59" s="1111"/>
      <c r="N59" s="1111"/>
      <c r="O59" s="1111"/>
      <c r="P59" s="1111"/>
      <c r="Q59" s="1111"/>
      <c r="R59" s="1111"/>
      <c r="T59" s="1110"/>
      <c r="U59" s="1110"/>
      <c r="V59" s="1444">
        <v>10746</v>
      </c>
      <c r="W59" s="1444"/>
      <c r="X59" s="1112"/>
      <c r="Y59" s="1112"/>
      <c r="Z59" s="1110"/>
      <c r="AB59" s="1105">
        <v>3100000</v>
      </c>
    </row>
    <row r="60" spans="1:28" s="1098" customFormat="1">
      <c r="A60" s="1101" t="s">
        <v>1016</v>
      </c>
      <c r="C60" s="475" t="s">
        <v>902</v>
      </c>
      <c r="D60" s="1113" t="s">
        <v>1042</v>
      </c>
      <c r="E60" s="1110"/>
      <c r="F60" s="1110"/>
      <c r="G60" s="1110"/>
      <c r="H60" s="1110"/>
      <c r="I60" s="1110"/>
      <c r="J60" s="1110"/>
      <c r="K60" s="1114"/>
      <c r="L60" s="1114"/>
      <c r="M60" s="1114"/>
      <c r="N60" s="1114"/>
      <c r="O60" s="1114"/>
      <c r="P60" s="1114"/>
      <c r="Q60" s="1114"/>
      <c r="R60" s="1114"/>
      <c r="T60" s="1110"/>
      <c r="U60" s="1110"/>
      <c r="V60" s="1114" t="s">
        <v>842</v>
      </c>
      <c r="W60" s="1114"/>
      <c r="X60" s="1114"/>
      <c r="Y60" s="1114"/>
      <c r="Z60" s="1110"/>
      <c r="AB60" s="1105">
        <v>1100000</v>
      </c>
    </row>
    <row r="61" spans="1:28" s="1098" customFormat="1">
      <c r="A61" s="1101" t="s">
        <v>1017</v>
      </c>
      <c r="C61" s="475" t="s">
        <v>902</v>
      </c>
      <c r="D61" s="1113" t="s">
        <v>1043</v>
      </c>
      <c r="E61" s="1110"/>
      <c r="F61" s="1110"/>
      <c r="G61" s="1110"/>
      <c r="H61" s="1110"/>
      <c r="I61" s="1110"/>
      <c r="J61" s="1110"/>
      <c r="K61" s="1114"/>
      <c r="L61" s="1114"/>
      <c r="M61" s="1114"/>
      <c r="N61" s="1114"/>
      <c r="O61" s="1114"/>
      <c r="P61" s="1114"/>
      <c r="Q61" s="1114"/>
      <c r="R61" s="1114"/>
      <c r="T61" s="1110"/>
      <c r="U61" s="1110"/>
      <c r="V61" s="1114" t="s">
        <v>851</v>
      </c>
      <c r="W61" s="1114"/>
      <c r="X61" s="1114"/>
      <c r="Y61" s="1114"/>
      <c r="Z61" s="1110"/>
      <c r="AB61" s="1105">
        <v>1143800</v>
      </c>
    </row>
    <row r="62" spans="1:28" s="1098" customFormat="1" ht="21">
      <c r="A62" s="1115" t="s">
        <v>1018</v>
      </c>
      <c r="C62" s="475" t="s">
        <v>903</v>
      </c>
      <c r="D62" s="1113" t="s">
        <v>1044</v>
      </c>
      <c r="E62" s="1110"/>
      <c r="F62" s="1110"/>
      <c r="G62" s="1110"/>
      <c r="H62" s="1110"/>
      <c r="I62" s="1110"/>
      <c r="J62" s="1110"/>
      <c r="K62" s="1116"/>
      <c r="L62" s="1116"/>
      <c r="M62" s="1116"/>
      <c r="N62" s="1116"/>
      <c r="O62" s="1116"/>
      <c r="P62" s="1116"/>
      <c r="Q62" s="1116"/>
      <c r="R62" s="1116"/>
      <c r="T62" s="1110"/>
      <c r="U62" s="1110"/>
      <c r="V62" s="1116" t="s">
        <v>851</v>
      </c>
      <c r="W62" s="1116"/>
      <c r="X62" s="1116"/>
      <c r="Y62" s="1116"/>
      <c r="Z62" s="1110"/>
      <c r="AB62" s="1105">
        <v>1143800</v>
      </c>
    </row>
    <row r="63" spans="1:28" s="1098" customFormat="1">
      <c r="A63" s="1101" t="s">
        <v>1019</v>
      </c>
      <c r="C63" s="475" t="s">
        <v>903</v>
      </c>
      <c r="D63" s="1113" t="s">
        <v>1045</v>
      </c>
      <c r="E63" s="1110"/>
      <c r="F63" s="1110"/>
      <c r="G63" s="1110"/>
      <c r="H63" s="1110"/>
      <c r="I63" s="1110"/>
      <c r="J63" s="1110"/>
      <c r="K63" s="1117"/>
      <c r="L63" s="1117"/>
      <c r="M63" s="1117"/>
      <c r="N63" s="1117"/>
      <c r="O63" s="1117"/>
      <c r="P63" s="1117"/>
      <c r="Q63" s="1117"/>
      <c r="R63" s="1117"/>
      <c r="T63" s="1110"/>
      <c r="U63" s="1110"/>
      <c r="V63" s="1117" t="s">
        <v>1046</v>
      </c>
      <c r="W63" s="1117"/>
      <c r="X63" s="1117"/>
      <c r="Y63" s="1117"/>
      <c r="Z63" s="1110"/>
      <c r="AB63" s="1105">
        <v>1090800</v>
      </c>
    </row>
    <row r="64" spans="1:28" s="475" customFormat="1" ht="19.5">
      <c r="A64" s="1118" t="s">
        <v>1020</v>
      </c>
      <c r="C64" s="475" t="s">
        <v>904</v>
      </c>
      <c r="D64" s="1119" t="s">
        <v>1031</v>
      </c>
      <c r="G64" s="1107"/>
      <c r="H64" s="1107"/>
      <c r="I64" s="1107"/>
      <c r="J64" s="1107"/>
      <c r="K64" s="1119"/>
      <c r="L64" s="1119"/>
      <c r="M64" s="1119"/>
      <c r="N64" s="1119"/>
      <c r="O64" s="1119"/>
      <c r="P64" s="1119"/>
      <c r="Q64" s="1119"/>
      <c r="R64" s="1119"/>
      <c r="T64" s="1107"/>
      <c r="U64" s="1107"/>
      <c r="V64" s="1119" t="s">
        <v>851</v>
      </c>
      <c r="W64" s="1119"/>
      <c r="X64" s="1119"/>
      <c r="Y64" s="1119"/>
      <c r="Z64" s="1107"/>
      <c r="AB64" s="1105">
        <v>1143800</v>
      </c>
    </row>
    <row r="65" spans="1:28" s="475" customFormat="1" ht="19.5">
      <c r="A65" s="1118" t="s">
        <v>1021</v>
      </c>
      <c r="C65" s="475" t="s">
        <v>904</v>
      </c>
      <c r="D65" s="1119" t="s">
        <v>1031</v>
      </c>
      <c r="G65" s="1107"/>
      <c r="H65" s="1107"/>
      <c r="I65" s="1107"/>
      <c r="J65" s="1107"/>
      <c r="K65" s="1119"/>
      <c r="L65" s="1119"/>
      <c r="M65" s="1119"/>
      <c r="N65" s="1119"/>
      <c r="O65" s="1119"/>
      <c r="P65" s="1119"/>
      <c r="Q65" s="1119"/>
      <c r="R65" s="1119"/>
      <c r="T65" s="1107"/>
      <c r="U65" s="1107"/>
      <c r="V65" s="1119" t="s">
        <v>851</v>
      </c>
      <c r="W65" s="1119"/>
      <c r="X65" s="1119"/>
      <c r="Y65" s="1119"/>
      <c r="Z65" s="1107"/>
      <c r="AB65" s="1105">
        <v>1143800</v>
      </c>
    </row>
    <row r="66" spans="1:28" s="475" customFormat="1" ht="19.5">
      <c r="A66" s="1118" t="s">
        <v>1022</v>
      </c>
      <c r="C66" s="475" t="s">
        <v>904</v>
      </c>
      <c r="D66" s="1119" t="s">
        <v>1031</v>
      </c>
      <c r="G66" s="1107"/>
      <c r="H66" s="1107"/>
      <c r="I66" s="1107"/>
      <c r="J66" s="1107"/>
      <c r="K66" s="1119"/>
      <c r="L66" s="1119"/>
      <c r="M66" s="1119"/>
      <c r="N66" s="1119"/>
      <c r="O66" s="1119"/>
      <c r="P66" s="1119"/>
      <c r="Q66" s="1119"/>
      <c r="R66" s="1119"/>
      <c r="T66" s="1107"/>
      <c r="U66" s="1107"/>
      <c r="V66" s="1119" t="s">
        <v>851</v>
      </c>
      <c r="W66" s="1119"/>
      <c r="X66" s="1119"/>
      <c r="Y66" s="1119"/>
      <c r="Z66" s="1107"/>
      <c r="AB66" s="1105">
        <v>1143800</v>
      </c>
    </row>
    <row r="67" spans="1:28" s="475" customFormat="1" ht="21">
      <c r="A67" s="1120" t="s">
        <v>1023</v>
      </c>
      <c r="C67" s="475" t="s">
        <v>904</v>
      </c>
      <c r="D67" s="1113" t="s">
        <v>1047</v>
      </c>
      <c r="G67" s="1107"/>
      <c r="H67" s="1107"/>
      <c r="I67" s="1107"/>
      <c r="J67" s="1107"/>
      <c r="K67" s="1116"/>
      <c r="L67" s="1116"/>
      <c r="M67" s="1116"/>
      <c r="N67" s="1116"/>
      <c r="O67" s="1116"/>
      <c r="P67" s="1116"/>
      <c r="Q67" s="1116"/>
      <c r="R67" s="1116"/>
      <c r="T67" s="1107"/>
      <c r="U67" s="1107"/>
      <c r="V67" s="1116" t="s">
        <v>1048</v>
      </c>
      <c r="W67" s="1116"/>
      <c r="X67" s="1116"/>
      <c r="Y67" s="1116"/>
      <c r="Z67" s="1107"/>
      <c r="AB67" s="1105">
        <v>1143800</v>
      </c>
    </row>
    <row r="68" spans="1:28" s="475" customFormat="1" ht="21">
      <c r="A68" s="1120" t="s">
        <v>1024</v>
      </c>
      <c r="C68" s="475" t="s">
        <v>905</v>
      </c>
      <c r="D68" s="1113" t="s">
        <v>1049</v>
      </c>
      <c r="G68" s="1107"/>
      <c r="H68" s="1107"/>
      <c r="I68" s="1107"/>
      <c r="J68" s="1107"/>
      <c r="K68" s="1116"/>
      <c r="L68" s="1116"/>
      <c r="M68" s="1116"/>
      <c r="N68" s="1116"/>
      <c r="O68" s="1116"/>
      <c r="P68" s="1116"/>
      <c r="Q68" s="1116"/>
      <c r="R68" s="1116"/>
      <c r="T68" s="1107"/>
      <c r="U68" s="1107"/>
      <c r="V68" s="1116" t="s">
        <v>1048</v>
      </c>
      <c r="W68" s="1116"/>
      <c r="X68" s="1116"/>
      <c r="Y68" s="1116"/>
      <c r="Z68" s="1107"/>
      <c r="AB68" s="1105">
        <v>1143800</v>
      </c>
    </row>
    <row r="69" spans="1:28" s="475" customFormat="1" ht="19.5">
      <c r="A69" s="1118" t="s">
        <v>1025</v>
      </c>
      <c r="C69" s="475" t="s">
        <v>905</v>
      </c>
      <c r="D69" s="1119" t="s">
        <v>1031</v>
      </c>
      <c r="G69" s="1107"/>
      <c r="H69" s="1107"/>
      <c r="I69" s="1107"/>
      <c r="J69" s="1107"/>
      <c r="K69" s="1119"/>
      <c r="L69" s="1119"/>
      <c r="M69" s="1119"/>
      <c r="N69" s="1119"/>
      <c r="O69" s="1119"/>
      <c r="P69" s="1119"/>
      <c r="Q69" s="1119"/>
      <c r="R69" s="1119"/>
      <c r="T69" s="1107"/>
      <c r="U69" s="1107"/>
      <c r="V69" s="1119" t="s">
        <v>851</v>
      </c>
      <c r="W69" s="1119"/>
      <c r="X69" s="1119"/>
      <c r="Y69" s="1119"/>
      <c r="Z69" s="1107"/>
      <c r="AB69" s="1105">
        <v>1143800</v>
      </c>
    </row>
    <row r="70" spans="1:28" s="475" customFormat="1" ht="19.5">
      <c r="A70" s="1118" t="s">
        <v>767</v>
      </c>
      <c r="C70" s="475" t="s">
        <v>905</v>
      </c>
      <c r="D70" s="1113" t="s">
        <v>1050</v>
      </c>
      <c r="G70" s="1107"/>
      <c r="H70" s="1107"/>
      <c r="I70" s="1107"/>
      <c r="J70" s="1107"/>
      <c r="K70" s="1119"/>
      <c r="L70" s="1119"/>
      <c r="M70" s="1119"/>
      <c r="N70" s="1119"/>
      <c r="O70" s="1119"/>
      <c r="P70" s="1119"/>
      <c r="Q70" s="1119"/>
      <c r="R70" s="1119"/>
      <c r="T70" s="1107"/>
      <c r="U70" s="1107"/>
      <c r="V70" s="1119" t="s">
        <v>851</v>
      </c>
      <c r="W70" s="1119"/>
      <c r="X70" s="1119"/>
      <c r="Y70" s="1119"/>
      <c r="Z70" s="1107"/>
      <c r="AB70" s="1105">
        <v>1143800</v>
      </c>
    </row>
    <row r="71" spans="1:28">
      <c r="A71" s="1187" t="s">
        <v>1104</v>
      </c>
      <c r="B71" s="1188"/>
      <c r="C71" s="1188"/>
      <c r="D71" s="1188"/>
      <c r="E71" s="1188"/>
      <c r="F71" s="1188"/>
      <c r="G71" s="1188"/>
    </row>
    <row r="72" spans="1:28">
      <c r="A72" s="1190" t="s">
        <v>0</v>
      </c>
      <c r="B72" s="1190" t="s">
        <v>1</v>
      </c>
      <c r="C72" s="1269" t="s">
        <v>1097</v>
      </c>
      <c r="D72" s="1269" t="s">
        <v>1098</v>
      </c>
      <c r="E72" s="1269" t="s">
        <v>1159</v>
      </c>
      <c r="F72" s="1269" t="s">
        <v>1160</v>
      </c>
      <c r="G72" s="1269" t="s">
        <v>767</v>
      </c>
    </row>
    <row r="73" spans="1:28">
      <c r="A73" s="1277"/>
      <c r="B73" s="1277" t="s">
        <v>16</v>
      </c>
      <c r="C73" s="1278" t="s">
        <v>2</v>
      </c>
      <c r="D73" s="1278" t="s">
        <v>4</v>
      </c>
      <c r="E73" s="1278" t="s">
        <v>10</v>
      </c>
      <c r="F73" s="1278" t="s">
        <v>10</v>
      </c>
      <c r="G73" s="1278" t="s">
        <v>11</v>
      </c>
    </row>
    <row r="74" spans="1:28" ht="300">
      <c r="A74" s="1279">
        <v>2561</v>
      </c>
      <c r="B74" s="1280">
        <v>42165500</v>
      </c>
      <c r="C74" s="1279"/>
      <c r="D74" s="1281" t="s">
        <v>1161</v>
      </c>
      <c r="E74" s="1281" t="s">
        <v>1162</v>
      </c>
      <c r="F74" s="1281" t="s">
        <v>1163</v>
      </c>
      <c r="G74" s="1281" t="s">
        <v>1164</v>
      </c>
      <c r="H74" s="762">
        <f>1237300*2</f>
        <v>2474600</v>
      </c>
    </row>
    <row r="75" spans="1:28" ht="168.75">
      <c r="A75" s="1282">
        <v>2562</v>
      </c>
      <c r="B75" s="1283">
        <v>69479000</v>
      </c>
      <c r="C75" s="1284" t="s">
        <v>1165</v>
      </c>
      <c r="D75" s="1284" t="s">
        <v>1166</v>
      </c>
      <c r="E75" s="1282"/>
      <c r="F75" s="1282"/>
      <c r="G75" s="1282"/>
    </row>
    <row r="76" spans="1:28" ht="187.5">
      <c r="A76" s="1282">
        <v>2563</v>
      </c>
      <c r="B76" s="1285">
        <v>28737300</v>
      </c>
      <c r="C76" s="1282"/>
      <c r="D76" s="1284" t="s">
        <v>1167</v>
      </c>
      <c r="E76" s="1282"/>
      <c r="F76" s="1282"/>
      <c r="G76" s="1282"/>
    </row>
    <row r="77" spans="1:28">
      <c r="A77" s="1282">
        <v>2564</v>
      </c>
      <c r="B77" s="1282"/>
      <c r="C77" s="1282"/>
      <c r="D77" s="1282"/>
      <c r="E77" s="1282"/>
      <c r="F77" s="1282"/>
      <c r="G77" s="1282"/>
    </row>
    <row r="78" spans="1:28">
      <c r="A78" s="1286">
        <v>2565</v>
      </c>
      <c r="B78" s="1286"/>
      <c r="C78" s="1286"/>
      <c r="D78" s="1286"/>
      <c r="E78" s="1286"/>
      <c r="F78" s="1286"/>
      <c r="G78" s="1286"/>
    </row>
    <row r="79" spans="1:28">
      <c r="A79" s="1287" t="s">
        <v>8</v>
      </c>
      <c r="B79" s="1288">
        <f>SUM(B74:B78)</f>
        <v>140381800</v>
      </c>
      <c r="C79" s="1288">
        <v>59742700</v>
      </c>
      <c r="D79" s="1289">
        <v>75622300</v>
      </c>
      <c r="E79" s="1288">
        <v>1237300</v>
      </c>
      <c r="F79" s="1288">
        <v>1304900</v>
      </c>
      <c r="G79" s="1288">
        <v>2474600</v>
      </c>
    </row>
  </sheetData>
  <mergeCells count="26">
    <mergeCell ref="N55:Q55"/>
    <mergeCell ref="N58:Q58"/>
    <mergeCell ref="V59:W59"/>
    <mergeCell ref="Z37:Z38"/>
    <mergeCell ref="O47:R47"/>
    <mergeCell ref="P49:R49"/>
    <mergeCell ref="Q50:S50"/>
    <mergeCell ref="P53:R53"/>
    <mergeCell ref="L5:L6"/>
    <mergeCell ref="U5:X5"/>
    <mergeCell ref="A26:F26"/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D27:J27"/>
    <mergeCell ref="K27:K28"/>
    <mergeCell ref="I5:I6"/>
    <mergeCell ref="J5:J6"/>
    <mergeCell ref="K5:K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workbookViewId="0">
      <selection activeCell="I13" sqref="I13"/>
    </sheetView>
  </sheetViews>
  <sheetFormatPr defaultColWidth="12.625" defaultRowHeight="14.25"/>
  <cols>
    <col min="1" max="1" width="9" customWidth="1"/>
    <col min="2" max="2" width="22.75" customWidth="1"/>
    <col min="3" max="3" width="15.875" customWidth="1"/>
    <col min="4" max="5" width="20.375" customWidth="1"/>
    <col min="6" max="6" width="20.625" hidden="1" customWidth="1"/>
    <col min="7" max="7" width="13.875" hidden="1" customWidth="1"/>
    <col min="257" max="257" width="9" customWidth="1"/>
    <col min="258" max="258" width="22.75" customWidth="1"/>
    <col min="259" max="259" width="15.875" customWidth="1"/>
    <col min="260" max="261" width="20.375" customWidth="1"/>
    <col min="262" max="263" width="0" hidden="1" customWidth="1"/>
    <col min="513" max="513" width="9" customWidth="1"/>
    <col min="514" max="514" width="22.75" customWidth="1"/>
    <col min="515" max="515" width="15.875" customWidth="1"/>
    <col min="516" max="517" width="20.375" customWidth="1"/>
    <col min="518" max="519" width="0" hidden="1" customWidth="1"/>
    <col min="769" max="769" width="9" customWidth="1"/>
    <col min="770" max="770" width="22.75" customWidth="1"/>
    <col min="771" max="771" width="15.875" customWidth="1"/>
    <col min="772" max="773" width="20.375" customWidth="1"/>
    <col min="774" max="775" width="0" hidden="1" customWidth="1"/>
    <col min="1025" max="1025" width="9" customWidth="1"/>
    <col min="1026" max="1026" width="22.75" customWidth="1"/>
    <col min="1027" max="1027" width="15.875" customWidth="1"/>
    <col min="1028" max="1029" width="20.375" customWidth="1"/>
    <col min="1030" max="1031" width="0" hidden="1" customWidth="1"/>
    <col min="1281" max="1281" width="9" customWidth="1"/>
    <col min="1282" max="1282" width="22.75" customWidth="1"/>
    <col min="1283" max="1283" width="15.875" customWidth="1"/>
    <col min="1284" max="1285" width="20.375" customWidth="1"/>
    <col min="1286" max="1287" width="0" hidden="1" customWidth="1"/>
    <col min="1537" max="1537" width="9" customWidth="1"/>
    <col min="1538" max="1538" width="22.75" customWidth="1"/>
    <col min="1539" max="1539" width="15.875" customWidth="1"/>
    <col min="1540" max="1541" width="20.375" customWidth="1"/>
    <col min="1542" max="1543" width="0" hidden="1" customWidth="1"/>
    <col min="1793" max="1793" width="9" customWidth="1"/>
    <col min="1794" max="1794" width="22.75" customWidth="1"/>
    <col min="1795" max="1795" width="15.875" customWidth="1"/>
    <col min="1796" max="1797" width="20.375" customWidth="1"/>
    <col min="1798" max="1799" width="0" hidden="1" customWidth="1"/>
    <col min="2049" max="2049" width="9" customWidth="1"/>
    <col min="2050" max="2050" width="22.75" customWidth="1"/>
    <col min="2051" max="2051" width="15.875" customWidth="1"/>
    <col min="2052" max="2053" width="20.375" customWidth="1"/>
    <col min="2054" max="2055" width="0" hidden="1" customWidth="1"/>
    <col min="2305" max="2305" width="9" customWidth="1"/>
    <col min="2306" max="2306" width="22.75" customWidth="1"/>
    <col min="2307" max="2307" width="15.875" customWidth="1"/>
    <col min="2308" max="2309" width="20.375" customWidth="1"/>
    <col min="2310" max="2311" width="0" hidden="1" customWidth="1"/>
    <col min="2561" max="2561" width="9" customWidth="1"/>
    <col min="2562" max="2562" width="22.75" customWidth="1"/>
    <col min="2563" max="2563" width="15.875" customWidth="1"/>
    <col min="2564" max="2565" width="20.375" customWidth="1"/>
    <col min="2566" max="2567" width="0" hidden="1" customWidth="1"/>
    <col min="2817" max="2817" width="9" customWidth="1"/>
    <col min="2818" max="2818" width="22.75" customWidth="1"/>
    <col min="2819" max="2819" width="15.875" customWidth="1"/>
    <col min="2820" max="2821" width="20.375" customWidth="1"/>
    <col min="2822" max="2823" width="0" hidden="1" customWidth="1"/>
    <col min="3073" max="3073" width="9" customWidth="1"/>
    <col min="3074" max="3074" width="22.75" customWidth="1"/>
    <col min="3075" max="3075" width="15.875" customWidth="1"/>
    <col min="3076" max="3077" width="20.375" customWidth="1"/>
    <col min="3078" max="3079" width="0" hidden="1" customWidth="1"/>
    <col min="3329" max="3329" width="9" customWidth="1"/>
    <col min="3330" max="3330" width="22.75" customWidth="1"/>
    <col min="3331" max="3331" width="15.875" customWidth="1"/>
    <col min="3332" max="3333" width="20.375" customWidth="1"/>
    <col min="3334" max="3335" width="0" hidden="1" customWidth="1"/>
    <col min="3585" max="3585" width="9" customWidth="1"/>
    <col min="3586" max="3586" width="22.75" customWidth="1"/>
    <col min="3587" max="3587" width="15.875" customWidth="1"/>
    <col min="3588" max="3589" width="20.375" customWidth="1"/>
    <col min="3590" max="3591" width="0" hidden="1" customWidth="1"/>
    <col min="3841" max="3841" width="9" customWidth="1"/>
    <col min="3842" max="3842" width="22.75" customWidth="1"/>
    <col min="3843" max="3843" width="15.875" customWidth="1"/>
    <col min="3844" max="3845" width="20.375" customWidth="1"/>
    <col min="3846" max="3847" width="0" hidden="1" customWidth="1"/>
    <col min="4097" max="4097" width="9" customWidth="1"/>
    <col min="4098" max="4098" width="22.75" customWidth="1"/>
    <col min="4099" max="4099" width="15.875" customWidth="1"/>
    <col min="4100" max="4101" width="20.375" customWidth="1"/>
    <col min="4102" max="4103" width="0" hidden="1" customWidth="1"/>
    <col min="4353" max="4353" width="9" customWidth="1"/>
    <col min="4354" max="4354" width="22.75" customWidth="1"/>
    <col min="4355" max="4355" width="15.875" customWidth="1"/>
    <col min="4356" max="4357" width="20.375" customWidth="1"/>
    <col min="4358" max="4359" width="0" hidden="1" customWidth="1"/>
    <col min="4609" max="4609" width="9" customWidth="1"/>
    <col min="4610" max="4610" width="22.75" customWidth="1"/>
    <col min="4611" max="4611" width="15.875" customWidth="1"/>
    <col min="4612" max="4613" width="20.375" customWidth="1"/>
    <col min="4614" max="4615" width="0" hidden="1" customWidth="1"/>
    <col min="4865" max="4865" width="9" customWidth="1"/>
    <col min="4866" max="4866" width="22.75" customWidth="1"/>
    <col min="4867" max="4867" width="15.875" customWidth="1"/>
    <col min="4868" max="4869" width="20.375" customWidth="1"/>
    <col min="4870" max="4871" width="0" hidden="1" customWidth="1"/>
    <col min="5121" max="5121" width="9" customWidth="1"/>
    <col min="5122" max="5122" width="22.75" customWidth="1"/>
    <col min="5123" max="5123" width="15.875" customWidth="1"/>
    <col min="5124" max="5125" width="20.375" customWidth="1"/>
    <col min="5126" max="5127" width="0" hidden="1" customWidth="1"/>
    <col min="5377" max="5377" width="9" customWidth="1"/>
    <col min="5378" max="5378" width="22.75" customWidth="1"/>
    <col min="5379" max="5379" width="15.875" customWidth="1"/>
    <col min="5380" max="5381" width="20.375" customWidth="1"/>
    <col min="5382" max="5383" width="0" hidden="1" customWidth="1"/>
    <col min="5633" max="5633" width="9" customWidth="1"/>
    <col min="5634" max="5634" width="22.75" customWidth="1"/>
    <col min="5635" max="5635" width="15.875" customWidth="1"/>
    <col min="5636" max="5637" width="20.375" customWidth="1"/>
    <col min="5638" max="5639" width="0" hidden="1" customWidth="1"/>
    <col min="5889" max="5889" width="9" customWidth="1"/>
    <col min="5890" max="5890" width="22.75" customWidth="1"/>
    <col min="5891" max="5891" width="15.875" customWidth="1"/>
    <col min="5892" max="5893" width="20.375" customWidth="1"/>
    <col min="5894" max="5895" width="0" hidden="1" customWidth="1"/>
    <col min="6145" max="6145" width="9" customWidth="1"/>
    <col min="6146" max="6146" width="22.75" customWidth="1"/>
    <col min="6147" max="6147" width="15.875" customWidth="1"/>
    <col min="6148" max="6149" width="20.375" customWidth="1"/>
    <col min="6150" max="6151" width="0" hidden="1" customWidth="1"/>
    <col min="6401" max="6401" width="9" customWidth="1"/>
    <col min="6402" max="6402" width="22.75" customWidth="1"/>
    <col min="6403" max="6403" width="15.875" customWidth="1"/>
    <col min="6404" max="6405" width="20.375" customWidth="1"/>
    <col min="6406" max="6407" width="0" hidden="1" customWidth="1"/>
    <col min="6657" max="6657" width="9" customWidth="1"/>
    <col min="6658" max="6658" width="22.75" customWidth="1"/>
    <col min="6659" max="6659" width="15.875" customWidth="1"/>
    <col min="6660" max="6661" width="20.375" customWidth="1"/>
    <col min="6662" max="6663" width="0" hidden="1" customWidth="1"/>
    <col min="6913" max="6913" width="9" customWidth="1"/>
    <col min="6914" max="6914" width="22.75" customWidth="1"/>
    <col min="6915" max="6915" width="15.875" customWidth="1"/>
    <col min="6916" max="6917" width="20.375" customWidth="1"/>
    <col min="6918" max="6919" width="0" hidden="1" customWidth="1"/>
    <col min="7169" max="7169" width="9" customWidth="1"/>
    <col min="7170" max="7170" width="22.75" customWidth="1"/>
    <col min="7171" max="7171" width="15.875" customWidth="1"/>
    <col min="7172" max="7173" width="20.375" customWidth="1"/>
    <col min="7174" max="7175" width="0" hidden="1" customWidth="1"/>
    <col min="7425" max="7425" width="9" customWidth="1"/>
    <col min="7426" max="7426" width="22.75" customWidth="1"/>
    <col min="7427" max="7427" width="15.875" customWidth="1"/>
    <col min="7428" max="7429" width="20.375" customWidth="1"/>
    <col min="7430" max="7431" width="0" hidden="1" customWidth="1"/>
    <col min="7681" max="7681" width="9" customWidth="1"/>
    <col min="7682" max="7682" width="22.75" customWidth="1"/>
    <col min="7683" max="7683" width="15.875" customWidth="1"/>
    <col min="7684" max="7685" width="20.375" customWidth="1"/>
    <col min="7686" max="7687" width="0" hidden="1" customWidth="1"/>
    <col min="7937" max="7937" width="9" customWidth="1"/>
    <col min="7938" max="7938" width="22.75" customWidth="1"/>
    <col min="7939" max="7939" width="15.875" customWidth="1"/>
    <col min="7940" max="7941" width="20.375" customWidth="1"/>
    <col min="7942" max="7943" width="0" hidden="1" customWidth="1"/>
    <col min="8193" max="8193" width="9" customWidth="1"/>
    <col min="8194" max="8194" width="22.75" customWidth="1"/>
    <col min="8195" max="8195" width="15.875" customWidth="1"/>
    <col min="8196" max="8197" width="20.375" customWidth="1"/>
    <col min="8198" max="8199" width="0" hidden="1" customWidth="1"/>
    <col min="8449" max="8449" width="9" customWidth="1"/>
    <col min="8450" max="8450" width="22.75" customWidth="1"/>
    <col min="8451" max="8451" width="15.875" customWidth="1"/>
    <col min="8452" max="8453" width="20.375" customWidth="1"/>
    <col min="8454" max="8455" width="0" hidden="1" customWidth="1"/>
    <col min="8705" max="8705" width="9" customWidth="1"/>
    <col min="8706" max="8706" width="22.75" customWidth="1"/>
    <col min="8707" max="8707" width="15.875" customWidth="1"/>
    <col min="8708" max="8709" width="20.375" customWidth="1"/>
    <col min="8710" max="8711" width="0" hidden="1" customWidth="1"/>
    <col min="8961" max="8961" width="9" customWidth="1"/>
    <col min="8962" max="8962" width="22.75" customWidth="1"/>
    <col min="8963" max="8963" width="15.875" customWidth="1"/>
    <col min="8964" max="8965" width="20.375" customWidth="1"/>
    <col min="8966" max="8967" width="0" hidden="1" customWidth="1"/>
    <col min="9217" max="9217" width="9" customWidth="1"/>
    <col min="9218" max="9218" width="22.75" customWidth="1"/>
    <col min="9219" max="9219" width="15.875" customWidth="1"/>
    <col min="9220" max="9221" width="20.375" customWidth="1"/>
    <col min="9222" max="9223" width="0" hidden="1" customWidth="1"/>
    <col min="9473" max="9473" width="9" customWidth="1"/>
    <col min="9474" max="9474" width="22.75" customWidth="1"/>
    <col min="9475" max="9475" width="15.875" customWidth="1"/>
    <col min="9476" max="9477" width="20.375" customWidth="1"/>
    <col min="9478" max="9479" width="0" hidden="1" customWidth="1"/>
    <col min="9729" max="9729" width="9" customWidth="1"/>
    <col min="9730" max="9730" width="22.75" customWidth="1"/>
    <col min="9731" max="9731" width="15.875" customWidth="1"/>
    <col min="9732" max="9733" width="20.375" customWidth="1"/>
    <col min="9734" max="9735" width="0" hidden="1" customWidth="1"/>
    <col min="9985" max="9985" width="9" customWidth="1"/>
    <col min="9986" max="9986" width="22.75" customWidth="1"/>
    <col min="9987" max="9987" width="15.875" customWidth="1"/>
    <col min="9988" max="9989" width="20.375" customWidth="1"/>
    <col min="9990" max="9991" width="0" hidden="1" customWidth="1"/>
    <col min="10241" max="10241" width="9" customWidth="1"/>
    <col min="10242" max="10242" width="22.75" customWidth="1"/>
    <col min="10243" max="10243" width="15.875" customWidth="1"/>
    <col min="10244" max="10245" width="20.375" customWidth="1"/>
    <col min="10246" max="10247" width="0" hidden="1" customWidth="1"/>
    <col min="10497" max="10497" width="9" customWidth="1"/>
    <col min="10498" max="10498" width="22.75" customWidth="1"/>
    <col min="10499" max="10499" width="15.875" customWidth="1"/>
    <col min="10500" max="10501" width="20.375" customWidth="1"/>
    <col min="10502" max="10503" width="0" hidden="1" customWidth="1"/>
    <col min="10753" max="10753" width="9" customWidth="1"/>
    <col min="10754" max="10754" width="22.75" customWidth="1"/>
    <col min="10755" max="10755" width="15.875" customWidth="1"/>
    <col min="10756" max="10757" width="20.375" customWidth="1"/>
    <col min="10758" max="10759" width="0" hidden="1" customWidth="1"/>
    <col min="11009" max="11009" width="9" customWidth="1"/>
    <col min="11010" max="11010" width="22.75" customWidth="1"/>
    <col min="11011" max="11011" width="15.875" customWidth="1"/>
    <col min="11012" max="11013" width="20.375" customWidth="1"/>
    <col min="11014" max="11015" width="0" hidden="1" customWidth="1"/>
    <col min="11265" max="11265" width="9" customWidth="1"/>
    <col min="11266" max="11266" width="22.75" customWidth="1"/>
    <col min="11267" max="11267" width="15.875" customWidth="1"/>
    <col min="11268" max="11269" width="20.375" customWidth="1"/>
    <col min="11270" max="11271" width="0" hidden="1" customWidth="1"/>
    <col min="11521" max="11521" width="9" customWidth="1"/>
    <col min="11522" max="11522" width="22.75" customWidth="1"/>
    <col min="11523" max="11523" width="15.875" customWidth="1"/>
    <col min="11524" max="11525" width="20.375" customWidth="1"/>
    <col min="11526" max="11527" width="0" hidden="1" customWidth="1"/>
    <col min="11777" max="11777" width="9" customWidth="1"/>
    <col min="11778" max="11778" width="22.75" customWidth="1"/>
    <col min="11779" max="11779" width="15.875" customWidth="1"/>
    <col min="11780" max="11781" width="20.375" customWidth="1"/>
    <col min="11782" max="11783" width="0" hidden="1" customWidth="1"/>
    <col min="12033" max="12033" width="9" customWidth="1"/>
    <col min="12034" max="12034" width="22.75" customWidth="1"/>
    <col min="12035" max="12035" width="15.875" customWidth="1"/>
    <col min="12036" max="12037" width="20.375" customWidth="1"/>
    <col min="12038" max="12039" width="0" hidden="1" customWidth="1"/>
    <col min="12289" max="12289" width="9" customWidth="1"/>
    <col min="12290" max="12290" width="22.75" customWidth="1"/>
    <col min="12291" max="12291" width="15.875" customWidth="1"/>
    <col min="12292" max="12293" width="20.375" customWidth="1"/>
    <col min="12294" max="12295" width="0" hidden="1" customWidth="1"/>
    <col min="12545" max="12545" width="9" customWidth="1"/>
    <col min="12546" max="12546" width="22.75" customWidth="1"/>
    <col min="12547" max="12547" width="15.875" customWidth="1"/>
    <col min="12548" max="12549" width="20.375" customWidth="1"/>
    <col min="12550" max="12551" width="0" hidden="1" customWidth="1"/>
    <col min="12801" max="12801" width="9" customWidth="1"/>
    <col min="12802" max="12802" width="22.75" customWidth="1"/>
    <col min="12803" max="12803" width="15.875" customWidth="1"/>
    <col min="12804" max="12805" width="20.375" customWidth="1"/>
    <col min="12806" max="12807" width="0" hidden="1" customWidth="1"/>
    <col min="13057" max="13057" width="9" customWidth="1"/>
    <col min="13058" max="13058" width="22.75" customWidth="1"/>
    <col min="13059" max="13059" width="15.875" customWidth="1"/>
    <col min="13060" max="13061" width="20.375" customWidth="1"/>
    <col min="13062" max="13063" width="0" hidden="1" customWidth="1"/>
    <col min="13313" max="13313" width="9" customWidth="1"/>
    <col min="13314" max="13314" width="22.75" customWidth="1"/>
    <col min="13315" max="13315" width="15.875" customWidth="1"/>
    <col min="13316" max="13317" width="20.375" customWidth="1"/>
    <col min="13318" max="13319" width="0" hidden="1" customWidth="1"/>
    <col min="13569" max="13569" width="9" customWidth="1"/>
    <col min="13570" max="13570" width="22.75" customWidth="1"/>
    <col min="13571" max="13571" width="15.875" customWidth="1"/>
    <col min="13572" max="13573" width="20.375" customWidth="1"/>
    <col min="13574" max="13575" width="0" hidden="1" customWidth="1"/>
    <col min="13825" max="13825" width="9" customWidth="1"/>
    <col min="13826" max="13826" width="22.75" customWidth="1"/>
    <col min="13827" max="13827" width="15.875" customWidth="1"/>
    <col min="13828" max="13829" width="20.375" customWidth="1"/>
    <col min="13830" max="13831" width="0" hidden="1" customWidth="1"/>
    <col min="14081" max="14081" width="9" customWidth="1"/>
    <col min="14082" max="14082" width="22.75" customWidth="1"/>
    <col min="14083" max="14083" width="15.875" customWidth="1"/>
    <col min="14084" max="14085" width="20.375" customWidth="1"/>
    <col min="14086" max="14087" width="0" hidden="1" customWidth="1"/>
    <col min="14337" max="14337" width="9" customWidth="1"/>
    <col min="14338" max="14338" width="22.75" customWidth="1"/>
    <col min="14339" max="14339" width="15.875" customWidth="1"/>
    <col min="14340" max="14341" width="20.375" customWidth="1"/>
    <col min="14342" max="14343" width="0" hidden="1" customWidth="1"/>
    <col min="14593" max="14593" width="9" customWidth="1"/>
    <col min="14594" max="14594" width="22.75" customWidth="1"/>
    <col min="14595" max="14595" width="15.875" customWidth="1"/>
    <col min="14596" max="14597" width="20.375" customWidth="1"/>
    <col min="14598" max="14599" width="0" hidden="1" customWidth="1"/>
    <col min="14849" max="14849" width="9" customWidth="1"/>
    <col min="14850" max="14850" width="22.75" customWidth="1"/>
    <col min="14851" max="14851" width="15.875" customWidth="1"/>
    <col min="14852" max="14853" width="20.375" customWidth="1"/>
    <col min="14854" max="14855" width="0" hidden="1" customWidth="1"/>
    <col min="15105" max="15105" width="9" customWidth="1"/>
    <col min="15106" max="15106" width="22.75" customWidth="1"/>
    <col min="15107" max="15107" width="15.875" customWidth="1"/>
    <col min="15108" max="15109" width="20.375" customWidth="1"/>
    <col min="15110" max="15111" width="0" hidden="1" customWidth="1"/>
    <col min="15361" max="15361" width="9" customWidth="1"/>
    <col min="15362" max="15362" width="22.75" customWidth="1"/>
    <col min="15363" max="15363" width="15.875" customWidth="1"/>
    <col min="15364" max="15365" width="20.375" customWidth="1"/>
    <col min="15366" max="15367" width="0" hidden="1" customWidth="1"/>
    <col min="15617" max="15617" width="9" customWidth="1"/>
    <col min="15618" max="15618" width="22.75" customWidth="1"/>
    <col min="15619" max="15619" width="15.875" customWidth="1"/>
    <col min="15620" max="15621" width="20.375" customWidth="1"/>
    <col min="15622" max="15623" width="0" hidden="1" customWidth="1"/>
    <col min="15873" max="15873" width="9" customWidth="1"/>
    <col min="15874" max="15874" width="22.75" customWidth="1"/>
    <col min="15875" max="15875" width="15.875" customWidth="1"/>
    <col min="15876" max="15877" width="20.375" customWidth="1"/>
    <col min="15878" max="15879" width="0" hidden="1" customWidth="1"/>
    <col min="16129" max="16129" width="9" customWidth="1"/>
    <col min="16130" max="16130" width="22.75" customWidth="1"/>
    <col min="16131" max="16131" width="15.875" customWidth="1"/>
    <col min="16132" max="16133" width="20.375" customWidth="1"/>
    <col min="16134" max="16135" width="0" hidden="1" customWidth="1"/>
  </cols>
  <sheetData>
    <row r="1" spans="1:7" ht="18">
      <c r="B1" s="1448" t="s">
        <v>1087</v>
      </c>
      <c r="C1" s="1449"/>
      <c r="D1" s="1449"/>
      <c r="E1" s="1449"/>
      <c r="F1" s="1449"/>
      <c r="G1" s="1449"/>
    </row>
    <row r="2" spans="1:7" ht="28.5">
      <c r="A2" s="1175" t="s">
        <v>37</v>
      </c>
      <c r="B2" s="1176" t="s">
        <v>1088</v>
      </c>
      <c r="C2" s="1176" t="s">
        <v>1089</v>
      </c>
      <c r="D2" s="1176" t="s">
        <v>1090</v>
      </c>
      <c r="E2" s="1177" t="s">
        <v>1091</v>
      </c>
      <c r="F2" s="1178" t="s">
        <v>1092</v>
      </c>
      <c r="G2" s="1178" t="s">
        <v>1093</v>
      </c>
    </row>
    <row r="3" spans="1:7">
      <c r="A3" s="1175">
        <v>1</v>
      </c>
      <c r="B3" s="1179" t="s">
        <v>1094</v>
      </c>
      <c r="C3" s="1179">
        <v>4</v>
      </c>
      <c r="D3" s="1179">
        <v>15</v>
      </c>
      <c r="E3" s="1180">
        <f>C3*100/D3</f>
        <v>26.666666666666668</v>
      </c>
      <c r="F3" s="1179">
        <f t="shared" ref="F3:F13" si="0">SUM(D3*80/100)</f>
        <v>12</v>
      </c>
      <c r="G3" s="1180">
        <f t="shared" ref="G3:G13" si="1">SUM(C3/F3)</f>
        <v>0.33333333333333331</v>
      </c>
    </row>
    <row r="4" spans="1:7">
      <c r="A4" s="1175">
        <v>2</v>
      </c>
      <c r="B4" s="1179" t="s">
        <v>262</v>
      </c>
      <c r="C4" s="1179">
        <v>25</v>
      </c>
      <c r="D4" s="1179">
        <v>74</v>
      </c>
      <c r="E4" s="1180">
        <f t="shared" ref="E4:E13" si="2">C4*100/D4</f>
        <v>33.783783783783782</v>
      </c>
      <c r="F4" s="1179">
        <f t="shared" si="0"/>
        <v>59.2</v>
      </c>
      <c r="G4" s="1180">
        <f t="shared" si="1"/>
        <v>0.42229729729729726</v>
      </c>
    </row>
    <row r="5" spans="1:7">
      <c r="A5" s="1175">
        <v>3</v>
      </c>
      <c r="B5" s="1179" t="s">
        <v>269</v>
      </c>
      <c r="C5" s="1179">
        <v>66</v>
      </c>
      <c r="D5" s="1179">
        <v>150</v>
      </c>
      <c r="E5" s="1180">
        <f t="shared" si="2"/>
        <v>44</v>
      </c>
      <c r="F5" s="1179">
        <f t="shared" si="0"/>
        <v>120</v>
      </c>
      <c r="G5" s="1180">
        <f t="shared" si="1"/>
        <v>0.55000000000000004</v>
      </c>
    </row>
    <row r="6" spans="1:7">
      <c r="A6" s="1175">
        <v>4</v>
      </c>
      <c r="B6" s="1179" t="s">
        <v>442</v>
      </c>
      <c r="C6" s="1179">
        <v>324</v>
      </c>
      <c r="D6" s="1179">
        <v>692</v>
      </c>
      <c r="E6" s="1180">
        <f t="shared" si="2"/>
        <v>46.820809248554916</v>
      </c>
      <c r="F6" s="1179">
        <f t="shared" si="0"/>
        <v>553.6</v>
      </c>
      <c r="G6" s="1180">
        <f t="shared" si="1"/>
        <v>0.58526011560693636</v>
      </c>
    </row>
    <row r="7" spans="1:7">
      <c r="A7" s="1175">
        <v>5</v>
      </c>
      <c r="B7" s="1179" t="s">
        <v>271</v>
      </c>
      <c r="C7" s="1179">
        <v>31</v>
      </c>
      <c r="D7" s="1179">
        <v>64</v>
      </c>
      <c r="E7" s="1180">
        <f t="shared" si="2"/>
        <v>48.4375</v>
      </c>
      <c r="F7" s="1179">
        <f t="shared" si="0"/>
        <v>51.2</v>
      </c>
      <c r="G7" s="1180">
        <f t="shared" si="1"/>
        <v>0.60546875</v>
      </c>
    </row>
    <row r="8" spans="1:7">
      <c r="A8" s="1175">
        <v>6</v>
      </c>
      <c r="B8" s="1179" t="s">
        <v>443</v>
      </c>
      <c r="C8" s="1179">
        <v>56</v>
      </c>
      <c r="D8" s="1179">
        <v>108</v>
      </c>
      <c r="E8" s="1180">
        <f t="shared" si="2"/>
        <v>51.851851851851855</v>
      </c>
      <c r="F8" s="1179">
        <f t="shared" si="0"/>
        <v>86.4</v>
      </c>
      <c r="G8" s="1180">
        <f t="shared" si="1"/>
        <v>0.64814814814814814</v>
      </c>
    </row>
    <row r="9" spans="1:7">
      <c r="A9" s="1175">
        <v>7</v>
      </c>
      <c r="B9" s="1179" t="s">
        <v>259</v>
      </c>
      <c r="C9" s="1179">
        <v>73</v>
      </c>
      <c r="D9" s="1179">
        <v>118</v>
      </c>
      <c r="E9" s="1180">
        <f t="shared" si="2"/>
        <v>61.864406779661017</v>
      </c>
      <c r="F9" s="1179">
        <f t="shared" si="0"/>
        <v>94.4</v>
      </c>
      <c r="G9" s="1180">
        <f t="shared" si="1"/>
        <v>0.77330508474576265</v>
      </c>
    </row>
    <row r="10" spans="1:7">
      <c r="A10" s="1175">
        <v>8</v>
      </c>
      <c r="B10" s="1179" t="s">
        <v>266</v>
      </c>
      <c r="C10" s="1179">
        <v>102</v>
      </c>
      <c r="D10" s="1179">
        <v>135</v>
      </c>
      <c r="E10" s="1180">
        <f t="shared" si="2"/>
        <v>75.555555555555557</v>
      </c>
      <c r="F10" s="1179">
        <f t="shared" si="0"/>
        <v>108</v>
      </c>
      <c r="G10" s="1180">
        <f t="shared" si="1"/>
        <v>0.94444444444444442</v>
      </c>
    </row>
    <row r="11" spans="1:7">
      <c r="A11" s="1175">
        <v>9</v>
      </c>
      <c r="B11" s="1179" t="s">
        <v>392</v>
      </c>
      <c r="C11" s="1179">
        <v>24</v>
      </c>
      <c r="D11" s="1179">
        <v>29</v>
      </c>
      <c r="E11" s="1180">
        <f t="shared" si="2"/>
        <v>82.758620689655174</v>
      </c>
      <c r="F11" s="1179">
        <f t="shared" si="0"/>
        <v>23.2</v>
      </c>
      <c r="G11" s="1180">
        <f t="shared" si="1"/>
        <v>1.0344827586206897</v>
      </c>
    </row>
    <row r="12" spans="1:7">
      <c r="A12" s="1175">
        <v>10</v>
      </c>
      <c r="B12" s="1179" t="s">
        <v>277</v>
      </c>
      <c r="C12" s="1179">
        <v>59</v>
      </c>
      <c r="D12" s="1179">
        <v>68</v>
      </c>
      <c r="E12" s="1180">
        <f t="shared" si="2"/>
        <v>86.764705882352942</v>
      </c>
      <c r="F12" s="1179">
        <f t="shared" si="0"/>
        <v>54.4</v>
      </c>
      <c r="G12" s="1180">
        <f t="shared" si="1"/>
        <v>1.0845588235294117</v>
      </c>
    </row>
    <row r="13" spans="1:7">
      <c r="A13" s="1175">
        <v>11</v>
      </c>
      <c r="B13" s="1179" t="s">
        <v>375</v>
      </c>
      <c r="C13" s="1179">
        <v>61</v>
      </c>
      <c r="D13" s="1179">
        <v>60</v>
      </c>
      <c r="E13" s="1180">
        <f t="shared" si="2"/>
        <v>101.66666666666667</v>
      </c>
      <c r="F13" s="1179">
        <f t="shared" si="0"/>
        <v>48</v>
      </c>
      <c r="G13" s="1180">
        <f t="shared" si="1"/>
        <v>1.2708333333333333</v>
      </c>
    </row>
    <row r="15" spans="1:7" ht="18">
      <c r="B15" s="1448" t="s">
        <v>1095</v>
      </c>
      <c r="C15" s="1449"/>
      <c r="D15" s="1449"/>
      <c r="E15" s="1449"/>
      <c r="F15" s="1449"/>
      <c r="G15" s="1449"/>
    </row>
    <row r="16" spans="1:7" ht="28.5">
      <c r="A16" s="1175" t="s">
        <v>37</v>
      </c>
      <c r="B16" s="1176" t="s">
        <v>1088</v>
      </c>
      <c r="C16" s="1176" t="s">
        <v>1089</v>
      </c>
      <c r="D16" s="1176" t="s">
        <v>1090</v>
      </c>
      <c r="E16" s="1177" t="s">
        <v>1091</v>
      </c>
      <c r="F16" s="1178" t="s">
        <v>1092</v>
      </c>
      <c r="G16" s="1178" t="s">
        <v>1093</v>
      </c>
    </row>
    <row r="17" spans="1:7">
      <c r="A17" s="1175">
        <v>1</v>
      </c>
      <c r="B17" s="1179" t="s">
        <v>158</v>
      </c>
      <c r="C17" s="1179"/>
      <c r="D17" s="1179"/>
      <c r="E17" s="1180"/>
      <c r="F17" s="1179">
        <f>SUM(D17*80/100)</f>
        <v>0</v>
      </c>
      <c r="G17" s="1180" t="e">
        <f>SUM(C17/F17)</f>
        <v>#DIV/0!</v>
      </c>
    </row>
    <row r="18" spans="1:7">
      <c r="A18" s="1175">
        <v>2</v>
      </c>
      <c r="B18" s="1179" t="s">
        <v>884</v>
      </c>
      <c r="C18" s="1179"/>
      <c r="D18" s="1179"/>
      <c r="E18" s="1180"/>
      <c r="F18" s="1179">
        <f>SUM(D18*80/100)</f>
        <v>0</v>
      </c>
      <c r="G18" s="1180" t="e">
        <f>SUM(C18/F18)</f>
        <v>#DIV/0!</v>
      </c>
    </row>
    <row r="19" spans="1:7">
      <c r="A19" s="1175">
        <v>3</v>
      </c>
      <c r="B19" s="1179" t="s">
        <v>886</v>
      </c>
      <c r="C19" s="1179"/>
      <c r="D19" s="1179"/>
      <c r="E19" s="1180"/>
      <c r="F19" s="1179">
        <f>SUM(D19*80/100)</f>
        <v>0</v>
      </c>
      <c r="G19" s="1180" t="e">
        <f>SUM(C19/F19)</f>
        <v>#DIV/0!</v>
      </c>
    </row>
  </sheetData>
  <mergeCells count="2">
    <mergeCell ref="B1:G1"/>
    <mergeCell ref="B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5"/>
  <sheetViews>
    <sheetView topLeftCell="A52" workbookViewId="0">
      <selection activeCell="C55" sqref="C55"/>
    </sheetView>
  </sheetViews>
  <sheetFormatPr defaultColWidth="7" defaultRowHeight="18.75"/>
  <cols>
    <col min="1" max="1" width="8.5" style="141" customWidth="1"/>
    <col min="2" max="2" width="5" style="769" customWidth="1"/>
    <col min="3" max="3" width="36.875" style="141" customWidth="1"/>
    <col min="4" max="4" width="7.75" style="770" bestFit="1" customWidth="1"/>
    <col min="5" max="5" width="10.875" style="770" bestFit="1" customWidth="1"/>
    <col min="6" max="6" width="7.125" style="762" customWidth="1"/>
    <col min="7" max="9" width="9.625" style="762" bestFit="1" customWidth="1"/>
    <col min="10" max="11" width="8.25" style="762" bestFit="1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361" t="s">
        <v>711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56.25">
      <c r="A5" s="1362" t="s">
        <v>136</v>
      </c>
      <c r="B5" s="1364" t="s">
        <v>712</v>
      </c>
      <c r="C5" s="754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718</v>
      </c>
      <c r="I5" s="1368" t="s">
        <v>719</v>
      </c>
      <c r="J5" s="1368" t="s">
        <v>720</v>
      </c>
      <c r="K5" s="1368" t="s">
        <v>721</v>
      </c>
      <c r="L5" s="1364" t="s">
        <v>722</v>
      </c>
      <c r="M5" s="754" t="s">
        <v>145</v>
      </c>
      <c r="N5" s="754" t="s">
        <v>146</v>
      </c>
      <c r="O5" s="754" t="s">
        <v>147</v>
      </c>
      <c r="P5" s="754" t="s">
        <v>43</v>
      </c>
      <c r="Q5" s="754" t="s">
        <v>148</v>
      </c>
      <c r="R5" s="754" t="s">
        <v>723</v>
      </c>
      <c r="S5" s="754" t="s">
        <v>724</v>
      </c>
      <c r="T5" s="754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123"/>
      <c r="D6" s="1367"/>
      <c r="E6" s="1367"/>
      <c r="F6" s="1369"/>
      <c r="G6" s="1369"/>
      <c r="H6" s="1369"/>
      <c r="I6" s="1369"/>
      <c r="J6" s="1369"/>
      <c r="K6" s="1369"/>
      <c r="L6" s="1365"/>
      <c r="M6" s="123"/>
      <c r="N6" s="123"/>
      <c r="O6" s="123"/>
      <c r="P6" s="123"/>
      <c r="Q6" s="123"/>
      <c r="R6" s="123"/>
      <c r="S6" s="123"/>
      <c r="T6" s="123"/>
      <c r="U6" s="123" t="s">
        <v>727</v>
      </c>
      <c r="V6" s="124" t="s">
        <v>152</v>
      </c>
      <c r="W6" s="124" t="s">
        <v>153</v>
      </c>
      <c r="X6" s="124" t="s">
        <v>728</v>
      </c>
    </row>
    <row r="7" spans="1:24">
      <c r="A7" s="131"/>
      <c r="B7" s="132"/>
      <c r="C7" s="133" t="s">
        <v>729</v>
      </c>
      <c r="D7" s="135"/>
      <c r="E7" s="756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9"/>
      <c r="Q7" s="139"/>
      <c r="R7" s="139"/>
      <c r="S7" s="139"/>
      <c r="T7" s="139"/>
      <c r="U7" s="133"/>
      <c r="V7" s="757"/>
      <c r="W7" s="133"/>
      <c r="X7" s="133"/>
    </row>
    <row r="8" spans="1:24" ht="75">
      <c r="A8" s="131">
        <v>6</v>
      </c>
      <c r="B8" s="132">
        <v>1</v>
      </c>
      <c r="C8" s="133" t="s">
        <v>730</v>
      </c>
      <c r="D8" s="134">
        <v>9025</v>
      </c>
      <c r="E8" s="758">
        <v>45974200</v>
      </c>
      <c r="F8" s="132">
        <v>1</v>
      </c>
      <c r="G8" s="758">
        <v>45974200</v>
      </c>
      <c r="H8" s="759"/>
      <c r="I8" s="132"/>
      <c r="J8" s="132"/>
      <c r="K8" s="132"/>
      <c r="L8" s="760">
        <f>SUM(G8:K8)</f>
        <v>45974200</v>
      </c>
      <c r="M8" s="136" t="s">
        <v>184</v>
      </c>
      <c r="N8" s="137" t="s">
        <v>185</v>
      </c>
      <c r="O8" s="137" t="s">
        <v>185</v>
      </c>
      <c r="P8" s="139" t="s">
        <v>17</v>
      </c>
      <c r="Q8" s="139" t="s">
        <v>181</v>
      </c>
      <c r="R8" s="139" t="s">
        <v>731</v>
      </c>
      <c r="S8" s="139">
        <v>30</v>
      </c>
      <c r="T8" s="761">
        <v>90.69</v>
      </c>
      <c r="U8" s="133" t="s">
        <v>732</v>
      </c>
      <c r="V8" s="757" t="s">
        <v>733</v>
      </c>
      <c r="W8" s="133"/>
      <c r="X8" s="133" t="s">
        <v>734</v>
      </c>
    </row>
    <row r="9" spans="1:24" ht="75">
      <c r="A9" s="131">
        <v>6</v>
      </c>
      <c r="B9" s="132">
        <v>2</v>
      </c>
      <c r="C9" s="133" t="s">
        <v>735</v>
      </c>
      <c r="D9" s="134">
        <v>7919</v>
      </c>
      <c r="E9" s="756">
        <v>15130200</v>
      </c>
      <c r="F9" s="132">
        <v>1</v>
      </c>
      <c r="G9" s="756">
        <v>15130200</v>
      </c>
      <c r="H9" s="135"/>
      <c r="I9" s="756"/>
      <c r="J9" s="135"/>
      <c r="K9" s="132"/>
      <c r="L9" s="760">
        <f>SUM(G9:K9)</f>
        <v>15130200</v>
      </c>
      <c r="M9" s="136" t="s">
        <v>187</v>
      </c>
      <c r="N9" s="137" t="s">
        <v>188</v>
      </c>
      <c r="O9" s="137" t="s">
        <v>189</v>
      </c>
      <c r="P9" s="139" t="s">
        <v>17</v>
      </c>
      <c r="Q9" s="139" t="s">
        <v>173</v>
      </c>
      <c r="R9" s="139" t="s">
        <v>731</v>
      </c>
      <c r="S9" s="139">
        <v>30</v>
      </c>
      <c r="T9" s="761">
        <v>73.150000000000006</v>
      </c>
      <c r="U9" s="133"/>
      <c r="V9" s="133" t="s">
        <v>736</v>
      </c>
      <c r="W9" s="133"/>
      <c r="X9" s="133" t="s">
        <v>734</v>
      </c>
    </row>
    <row r="10" spans="1:24" ht="93.75">
      <c r="A10" s="131">
        <v>6</v>
      </c>
      <c r="B10" s="132">
        <v>3</v>
      </c>
      <c r="C10" s="133" t="s">
        <v>735</v>
      </c>
      <c r="D10" s="134">
        <v>7919</v>
      </c>
      <c r="E10" s="756">
        <v>15130200</v>
      </c>
      <c r="F10" s="132">
        <v>1</v>
      </c>
      <c r="G10" s="756"/>
      <c r="H10" s="135"/>
      <c r="I10" s="756">
        <v>15130200</v>
      </c>
      <c r="K10" s="132"/>
      <c r="L10" s="760">
        <f>SUM(G10:K10)</f>
        <v>15130200</v>
      </c>
      <c r="M10" s="763" t="s">
        <v>229</v>
      </c>
      <c r="N10" s="134" t="s">
        <v>212</v>
      </c>
      <c r="O10" s="173" t="s">
        <v>230</v>
      </c>
      <c r="P10" s="139" t="s">
        <v>17</v>
      </c>
      <c r="Q10" s="139" t="s">
        <v>173</v>
      </c>
      <c r="R10" s="139" t="s">
        <v>731</v>
      </c>
      <c r="S10" s="139">
        <v>30</v>
      </c>
      <c r="T10" s="761">
        <v>93.04</v>
      </c>
      <c r="U10" s="133" t="s">
        <v>737</v>
      </c>
      <c r="V10" s="133"/>
      <c r="W10" s="133"/>
      <c r="X10" s="133" t="s">
        <v>734</v>
      </c>
    </row>
    <row r="11" spans="1:24" s="768" customFormat="1">
      <c r="A11" s="1374" t="s">
        <v>738</v>
      </c>
      <c r="B11" s="1375"/>
      <c r="C11" s="1375"/>
      <c r="D11" s="1375"/>
      <c r="E11" s="1375"/>
      <c r="F11" s="1376"/>
      <c r="G11" s="764">
        <f>SUM(G8:G9)</f>
        <v>61104400</v>
      </c>
      <c r="H11" s="764">
        <f>SUM(H8:H9)</f>
        <v>0</v>
      </c>
      <c r="I11" s="764">
        <f>SUM(I8:I10)</f>
        <v>15130200</v>
      </c>
      <c r="J11" s="764">
        <f>SUM(J8:J10)</f>
        <v>0</v>
      </c>
      <c r="K11" s="764">
        <f>SUM(K8:K9)</f>
        <v>0</v>
      </c>
      <c r="L11" s="764">
        <f>SUM(G11:K11)</f>
        <v>76234600</v>
      </c>
      <c r="M11" s="765"/>
      <c r="N11" s="203"/>
      <c r="O11" s="203"/>
      <c r="P11" s="204"/>
      <c r="Q11" s="204"/>
      <c r="R11" s="204"/>
      <c r="S11" s="204"/>
      <c r="T11" s="766"/>
      <c r="U11" s="208"/>
      <c r="V11" s="767"/>
      <c r="W11" s="208"/>
      <c r="X11" s="208"/>
    </row>
    <row r="12" spans="1:24">
      <c r="A12" s="748" t="s">
        <v>0</v>
      </c>
      <c r="B12" s="1336" t="s">
        <v>15</v>
      </c>
      <c r="C12" s="1337"/>
      <c r="D12" s="1373" t="s">
        <v>18</v>
      </c>
      <c r="E12" s="1373"/>
      <c r="F12" s="1373"/>
      <c r="G12" s="1373"/>
      <c r="H12" s="1373"/>
      <c r="I12" s="1341" t="s">
        <v>8</v>
      </c>
    </row>
    <row r="13" spans="1:24">
      <c r="A13" s="16"/>
      <c r="B13" s="1338" t="s">
        <v>7</v>
      </c>
      <c r="C13" s="1339"/>
      <c r="D13" s="749" t="s">
        <v>2</v>
      </c>
      <c r="E13" s="749" t="s">
        <v>3</v>
      </c>
      <c r="F13" s="749" t="s">
        <v>4</v>
      </c>
      <c r="G13" s="749" t="s">
        <v>5</v>
      </c>
      <c r="H13" s="749" t="s">
        <v>6</v>
      </c>
      <c r="I13" s="1342"/>
    </row>
    <row r="14" spans="1:24">
      <c r="A14" s="18">
        <v>2561</v>
      </c>
      <c r="B14" s="19" t="s">
        <v>12</v>
      </c>
      <c r="C14" s="19" t="s">
        <v>774</v>
      </c>
      <c r="D14" s="803" t="s">
        <v>91</v>
      </c>
      <c r="E14" s="803"/>
      <c r="F14" s="803"/>
      <c r="G14" s="803" t="s">
        <v>264</v>
      </c>
      <c r="H14" s="803" t="s">
        <v>52</v>
      </c>
      <c r="I14" s="803">
        <v>67</v>
      </c>
    </row>
    <row r="15" spans="1:24">
      <c r="A15" s="20"/>
      <c r="B15" s="21" t="s">
        <v>13</v>
      </c>
      <c r="C15" s="21" t="s">
        <v>775</v>
      </c>
      <c r="D15" s="10"/>
      <c r="E15" s="10"/>
      <c r="F15" s="10"/>
      <c r="G15" s="10"/>
      <c r="H15" s="10" t="s">
        <v>52</v>
      </c>
      <c r="I15" s="10">
        <v>8</v>
      </c>
    </row>
    <row r="16" spans="1:24">
      <c r="A16" s="22">
        <v>2562</v>
      </c>
      <c r="B16" s="21" t="s">
        <v>12</v>
      </c>
      <c r="C16" s="21" t="s">
        <v>776</v>
      </c>
      <c r="D16" s="10"/>
      <c r="E16" s="10"/>
      <c r="F16" s="10"/>
      <c r="G16" s="10"/>
      <c r="H16" s="10" t="s">
        <v>264</v>
      </c>
      <c r="I16" s="10">
        <v>30</v>
      </c>
    </row>
    <row r="17" spans="1:19">
      <c r="A17" s="20"/>
      <c r="B17" s="21" t="s">
        <v>13</v>
      </c>
      <c r="C17" s="21" t="s">
        <v>777</v>
      </c>
      <c r="D17" s="803" t="s">
        <v>91</v>
      </c>
      <c r="E17" s="10"/>
      <c r="F17" s="10"/>
      <c r="G17" s="10"/>
      <c r="H17" s="10"/>
      <c r="I17" s="10">
        <v>15</v>
      </c>
    </row>
    <row r="18" spans="1:19">
      <c r="A18" s="22">
        <v>2563</v>
      </c>
      <c r="B18" s="21" t="s">
        <v>12</v>
      </c>
      <c r="C18" s="21" t="s">
        <v>778</v>
      </c>
      <c r="D18" s="803" t="s">
        <v>91</v>
      </c>
      <c r="E18" s="10"/>
      <c r="F18" s="10"/>
      <c r="G18" s="10"/>
      <c r="H18" s="10"/>
      <c r="I18" s="10">
        <v>28</v>
      </c>
    </row>
    <row r="19" spans="1:19">
      <c r="A19" s="20"/>
      <c r="B19" s="21" t="s">
        <v>13</v>
      </c>
      <c r="C19" s="21">
        <v>0</v>
      </c>
      <c r="D19" s="10"/>
      <c r="E19" s="10"/>
      <c r="F19" s="10"/>
      <c r="G19" s="10"/>
      <c r="H19" s="10"/>
      <c r="I19" s="10"/>
    </row>
    <row r="20" spans="1:19">
      <c r="A20" s="22">
        <v>2564</v>
      </c>
      <c r="B20" s="21" t="s">
        <v>12</v>
      </c>
      <c r="C20" s="21" t="s">
        <v>779</v>
      </c>
      <c r="D20" s="803" t="s">
        <v>91</v>
      </c>
      <c r="E20" s="10"/>
      <c r="F20" s="10"/>
      <c r="G20" s="10"/>
      <c r="H20" s="10"/>
      <c r="I20" s="10">
        <v>65</v>
      </c>
    </row>
    <row r="21" spans="1:19">
      <c r="A21" s="20"/>
      <c r="B21" s="21" t="s">
        <v>13</v>
      </c>
      <c r="C21" s="21">
        <v>0</v>
      </c>
      <c r="D21" s="10"/>
      <c r="E21" s="10"/>
      <c r="F21" s="10"/>
      <c r="G21" s="10"/>
      <c r="H21" s="10"/>
      <c r="I21" s="10"/>
    </row>
    <row r="22" spans="1:19">
      <c r="A22" s="22">
        <v>2565</v>
      </c>
      <c r="B22" s="21" t="s">
        <v>12</v>
      </c>
      <c r="C22" s="21" t="s">
        <v>780</v>
      </c>
      <c r="D22" s="10"/>
      <c r="E22" s="10"/>
      <c r="F22" s="10"/>
      <c r="G22" s="10"/>
      <c r="H22" s="10" t="s">
        <v>264</v>
      </c>
      <c r="I22" s="10">
        <v>24</v>
      </c>
    </row>
    <row r="23" spans="1:19">
      <c r="A23" s="23"/>
      <c r="B23" s="24" t="s">
        <v>13</v>
      </c>
      <c r="C23" s="24" t="s">
        <v>781</v>
      </c>
      <c r="D23" s="12"/>
      <c r="E23" s="12"/>
      <c r="F23" s="12"/>
      <c r="G23" s="12"/>
      <c r="H23" s="12" t="s">
        <v>264</v>
      </c>
      <c r="I23" s="12">
        <v>40</v>
      </c>
    </row>
    <row r="24" spans="1:19">
      <c r="A24" s="31" t="s">
        <v>8</v>
      </c>
      <c r="B24" s="25"/>
      <c r="C24" s="24"/>
      <c r="D24" s="13"/>
      <c r="E24" s="13"/>
      <c r="F24" s="13"/>
      <c r="G24" s="13"/>
      <c r="H24" s="13"/>
      <c r="I24" s="13">
        <f>SUM(I14:I23)</f>
        <v>277</v>
      </c>
    </row>
    <row r="25" spans="1:19">
      <c r="A25" s="1377" t="s">
        <v>883</v>
      </c>
      <c r="B25" s="1377"/>
      <c r="C25" s="1377"/>
      <c r="D25" s="874"/>
      <c r="E25" s="874"/>
      <c r="F25" s="875"/>
      <c r="G25" s="875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</row>
    <row r="26" spans="1:19">
      <c r="A26" s="876" t="s">
        <v>0</v>
      </c>
      <c r="B26" s="1378" t="s">
        <v>15</v>
      </c>
      <c r="C26" s="1378"/>
      <c r="D26" s="876" t="s">
        <v>158</v>
      </c>
      <c r="E26" s="876" t="s">
        <v>884</v>
      </c>
      <c r="F26" s="876" t="s">
        <v>885</v>
      </c>
      <c r="G26" s="876" t="s">
        <v>886</v>
      </c>
      <c r="H26" s="876" t="s">
        <v>887</v>
      </c>
      <c r="I26" s="877"/>
      <c r="J26" s="876" t="s">
        <v>888</v>
      </c>
      <c r="K26" s="876" t="s">
        <v>889</v>
      </c>
      <c r="L26" s="876" t="s">
        <v>171</v>
      </c>
      <c r="M26" s="876" t="s">
        <v>528</v>
      </c>
      <c r="N26" s="876" t="s">
        <v>517</v>
      </c>
      <c r="O26" s="876" t="s">
        <v>890</v>
      </c>
      <c r="P26" s="876" t="s">
        <v>891</v>
      </c>
      <c r="Q26" s="877"/>
      <c r="R26" s="1378" t="s">
        <v>8</v>
      </c>
      <c r="S26" s="874"/>
    </row>
    <row r="27" spans="1:19">
      <c r="A27" s="878"/>
      <c r="B27" s="1379" t="s">
        <v>7</v>
      </c>
      <c r="C27" s="1379"/>
      <c r="D27" s="879" t="s">
        <v>2</v>
      </c>
      <c r="E27" s="879" t="s">
        <v>3</v>
      </c>
      <c r="F27" s="879" t="s">
        <v>5</v>
      </c>
      <c r="G27" s="879" t="s">
        <v>5</v>
      </c>
      <c r="H27" s="879" t="s">
        <v>5</v>
      </c>
      <c r="I27" s="880" t="s">
        <v>892</v>
      </c>
      <c r="J27" s="879" t="s">
        <v>181</v>
      </c>
      <c r="K27" s="879" t="s">
        <v>181</v>
      </c>
      <c r="L27" s="879" t="s">
        <v>173</v>
      </c>
      <c r="M27" s="879" t="s">
        <v>173</v>
      </c>
      <c r="N27" s="879" t="s">
        <v>173</v>
      </c>
      <c r="O27" s="879" t="s">
        <v>173</v>
      </c>
      <c r="P27" s="879" t="s">
        <v>893</v>
      </c>
      <c r="Q27" s="880" t="s">
        <v>894</v>
      </c>
      <c r="R27" s="1378"/>
      <c r="S27" s="881"/>
    </row>
    <row r="28" spans="1:19" ht="21">
      <c r="A28" s="878">
        <v>2561</v>
      </c>
      <c r="B28" s="878" t="s">
        <v>12</v>
      </c>
      <c r="C28" s="882"/>
      <c r="D28" s="883">
        <v>0</v>
      </c>
      <c r="E28" s="884">
        <v>21</v>
      </c>
      <c r="F28" s="884">
        <v>12</v>
      </c>
      <c r="G28" s="885">
        <v>25</v>
      </c>
      <c r="H28" s="884">
        <v>0</v>
      </c>
      <c r="I28" s="873">
        <f>SUM(F28:H28)</f>
        <v>37</v>
      </c>
      <c r="J28" s="884">
        <v>0</v>
      </c>
      <c r="K28" s="884">
        <v>24</v>
      </c>
      <c r="L28" s="884">
        <v>0</v>
      </c>
      <c r="M28" s="884">
        <v>6</v>
      </c>
      <c r="N28" s="884">
        <v>0</v>
      </c>
      <c r="O28" s="884">
        <v>0</v>
      </c>
      <c r="P28" s="884">
        <v>0</v>
      </c>
      <c r="Q28" s="873">
        <f>SUM(J28:P28)</f>
        <v>30</v>
      </c>
      <c r="R28" s="884">
        <f>SUM(D28:P28)</f>
        <v>125</v>
      </c>
      <c r="S28" s="886"/>
    </row>
    <row r="29" spans="1:19" ht="21">
      <c r="A29" s="878"/>
      <c r="B29" s="878" t="s">
        <v>13</v>
      </c>
      <c r="C29" s="882"/>
      <c r="D29" s="883">
        <v>0</v>
      </c>
      <c r="E29" s="884">
        <v>0</v>
      </c>
      <c r="F29" s="884">
        <v>28</v>
      </c>
      <c r="G29" s="885">
        <v>25</v>
      </c>
      <c r="H29" s="884">
        <v>0</v>
      </c>
      <c r="I29" s="873">
        <f t="shared" ref="I29:I38" si="0">SUM(F29:H29)</f>
        <v>53</v>
      </c>
      <c r="J29" s="884">
        <v>0</v>
      </c>
      <c r="K29" s="884">
        <v>6</v>
      </c>
      <c r="L29" s="884">
        <v>0</v>
      </c>
      <c r="M29" s="884">
        <v>0</v>
      </c>
      <c r="N29" s="884">
        <v>0</v>
      </c>
      <c r="O29" s="884">
        <v>0</v>
      </c>
      <c r="P29" s="884">
        <v>0</v>
      </c>
      <c r="Q29" s="873">
        <f t="shared" ref="Q29:Q38" si="1">SUM(J29:P29)</f>
        <v>6</v>
      </c>
      <c r="R29" s="884">
        <f t="shared" ref="R29:R38" si="2">SUM(D29:P29)</f>
        <v>112</v>
      </c>
      <c r="S29" s="886"/>
    </row>
    <row r="30" spans="1:19" ht="21">
      <c r="A30" s="878">
        <v>2562</v>
      </c>
      <c r="B30" s="878" t="s">
        <v>12</v>
      </c>
      <c r="C30" s="882"/>
      <c r="D30" s="883">
        <v>0</v>
      </c>
      <c r="E30" s="884">
        <v>47</v>
      </c>
      <c r="F30" s="884">
        <v>0</v>
      </c>
      <c r="G30" s="885">
        <v>25</v>
      </c>
      <c r="H30" s="884">
        <v>0</v>
      </c>
      <c r="I30" s="873">
        <f t="shared" si="0"/>
        <v>25</v>
      </c>
      <c r="J30" s="884">
        <v>0</v>
      </c>
      <c r="K30" s="884">
        <v>0</v>
      </c>
      <c r="L30" s="884">
        <v>0</v>
      </c>
      <c r="M30" s="884">
        <v>6</v>
      </c>
      <c r="N30" s="884">
        <v>0</v>
      </c>
      <c r="O30" s="884">
        <v>0</v>
      </c>
      <c r="P30" s="884">
        <v>0</v>
      </c>
      <c r="Q30" s="873">
        <f t="shared" si="1"/>
        <v>6</v>
      </c>
      <c r="R30" s="884">
        <f t="shared" si="2"/>
        <v>103</v>
      </c>
      <c r="S30" s="886"/>
    </row>
    <row r="31" spans="1:19">
      <c r="A31" s="878"/>
      <c r="B31" s="878" t="s">
        <v>13</v>
      </c>
      <c r="C31" s="878"/>
      <c r="D31" s="470">
        <v>0</v>
      </c>
      <c r="E31" s="884">
        <v>0</v>
      </c>
      <c r="F31" s="884">
        <v>0</v>
      </c>
      <c r="G31" s="885">
        <v>0</v>
      </c>
      <c r="H31" s="884">
        <v>0</v>
      </c>
      <c r="I31" s="873">
        <f t="shared" si="0"/>
        <v>0</v>
      </c>
      <c r="J31" s="884">
        <v>0</v>
      </c>
      <c r="K31" s="884">
        <v>0</v>
      </c>
      <c r="L31" s="884">
        <v>0</v>
      </c>
      <c r="M31" s="884">
        <v>0</v>
      </c>
      <c r="N31" s="884">
        <v>0</v>
      </c>
      <c r="O31" s="884">
        <v>0</v>
      </c>
      <c r="P31" s="884">
        <v>0</v>
      </c>
      <c r="Q31" s="873">
        <f t="shared" si="1"/>
        <v>0</v>
      </c>
      <c r="R31" s="884">
        <f t="shared" si="2"/>
        <v>0</v>
      </c>
      <c r="S31" s="886"/>
    </row>
    <row r="32" spans="1:19">
      <c r="A32" s="878">
        <v>2563</v>
      </c>
      <c r="B32" s="878" t="s">
        <v>12</v>
      </c>
      <c r="C32" s="878"/>
      <c r="D32" s="470">
        <v>0</v>
      </c>
      <c r="E32" s="884">
        <v>97</v>
      </c>
      <c r="F32" s="884">
        <v>3</v>
      </c>
      <c r="G32" s="885">
        <v>25</v>
      </c>
      <c r="H32" s="884">
        <v>0</v>
      </c>
      <c r="I32" s="873">
        <f t="shared" si="0"/>
        <v>28</v>
      </c>
      <c r="J32" s="884">
        <v>0</v>
      </c>
      <c r="K32" s="884">
        <v>0</v>
      </c>
      <c r="L32" s="884">
        <v>0</v>
      </c>
      <c r="M32" s="884">
        <v>6</v>
      </c>
      <c r="N32" s="884">
        <v>0</v>
      </c>
      <c r="O32" s="884">
        <v>0</v>
      </c>
      <c r="P32" s="884">
        <v>0</v>
      </c>
      <c r="Q32" s="873">
        <f t="shared" si="1"/>
        <v>6</v>
      </c>
      <c r="R32" s="884">
        <f t="shared" si="2"/>
        <v>159</v>
      </c>
      <c r="S32" s="886"/>
    </row>
    <row r="33" spans="1:19">
      <c r="A33" s="878"/>
      <c r="B33" s="878" t="s">
        <v>13</v>
      </c>
      <c r="C33" s="878"/>
      <c r="D33" s="470">
        <v>0</v>
      </c>
      <c r="E33" s="884">
        <v>50</v>
      </c>
      <c r="F33" s="884">
        <v>15</v>
      </c>
      <c r="G33" s="885">
        <v>0</v>
      </c>
      <c r="H33" s="884">
        <v>0</v>
      </c>
      <c r="I33" s="873">
        <f t="shared" si="0"/>
        <v>15</v>
      </c>
      <c r="J33" s="884">
        <v>0</v>
      </c>
      <c r="K33" s="884">
        <v>0</v>
      </c>
      <c r="L33" s="884">
        <v>0</v>
      </c>
      <c r="M33" s="884">
        <v>0</v>
      </c>
      <c r="N33" s="884">
        <v>0</v>
      </c>
      <c r="O33" s="884">
        <v>0</v>
      </c>
      <c r="P33" s="884">
        <v>0</v>
      </c>
      <c r="Q33" s="873">
        <f t="shared" si="1"/>
        <v>0</v>
      </c>
      <c r="R33" s="884">
        <f t="shared" si="2"/>
        <v>80</v>
      </c>
      <c r="S33" s="886"/>
    </row>
    <row r="34" spans="1:19">
      <c r="A34" s="878">
        <v>2564</v>
      </c>
      <c r="B34" s="878" t="s">
        <v>12</v>
      </c>
      <c r="C34" s="878"/>
      <c r="D34" s="470">
        <v>0</v>
      </c>
      <c r="E34" s="884">
        <v>0</v>
      </c>
      <c r="F34" s="884">
        <v>0</v>
      </c>
      <c r="G34" s="885">
        <v>25</v>
      </c>
      <c r="H34" s="884">
        <v>0</v>
      </c>
      <c r="I34" s="873">
        <f t="shared" si="0"/>
        <v>25</v>
      </c>
      <c r="J34" s="884">
        <v>0</v>
      </c>
      <c r="K34" s="884">
        <v>0</v>
      </c>
      <c r="L34" s="884">
        <v>0</v>
      </c>
      <c r="M34" s="884">
        <v>6</v>
      </c>
      <c r="N34" s="884">
        <v>0</v>
      </c>
      <c r="O34" s="884">
        <v>0</v>
      </c>
      <c r="P34" s="884">
        <v>0</v>
      </c>
      <c r="Q34" s="873">
        <f t="shared" si="1"/>
        <v>6</v>
      </c>
      <c r="R34" s="884">
        <f t="shared" si="2"/>
        <v>56</v>
      </c>
      <c r="S34" s="886"/>
    </row>
    <row r="35" spans="1:19">
      <c r="A35" s="878"/>
      <c r="B35" s="878" t="s">
        <v>13</v>
      </c>
      <c r="C35" s="878"/>
      <c r="D35" s="470">
        <v>0</v>
      </c>
      <c r="E35" s="884">
        <v>0</v>
      </c>
      <c r="F35" s="884">
        <v>0</v>
      </c>
      <c r="G35" s="885">
        <v>0</v>
      </c>
      <c r="H35" s="884">
        <v>0</v>
      </c>
      <c r="I35" s="873">
        <f t="shared" si="0"/>
        <v>0</v>
      </c>
      <c r="J35" s="884">
        <v>0</v>
      </c>
      <c r="K35" s="884">
        <v>0</v>
      </c>
      <c r="L35" s="884">
        <v>0</v>
      </c>
      <c r="M35" s="884">
        <v>0</v>
      </c>
      <c r="N35" s="884">
        <v>0</v>
      </c>
      <c r="O35" s="884">
        <v>0</v>
      </c>
      <c r="P35" s="884">
        <v>0</v>
      </c>
      <c r="Q35" s="873">
        <f t="shared" si="1"/>
        <v>0</v>
      </c>
      <c r="R35" s="884">
        <f t="shared" si="2"/>
        <v>0</v>
      </c>
      <c r="S35" s="886"/>
    </row>
    <row r="36" spans="1:19" ht="21">
      <c r="A36" s="878">
        <v>2565</v>
      </c>
      <c r="B36" s="878" t="s">
        <v>12</v>
      </c>
      <c r="C36" s="878"/>
      <c r="D36" s="470">
        <v>0</v>
      </c>
      <c r="E36" s="884">
        <v>0</v>
      </c>
      <c r="F36" s="884">
        <v>0</v>
      </c>
      <c r="G36" s="885">
        <v>0</v>
      </c>
      <c r="H36" s="574">
        <v>20</v>
      </c>
      <c r="I36" s="873">
        <f t="shared" si="0"/>
        <v>20</v>
      </c>
      <c r="J36" s="887">
        <v>39</v>
      </c>
      <c r="K36" s="884">
        <v>0</v>
      </c>
      <c r="L36" s="884">
        <v>0</v>
      </c>
      <c r="M36" s="884">
        <v>6</v>
      </c>
      <c r="N36" s="884">
        <v>0</v>
      </c>
      <c r="O36" s="884">
        <v>0</v>
      </c>
      <c r="P36" s="884">
        <v>0</v>
      </c>
      <c r="Q36" s="873">
        <f t="shared" si="1"/>
        <v>45</v>
      </c>
      <c r="R36" s="884">
        <f t="shared" si="2"/>
        <v>85</v>
      </c>
      <c r="S36" s="886"/>
    </row>
    <row r="37" spans="1:19" ht="21">
      <c r="A37" s="878"/>
      <c r="B37" s="878" t="s">
        <v>13</v>
      </c>
      <c r="C37" s="878"/>
      <c r="D37" s="470">
        <v>0</v>
      </c>
      <c r="E37" s="884">
        <v>0</v>
      </c>
      <c r="F37" s="884">
        <v>0</v>
      </c>
      <c r="G37" s="885">
        <v>0</v>
      </c>
      <c r="H37" s="884">
        <v>0</v>
      </c>
      <c r="I37" s="873">
        <f t="shared" si="0"/>
        <v>0</v>
      </c>
      <c r="J37" s="887">
        <v>11</v>
      </c>
      <c r="K37" s="884">
        <v>0</v>
      </c>
      <c r="L37" s="884">
        <v>0</v>
      </c>
      <c r="M37" s="884">
        <v>0</v>
      </c>
      <c r="N37" s="884">
        <v>0</v>
      </c>
      <c r="O37" s="884">
        <v>0</v>
      </c>
      <c r="P37" s="884">
        <v>0</v>
      </c>
      <c r="Q37" s="873">
        <f t="shared" si="1"/>
        <v>11</v>
      </c>
      <c r="R37" s="884">
        <f t="shared" si="2"/>
        <v>11</v>
      </c>
      <c r="S37" s="886"/>
    </row>
    <row r="38" spans="1:19">
      <c r="A38" s="878" t="s">
        <v>8</v>
      </c>
      <c r="B38" s="878"/>
      <c r="C38" s="878"/>
      <c r="D38" s="470">
        <f>SUM(D28:D37)</f>
        <v>0</v>
      </c>
      <c r="E38" s="470">
        <f t="shared" ref="E38:P38" si="3">SUM(E28:E37)</f>
        <v>215</v>
      </c>
      <c r="F38" s="470">
        <f t="shared" si="3"/>
        <v>58</v>
      </c>
      <c r="G38" s="470">
        <f t="shared" si="3"/>
        <v>125</v>
      </c>
      <c r="H38" s="470">
        <f t="shared" si="3"/>
        <v>20</v>
      </c>
      <c r="I38" s="873">
        <f t="shared" si="0"/>
        <v>203</v>
      </c>
      <c r="J38" s="470">
        <f t="shared" si="3"/>
        <v>50</v>
      </c>
      <c r="K38" s="470">
        <f t="shared" si="3"/>
        <v>30</v>
      </c>
      <c r="L38" s="470">
        <f t="shared" si="3"/>
        <v>0</v>
      </c>
      <c r="M38" s="470">
        <f t="shared" si="3"/>
        <v>30</v>
      </c>
      <c r="N38" s="470">
        <f t="shared" si="3"/>
        <v>0</v>
      </c>
      <c r="O38" s="470">
        <f t="shared" si="3"/>
        <v>0</v>
      </c>
      <c r="P38" s="470">
        <f t="shared" si="3"/>
        <v>0</v>
      </c>
      <c r="Q38" s="873">
        <f t="shared" si="1"/>
        <v>110</v>
      </c>
      <c r="R38" s="884">
        <f t="shared" si="2"/>
        <v>731</v>
      </c>
      <c r="S38" s="886"/>
    </row>
    <row r="39" spans="1:19">
      <c r="A39" s="888"/>
      <c r="B39" s="888"/>
      <c r="C39" s="888"/>
      <c r="D39" s="889"/>
      <c r="E39" s="889" t="s">
        <v>895</v>
      </c>
      <c r="F39" s="889"/>
      <c r="G39" s="889" t="s">
        <v>895</v>
      </c>
      <c r="H39" s="475" t="s">
        <v>896</v>
      </c>
      <c r="I39" s="890"/>
      <c r="J39" s="891" t="s">
        <v>897</v>
      </c>
      <c r="K39" s="889"/>
      <c r="L39" s="889"/>
      <c r="M39" s="889"/>
      <c r="N39" s="889"/>
      <c r="O39" s="889"/>
      <c r="P39" s="889"/>
      <c r="Q39" s="475"/>
      <c r="R39" s="475"/>
      <c r="S39" s="886"/>
    </row>
    <row r="40" spans="1:19">
      <c r="A40" s="888"/>
      <c r="B40" s="888"/>
      <c r="C40" s="888"/>
      <c r="D40" s="889"/>
      <c r="E40" s="889"/>
      <c r="F40" s="889"/>
      <c r="G40" s="889"/>
      <c r="H40" s="475" t="s">
        <v>898</v>
      </c>
      <c r="I40" s="890"/>
      <c r="J40" s="889"/>
      <c r="K40" s="889"/>
      <c r="L40" s="889"/>
      <c r="M40" s="889"/>
      <c r="N40" s="889"/>
      <c r="O40" s="889"/>
      <c r="P40" s="889"/>
      <c r="Q40" s="475"/>
      <c r="R40" s="475"/>
      <c r="S40" s="886"/>
    </row>
    <row r="41" spans="1:19">
      <c r="A41" s="57"/>
      <c r="B41" s="57"/>
      <c r="C41" s="57"/>
      <c r="D41" s="57"/>
      <c r="E41" s="57"/>
      <c r="F41" s="892"/>
      <c r="G41" s="892"/>
      <c r="H41" s="893" t="s">
        <v>899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21">
      <c r="A42" s="894" t="s">
        <v>900</v>
      </c>
      <c r="B42" s="895" t="s">
        <v>12</v>
      </c>
      <c r="C42" s="895"/>
      <c r="D42" s="895"/>
      <c r="E42" s="896"/>
      <c r="F42" s="897">
        <v>134</v>
      </c>
      <c r="G42" s="898"/>
      <c r="H42" s="899"/>
      <c r="I42" s="899"/>
      <c r="J42" s="900">
        <v>100</v>
      </c>
      <c r="K42" s="896"/>
      <c r="L42" s="896">
        <v>60</v>
      </c>
      <c r="M42" s="896"/>
      <c r="N42" s="896">
        <v>23</v>
      </c>
      <c r="O42" s="896"/>
      <c r="P42" s="896"/>
      <c r="Q42" s="896"/>
      <c r="R42" s="896"/>
      <c r="S42" s="886"/>
    </row>
    <row r="43" spans="1:19" ht="21.75" thickBot="1">
      <c r="A43" s="901"/>
      <c r="B43" s="902" t="s">
        <v>13</v>
      </c>
      <c r="C43" s="902"/>
      <c r="D43" s="902"/>
      <c r="E43" s="903"/>
      <c r="F43" s="904">
        <v>22</v>
      </c>
      <c r="G43" s="905"/>
      <c r="H43" s="903"/>
      <c r="I43" s="903"/>
      <c r="J43" s="906">
        <v>40</v>
      </c>
      <c r="K43" s="903"/>
      <c r="L43" s="903">
        <v>12</v>
      </c>
      <c r="M43" s="903"/>
      <c r="N43" s="903">
        <v>7</v>
      </c>
      <c r="O43" s="903"/>
      <c r="P43" s="903"/>
      <c r="Q43" s="903"/>
      <c r="R43" s="903"/>
      <c r="S43" s="886"/>
    </row>
    <row r="44" spans="1:19" ht="19.5" thickBot="1">
      <c r="A44" s="907" t="s">
        <v>42</v>
      </c>
      <c r="B44" s="1380" t="s">
        <v>458</v>
      </c>
      <c r="C44" s="1381"/>
      <c r="D44" s="1382" t="s">
        <v>19</v>
      </c>
      <c r="E44" s="1382"/>
      <c r="F44" s="1382"/>
      <c r="G44" s="1382"/>
      <c r="H44" s="1382"/>
      <c r="I44" s="1382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19.5" thickBot="1">
      <c r="A45" s="908"/>
      <c r="B45" s="909" t="s">
        <v>459</v>
      </c>
      <c r="C45" s="910" t="s">
        <v>460</v>
      </c>
      <c r="D45" s="911" t="s">
        <v>901</v>
      </c>
      <c r="E45" s="911" t="s">
        <v>902</v>
      </c>
      <c r="F45" s="911" t="s">
        <v>903</v>
      </c>
      <c r="G45" s="911" t="s">
        <v>904</v>
      </c>
      <c r="H45" s="911" t="s">
        <v>905</v>
      </c>
      <c r="I45" s="911" t="s">
        <v>8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>
      <c r="A46" s="912" t="s">
        <v>2</v>
      </c>
      <c r="B46" s="218">
        <v>223</v>
      </c>
      <c r="C46" s="913">
        <v>1115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f>SUM(D46:H46)</f>
        <v>0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>
      <c r="A47" s="218" t="s">
        <v>3</v>
      </c>
      <c r="B47" s="218">
        <v>47</v>
      </c>
      <c r="C47" s="914">
        <v>235</v>
      </c>
      <c r="D47" s="218">
        <v>21</v>
      </c>
      <c r="E47" s="218">
        <v>47</v>
      </c>
      <c r="F47" s="218">
        <f>97+50</f>
        <v>147</v>
      </c>
      <c r="G47" s="218">
        <v>0</v>
      </c>
      <c r="H47" s="218">
        <v>0</v>
      </c>
      <c r="I47" s="218">
        <f t="shared" ref="I47:I51" si="4">SUM(D47:H47)</f>
        <v>215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25.5">
      <c r="A48" s="218"/>
      <c r="B48" s="218"/>
      <c r="C48" s="914"/>
      <c r="D48" s="218" t="s">
        <v>906</v>
      </c>
      <c r="E48" s="915" t="s">
        <v>907</v>
      </c>
      <c r="F48" s="218" t="s">
        <v>908</v>
      </c>
      <c r="G48" s="218"/>
      <c r="H48" s="218"/>
      <c r="I48" s="218">
        <f t="shared" si="4"/>
        <v>0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27">
      <c r="A49" s="218" t="s">
        <v>4</v>
      </c>
      <c r="B49" s="218">
        <v>25</v>
      </c>
      <c r="C49" s="914">
        <v>125</v>
      </c>
      <c r="D49" s="218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f t="shared" si="4"/>
        <v>0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27">
      <c r="A50" s="218" t="s">
        <v>5</v>
      </c>
      <c r="B50" s="218">
        <v>25</v>
      </c>
      <c r="C50" s="914">
        <v>125</v>
      </c>
      <c r="D50" s="218">
        <f>37+53</f>
        <v>90</v>
      </c>
      <c r="E50" s="218">
        <f>+I30</f>
        <v>25</v>
      </c>
      <c r="F50" s="218">
        <f>+I32+I33</f>
        <v>43</v>
      </c>
      <c r="G50" s="218">
        <f>+I34</f>
        <v>25</v>
      </c>
      <c r="H50" s="218">
        <f>+I36</f>
        <v>20</v>
      </c>
      <c r="I50" s="218">
        <f t="shared" si="4"/>
        <v>203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27">
      <c r="A51" s="218" t="s">
        <v>461</v>
      </c>
      <c r="B51" s="218">
        <v>40</v>
      </c>
      <c r="C51" s="914">
        <v>200</v>
      </c>
      <c r="D51" s="218">
        <v>36</v>
      </c>
      <c r="E51" s="218">
        <f>+Q30</f>
        <v>6</v>
      </c>
      <c r="F51" s="218">
        <f>+Q32</f>
        <v>6</v>
      </c>
      <c r="G51" s="218">
        <f>+Q34</f>
        <v>6</v>
      </c>
      <c r="H51" s="218">
        <f>+Q36+Q37</f>
        <v>56</v>
      </c>
      <c r="I51" s="218">
        <f t="shared" si="4"/>
        <v>110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27">
      <c r="A52" s="1199" t="s">
        <v>1096</v>
      </c>
      <c r="B52" s="1200"/>
      <c r="C52" s="1200"/>
      <c r="D52" s="1189"/>
      <c r="E52" s="1188"/>
      <c r="F52" s="1188"/>
      <c r="G52" s="1188"/>
      <c r="H52" s="1188"/>
      <c r="I52" s="1188"/>
      <c r="J52" s="1188"/>
      <c r="K52" s="1188"/>
      <c r="L52" s="1188"/>
      <c r="M52" s="1188"/>
      <c r="N52" s="1188"/>
      <c r="O52" s="1188"/>
      <c r="P52" s="1188"/>
      <c r="Q52" s="1188"/>
      <c r="R52" s="1188"/>
      <c r="S52" s="1188"/>
      <c r="T52" s="1188"/>
      <c r="U52" s="1188"/>
      <c r="V52" s="1188"/>
      <c r="W52" s="1188"/>
      <c r="X52" s="1188"/>
      <c r="Y52" s="1188"/>
      <c r="Z52" s="1188"/>
      <c r="AA52" s="1188"/>
    </row>
    <row r="53" spans="1:27">
      <c r="A53" s="1190" t="s">
        <v>0</v>
      </c>
      <c r="B53" s="1357" t="s">
        <v>15</v>
      </c>
      <c r="C53" s="1358"/>
      <c r="D53" s="1359" t="s">
        <v>1097</v>
      </c>
      <c r="E53" s="1359"/>
      <c r="F53" s="1359"/>
      <c r="G53" s="1359"/>
      <c r="H53" s="1359"/>
      <c r="I53" s="1352" t="s">
        <v>1098</v>
      </c>
      <c r="J53" s="1353"/>
      <c r="K53" s="1353"/>
      <c r="L53" s="1354"/>
      <c r="M53" s="1352" t="s">
        <v>1099</v>
      </c>
      <c r="N53" s="1353"/>
      <c r="O53" s="1353"/>
      <c r="P53" s="1353"/>
      <c r="Q53" s="1354"/>
      <c r="R53" s="1352" t="s">
        <v>1100</v>
      </c>
      <c r="S53" s="1353"/>
      <c r="T53" s="1353"/>
      <c r="U53" s="1353"/>
      <c r="V53" s="1354"/>
      <c r="W53" s="1352" t="s">
        <v>1101</v>
      </c>
      <c r="X53" s="1353"/>
      <c r="Y53" s="1353"/>
      <c r="Z53" s="1353"/>
      <c r="AA53" s="1354"/>
    </row>
    <row r="54" spans="1:27">
      <c r="A54" s="1191"/>
      <c r="B54" s="1355" t="s">
        <v>7</v>
      </c>
      <c r="C54" s="1356"/>
      <c r="D54" s="1192" t="s">
        <v>2</v>
      </c>
      <c r="E54" s="1192" t="s">
        <v>3</v>
      </c>
      <c r="F54" s="1192" t="s">
        <v>4</v>
      </c>
      <c r="G54" s="1192" t="s">
        <v>5</v>
      </c>
      <c r="H54" s="1192" t="s">
        <v>6</v>
      </c>
      <c r="I54" s="1192" t="s">
        <v>2</v>
      </c>
      <c r="J54" s="1192" t="s">
        <v>3</v>
      </c>
      <c r="K54" s="1192" t="s">
        <v>4</v>
      </c>
      <c r="L54" s="1192" t="s">
        <v>5</v>
      </c>
      <c r="M54" s="1192" t="s">
        <v>6</v>
      </c>
      <c r="N54" s="1192" t="s">
        <v>2</v>
      </c>
      <c r="O54" s="1192" t="s">
        <v>3</v>
      </c>
      <c r="P54" s="1192" t="s">
        <v>4</v>
      </c>
      <c r="Q54" s="1192" t="s">
        <v>5</v>
      </c>
      <c r="R54" s="1192" t="s">
        <v>6</v>
      </c>
      <c r="S54" s="1192" t="s">
        <v>2</v>
      </c>
      <c r="T54" s="1192" t="s">
        <v>3</v>
      </c>
      <c r="U54" s="1192" t="s">
        <v>4</v>
      </c>
      <c r="V54" s="1192" t="s">
        <v>5</v>
      </c>
      <c r="W54" s="1192" t="s">
        <v>6</v>
      </c>
      <c r="X54" s="1192" t="s">
        <v>2</v>
      </c>
      <c r="Y54" s="1192" t="s">
        <v>3</v>
      </c>
      <c r="Z54" s="1192" t="s">
        <v>4</v>
      </c>
      <c r="AA54" s="1192" t="s">
        <v>5</v>
      </c>
    </row>
    <row r="55" spans="1:27">
      <c r="A55" s="1193">
        <v>2561</v>
      </c>
      <c r="B55" s="1194" t="s">
        <v>12</v>
      </c>
      <c r="C55" s="1194">
        <f>SUM(D55:AK55)</f>
        <v>45</v>
      </c>
      <c r="D55" s="1194">
        <v>30</v>
      </c>
      <c r="E55" s="1181"/>
      <c r="F55" s="1181"/>
      <c r="G55" s="1181"/>
      <c r="H55" s="1181"/>
      <c r="I55" s="1181"/>
      <c r="J55" s="1181"/>
      <c r="K55" s="1181">
        <v>15</v>
      </c>
      <c r="L55" s="1181"/>
      <c r="M55" s="1181">
        <v>0</v>
      </c>
      <c r="N55" s="1181"/>
      <c r="O55" s="1181"/>
      <c r="P55" s="1181"/>
      <c r="Q55" s="1181"/>
      <c r="R55" s="1181">
        <v>0</v>
      </c>
      <c r="S55" s="1181"/>
      <c r="T55" s="1181"/>
      <c r="U55" s="1181"/>
      <c r="V55" s="1181"/>
      <c r="W55" s="1181">
        <v>0</v>
      </c>
      <c r="X55" s="1181"/>
      <c r="Y55" s="1181"/>
      <c r="Z55" s="1181"/>
      <c r="AA55" s="1181"/>
    </row>
    <row r="56" spans="1:27">
      <c r="A56" s="1195"/>
      <c r="B56" s="1196" t="s">
        <v>13</v>
      </c>
      <c r="C56" s="1196">
        <f t="shared" ref="C56:C64" si="5">SUM(D56:AK56)</f>
        <v>20</v>
      </c>
      <c r="D56" s="1196">
        <v>10</v>
      </c>
      <c r="E56" s="1182"/>
      <c r="F56" s="1182"/>
      <c r="G56" s="1182"/>
      <c r="H56" s="1182"/>
      <c r="I56" s="1182"/>
      <c r="J56" s="1182"/>
      <c r="K56" s="1182">
        <v>10</v>
      </c>
      <c r="L56" s="1182"/>
      <c r="M56" s="1182">
        <v>0</v>
      </c>
      <c r="N56" s="1182"/>
      <c r="O56" s="1182"/>
      <c r="P56" s="1182"/>
      <c r="Q56" s="1182"/>
      <c r="R56" s="1182">
        <v>0</v>
      </c>
      <c r="S56" s="1182"/>
      <c r="T56" s="1182"/>
      <c r="U56" s="1182"/>
      <c r="V56" s="1182"/>
      <c r="W56" s="1182">
        <v>0</v>
      </c>
      <c r="X56" s="1182"/>
      <c r="Y56" s="1182"/>
      <c r="Z56" s="1182"/>
      <c r="AA56" s="1182"/>
    </row>
    <row r="57" spans="1:27">
      <c r="A57" s="1193">
        <v>2562</v>
      </c>
      <c r="B57" s="1194" t="s">
        <v>12</v>
      </c>
      <c r="C57" s="1194">
        <f t="shared" si="5"/>
        <v>45</v>
      </c>
      <c r="D57" s="1194">
        <v>30</v>
      </c>
      <c r="E57" s="1181"/>
      <c r="F57" s="1181"/>
      <c r="G57" s="1181"/>
      <c r="H57" s="1181"/>
      <c r="I57" s="1181"/>
      <c r="J57" s="1181"/>
      <c r="K57" s="1181">
        <v>15</v>
      </c>
      <c r="L57" s="1181"/>
      <c r="M57" s="1181">
        <v>0</v>
      </c>
      <c r="N57" s="1181"/>
      <c r="O57" s="1181"/>
      <c r="P57" s="1181"/>
      <c r="Q57" s="1181"/>
      <c r="R57" s="1181">
        <v>0</v>
      </c>
      <c r="S57" s="1181"/>
      <c r="T57" s="1181"/>
      <c r="U57" s="1181"/>
      <c r="V57" s="1181"/>
      <c r="W57" s="1181">
        <v>0</v>
      </c>
      <c r="X57" s="1181"/>
      <c r="Y57" s="1181"/>
      <c r="Z57" s="1181"/>
      <c r="AA57" s="1181"/>
    </row>
    <row r="58" spans="1:27">
      <c r="A58" s="1195"/>
      <c r="B58" s="1196" t="s">
        <v>13</v>
      </c>
      <c r="C58" s="1196">
        <f t="shared" si="5"/>
        <v>20</v>
      </c>
      <c r="D58" s="1196">
        <v>10</v>
      </c>
      <c r="E58" s="1182"/>
      <c r="F58" s="1182"/>
      <c r="G58" s="1182"/>
      <c r="H58" s="1182"/>
      <c r="I58" s="1182"/>
      <c r="J58" s="1182"/>
      <c r="K58" s="1182">
        <v>10</v>
      </c>
      <c r="L58" s="1182"/>
      <c r="M58" s="1182">
        <v>0</v>
      </c>
      <c r="N58" s="1182"/>
      <c r="O58" s="1182"/>
      <c r="P58" s="1182"/>
      <c r="Q58" s="1182"/>
      <c r="R58" s="1182">
        <v>0</v>
      </c>
      <c r="S58" s="1182"/>
      <c r="T58" s="1182"/>
      <c r="U58" s="1182"/>
      <c r="V58" s="1182"/>
      <c r="W58" s="1182">
        <v>0</v>
      </c>
      <c r="X58" s="1182"/>
      <c r="Y58" s="1182"/>
      <c r="Z58" s="1182"/>
      <c r="AA58" s="1182"/>
    </row>
    <row r="59" spans="1:27">
      <c r="A59" s="1193">
        <v>2563</v>
      </c>
      <c r="B59" s="1194" t="s">
        <v>12</v>
      </c>
      <c r="C59" s="1194">
        <f t="shared" si="5"/>
        <v>45</v>
      </c>
      <c r="D59" s="1194">
        <v>30</v>
      </c>
      <c r="E59" s="1181"/>
      <c r="F59" s="1181"/>
      <c r="G59" s="1181"/>
      <c r="H59" s="1181"/>
      <c r="I59" s="1181"/>
      <c r="J59" s="1181"/>
      <c r="K59" s="1181">
        <v>15</v>
      </c>
      <c r="L59" s="1181"/>
      <c r="M59" s="1181">
        <v>0</v>
      </c>
      <c r="N59" s="1181"/>
      <c r="O59" s="1181"/>
      <c r="P59" s="1181"/>
      <c r="Q59" s="1181"/>
      <c r="R59" s="1181">
        <v>0</v>
      </c>
      <c r="S59" s="1181"/>
      <c r="T59" s="1181"/>
      <c r="U59" s="1181"/>
      <c r="V59" s="1181"/>
      <c r="W59" s="1181">
        <v>0</v>
      </c>
      <c r="X59" s="1181"/>
      <c r="Y59" s="1181"/>
      <c r="Z59" s="1181"/>
      <c r="AA59" s="1181"/>
    </row>
    <row r="60" spans="1:27">
      <c r="A60" s="1195"/>
      <c r="B60" s="1196" t="s">
        <v>13</v>
      </c>
      <c r="C60" s="1196">
        <f t="shared" si="5"/>
        <v>20</v>
      </c>
      <c r="D60" s="1196">
        <v>10</v>
      </c>
      <c r="E60" s="1182"/>
      <c r="F60" s="1182"/>
      <c r="G60" s="1182"/>
      <c r="H60" s="1182"/>
      <c r="I60" s="1182"/>
      <c r="J60" s="1182"/>
      <c r="K60" s="1182">
        <v>10</v>
      </c>
      <c r="L60" s="1182"/>
      <c r="M60" s="1182">
        <v>0</v>
      </c>
      <c r="N60" s="1182"/>
      <c r="O60" s="1182"/>
      <c r="P60" s="1182"/>
      <c r="Q60" s="1182"/>
      <c r="R60" s="1182">
        <v>0</v>
      </c>
      <c r="S60" s="1182"/>
      <c r="T60" s="1182"/>
      <c r="U60" s="1182"/>
      <c r="V60" s="1182"/>
      <c r="W60" s="1182">
        <v>0</v>
      </c>
      <c r="X60" s="1182"/>
      <c r="Y60" s="1182"/>
      <c r="Z60" s="1182"/>
      <c r="AA60" s="1182"/>
    </row>
    <row r="61" spans="1:27">
      <c r="A61" s="1193">
        <v>2564</v>
      </c>
      <c r="B61" s="1194" t="s">
        <v>12</v>
      </c>
      <c r="C61" s="1194">
        <f t="shared" si="5"/>
        <v>45</v>
      </c>
      <c r="D61" s="1194">
        <v>30</v>
      </c>
      <c r="E61" s="1181"/>
      <c r="F61" s="1181"/>
      <c r="G61" s="1181"/>
      <c r="H61" s="1181"/>
      <c r="I61" s="1181"/>
      <c r="J61" s="1181"/>
      <c r="K61" s="1181">
        <v>15</v>
      </c>
      <c r="L61" s="1181"/>
      <c r="M61" s="1181">
        <v>0</v>
      </c>
      <c r="N61" s="1181"/>
      <c r="O61" s="1181"/>
      <c r="P61" s="1181"/>
      <c r="Q61" s="1181"/>
      <c r="R61" s="1181">
        <v>0</v>
      </c>
      <c r="S61" s="1181"/>
      <c r="T61" s="1181"/>
      <c r="U61" s="1181"/>
      <c r="V61" s="1181"/>
      <c r="W61" s="1181">
        <v>0</v>
      </c>
      <c r="X61" s="1181"/>
      <c r="Y61" s="1181"/>
      <c r="Z61" s="1181"/>
      <c r="AA61" s="1181"/>
    </row>
    <row r="62" spans="1:27">
      <c r="A62" s="1195"/>
      <c r="B62" s="1196" t="s">
        <v>13</v>
      </c>
      <c r="C62" s="1196">
        <f t="shared" si="5"/>
        <v>20</v>
      </c>
      <c r="D62" s="1196">
        <v>10</v>
      </c>
      <c r="E62" s="1182"/>
      <c r="F62" s="1182"/>
      <c r="G62" s="1182"/>
      <c r="H62" s="1182"/>
      <c r="I62" s="1182"/>
      <c r="J62" s="1182"/>
      <c r="K62" s="1182">
        <v>10</v>
      </c>
      <c r="L62" s="1182"/>
      <c r="M62" s="1182">
        <v>0</v>
      </c>
      <c r="N62" s="1182"/>
      <c r="O62" s="1182"/>
      <c r="P62" s="1182"/>
      <c r="Q62" s="1182"/>
      <c r="R62" s="1182">
        <v>0</v>
      </c>
      <c r="S62" s="1182"/>
      <c r="T62" s="1182"/>
      <c r="U62" s="1182"/>
      <c r="V62" s="1182"/>
      <c r="W62" s="1182">
        <v>0</v>
      </c>
      <c r="X62" s="1182"/>
      <c r="Y62" s="1182"/>
      <c r="Z62" s="1182"/>
      <c r="AA62" s="1182"/>
    </row>
    <row r="63" spans="1:27">
      <c r="A63" s="1193">
        <v>2565</v>
      </c>
      <c r="B63" s="1194" t="s">
        <v>12</v>
      </c>
      <c r="C63" s="1194">
        <f t="shared" si="5"/>
        <v>75</v>
      </c>
      <c r="D63" s="1194">
        <v>30</v>
      </c>
      <c r="E63" s="1181"/>
      <c r="F63" s="1181"/>
      <c r="G63" s="1181"/>
      <c r="H63" s="1181"/>
      <c r="I63" s="1181"/>
      <c r="J63" s="1181"/>
      <c r="K63" s="1181">
        <v>15</v>
      </c>
      <c r="L63" s="1181"/>
      <c r="M63" s="1181">
        <v>0</v>
      </c>
      <c r="N63" s="1181"/>
      <c r="O63" s="1181"/>
      <c r="P63" s="1181"/>
      <c r="Q63" s="1181"/>
      <c r="R63" s="1181">
        <v>0</v>
      </c>
      <c r="S63" s="1181"/>
      <c r="T63" s="1181"/>
      <c r="U63" s="1181"/>
      <c r="V63" s="1181"/>
      <c r="W63" s="1181">
        <v>30</v>
      </c>
      <c r="X63" s="1181"/>
      <c r="Y63" s="1181"/>
      <c r="Z63" s="1181"/>
      <c r="AA63" s="1181"/>
    </row>
    <row r="64" spans="1:27">
      <c r="A64" s="1195"/>
      <c r="B64" s="1196" t="s">
        <v>13</v>
      </c>
      <c r="C64" s="1196">
        <f t="shared" si="5"/>
        <v>30</v>
      </c>
      <c r="D64" s="1196">
        <v>10</v>
      </c>
      <c r="E64" s="1182"/>
      <c r="F64" s="1182"/>
      <c r="G64" s="1182"/>
      <c r="H64" s="1182"/>
      <c r="I64" s="1182"/>
      <c r="J64" s="1182"/>
      <c r="K64" s="1182">
        <v>10</v>
      </c>
      <c r="L64" s="1182"/>
      <c r="M64" s="1182">
        <v>0</v>
      </c>
      <c r="N64" s="1182"/>
      <c r="O64" s="1182"/>
      <c r="P64" s="1182"/>
      <c r="Q64" s="1182"/>
      <c r="R64" s="1182">
        <v>0</v>
      </c>
      <c r="S64" s="1182"/>
      <c r="T64" s="1182"/>
      <c r="U64" s="1182"/>
      <c r="V64" s="1182"/>
      <c r="W64" s="1182">
        <v>10</v>
      </c>
      <c r="X64" s="1182"/>
      <c r="Y64" s="1182"/>
      <c r="Z64" s="1182"/>
      <c r="AA64" s="1182"/>
    </row>
    <row r="65" spans="1:27">
      <c r="A65" s="1186" t="s">
        <v>8</v>
      </c>
      <c r="B65" s="1197"/>
      <c r="C65" s="1186">
        <f>SUM(C55:C64)</f>
        <v>365</v>
      </c>
      <c r="D65" s="1186">
        <v>200</v>
      </c>
      <c r="E65" s="1198"/>
      <c r="F65" s="1198"/>
      <c r="G65" s="1198"/>
      <c r="H65" s="1198"/>
      <c r="I65" s="1198"/>
      <c r="J65" s="1198"/>
      <c r="K65" s="1183">
        <f>SUM(K55:K64)</f>
        <v>125</v>
      </c>
      <c r="L65" s="1183"/>
      <c r="M65" s="1183">
        <v>0</v>
      </c>
      <c r="N65" s="1183"/>
      <c r="O65" s="1183"/>
      <c r="P65" s="1183"/>
      <c r="Q65" s="1183"/>
      <c r="R65" s="1183">
        <v>0</v>
      </c>
      <c r="S65" s="1183"/>
      <c r="T65" s="1183"/>
      <c r="U65" s="1183"/>
      <c r="V65" s="1183"/>
      <c r="W65" s="1183">
        <f>SUM(W55:W64)</f>
        <v>40</v>
      </c>
      <c r="X65" s="1183"/>
      <c r="Y65" s="1183"/>
      <c r="Z65" s="1183"/>
      <c r="AA65" s="1183"/>
    </row>
  </sheetData>
  <mergeCells count="33">
    <mergeCell ref="A25:C25"/>
    <mergeCell ref="B26:C26"/>
    <mergeCell ref="R26:R27"/>
    <mergeCell ref="B27:C27"/>
    <mergeCell ref="B44:C44"/>
    <mergeCell ref="D44:I44"/>
    <mergeCell ref="B12:C12"/>
    <mergeCell ref="D12:H12"/>
    <mergeCell ref="I12:I13"/>
    <mergeCell ref="B13:C13"/>
    <mergeCell ref="A11:F11"/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U5:X5"/>
    <mergeCell ref="W53:AA53"/>
    <mergeCell ref="B54:C54"/>
    <mergeCell ref="B53:C53"/>
    <mergeCell ref="D53:H53"/>
    <mergeCell ref="I53:L53"/>
    <mergeCell ref="M53:Q53"/>
    <mergeCell ref="R53:V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workbookViewId="0">
      <selection activeCell="A13" sqref="A13:AD32"/>
    </sheetView>
  </sheetViews>
  <sheetFormatPr defaultColWidth="9" defaultRowHeight="18.75"/>
  <cols>
    <col min="1" max="1" width="6.625" style="32" customWidth="1"/>
    <col min="2" max="2" width="12.875" style="32" customWidth="1"/>
    <col min="3" max="3" width="3.375" style="32" customWidth="1"/>
    <col min="4" max="58" width="2.25" style="32" customWidth="1"/>
    <col min="59" max="59" width="4.875" style="32" customWidth="1"/>
    <col min="60" max="64" width="2.625" style="32" customWidth="1"/>
    <col min="65" max="73" width="2.75" style="32" customWidth="1"/>
    <col min="74" max="74" width="3.375" style="32" customWidth="1"/>
    <col min="75" max="16384" width="9" style="32"/>
  </cols>
  <sheetData>
    <row r="1" spans="1:59" ht="29.25" customHeight="1">
      <c r="A1" s="7" t="s">
        <v>14</v>
      </c>
      <c r="B1" s="5"/>
    </row>
    <row r="2" spans="1:59" ht="29.25" customHeight="1">
      <c r="A2" s="7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59" ht="21" customHeight="1"/>
    <row r="4" spans="1:59" s="5" customFormat="1" ht="39" customHeight="1">
      <c r="A4" s="15" t="s">
        <v>0</v>
      </c>
      <c r="B4" s="15" t="s">
        <v>1</v>
      </c>
      <c r="C4" s="1340" t="s">
        <v>17</v>
      </c>
      <c r="D4" s="1340"/>
      <c r="E4" s="1340"/>
      <c r="F4" s="1340"/>
      <c r="G4" s="1340"/>
      <c r="H4" s="1340"/>
      <c r="I4" s="1340"/>
      <c r="J4" s="1340" t="s">
        <v>18</v>
      </c>
      <c r="K4" s="1340"/>
      <c r="L4" s="1340"/>
      <c r="M4" s="1340"/>
      <c r="N4" s="1340"/>
      <c r="O4" s="1340"/>
      <c r="P4" s="1340"/>
      <c r="Q4" s="1340" t="s">
        <v>19</v>
      </c>
      <c r="R4" s="1340"/>
      <c r="S4" s="1340"/>
      <c r="T4" s="1340"/>
      <c r="U4" s="1340"/>
      <c r="V4" s="1340"/>
      <c r="W4" s="1340"/>
      <c r="X4" s="1340" t="s">
        <v>20</v>
      </c>
      <c r="Y4" s="1340"/>
      <c r="Z4" s="1340"/>
      <c r="AA4" s="1340"/>
      <c r="AB4" s="1340"/>
      <c r="AC4" s="1340"/>
      <c r="AD4" s="1340"/>
      <c r="AE4" s="1340" t="s">
        <v>21</v>
      </c>
      <c r="AF4" s="1340"/>
      <c r="AG4" s="1340"/>
      <c r="AH4" s="1340"/>
      <c r="AI4" s="1340"/>
      <c r="AJ4" s="1340"/>
      <c r="AK4" s="1340"/>
      <c r="AL4" s="1340" t="s">
        <v>22</v>
      </c>
      <c r="AM4" s="1340"/>
      <c r="AN4" s="1340"/>
      <c r="AO4" s="1340"/>
      <c r="AP4" s="1340"/>
      <c r="AQ4" s="1340"/>
      <c r="AR4" s="1340"/>
      <c r="AS4" s="1340" t="s">
        <v>23</v>
      </c>
      <c r="AT4" s="1340"/>
      <c r="AU4" s="1340"/>
      <c r="AV4" s="1340"/>
      <c r="AW4" s="1340"/>
      <c r="AX4" s="1340"/>
      <c r="AY4" s="1340"/>
      <c r="AZ4" s="1340" t="s">
        <v>24</v>
      </c>
      <c r="BA4" s="1340"/>
      <c r="BB4" s="1340"/>
      <c r="BC4" s="1340"/>
      <c r="BD4" s="1340"/>
      <c r="BE4" s="1340"/>
      <c r="BF4" s="1340"/>
      <c r="BG4" s="1341" t="s">
        <v>8</v>
      </c>
    </row>
    <row r="5" spans="1:59" s="5" customFormat="1" ht="39" customHeight="1">
      <c r="A5" s="33"/>
      <c r="B5" s="33" t="s">
        <v>16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10</v>
      </c>
      <c r="I5" s="34" t="s">
        <v>11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10</v>
      </c>
      <c r="P5" s="34" t="s">
        <v>11</v>
      </c>
      <c r="Q5" s="34" t="s">
        <v>2</v>
      </c>
      <c r="R5" s="34" t="s">
        <v>3</v>
      </c>
      <c r="S5" s="34" t="s">
        <v>4</v>
      </c>
      <c r="T5" s="34" t="s">
        <v>5</v>
      </c>
      <c r="U5" s="34" t="s">
        <v>6</v>
      </c>
      <c r="V5" s="34" t="s">
        <v>10</v>
      </c>
      <c r="W5" s="34" t="s">
        <v>11</v>
      </c>
      <c r="X5" s="34" t="s">
        <v>2</v>
      </c>
      <c r="Y5" s="34" t="s">
        <v>3</v>
      </c>
      <c r="Z5" s="34" t="s">
        <v>4</v>
      </c>
      <c r="AA5" s="34" t="s">
        <v>5</v>
      </c>
      <c r="AB5" s="34" t="s">
        <v>6</v>
      </c>
      <c r="AC5" s="34" t="s">
        <v>10</v>
      </c>
      <c r="AD5" s="34" t="s">
        <v>11</v>
      </c>
      <c r="AE5" s="34" t="s">
        <v>2</v>
      </c>
      <c r="AF5" s="34" t="s">
        <v>3</v>
      </c>
      <c r="AG5" s="34" t="s">
        <v>4</v>
      </c>
      <c r="AH5" s="34" t="s">
        <v>5</v>
      </c>
      <c r="AI5" s="34" t="s">
        <v>6</v>
      </c>
      <c r="AJ5" s="34" t="s">
        <v>10</v>
      </c>
      <c r="AK5" s="34" t="s">
        <v>11</v>
      </c>
      <c r="AL5" s="34" t="s">
        <v>2</v>
      </c>
      <c r="AM5" s="34" t="s">
        <v>3</v>
      </c>
      <c r="AN5" s="34" t="s">
        <v>4</v>
      </c>
      <c r="AO5" s="34" t="s">
        <v>5</v>
      </c>
      <c r="AP5" s="34" t="s">
        <v>6</v>
      </c>
      <c r="AQ5" s="34" t="s">
        <v>10</v>
      </c>
      <c r="AR5" s="34" t="s">
        <v>11</v>
      </c>
      <c r="AS5" s="34" t="s">
        <v>2</v>
      </c>
      <c r="AT5" s="34" t="s">
        <v>3</v>
      </c>
      <c r="AU5" s="34" t="s">
        <v>4</v>
      </c>
      <c r="AV5" s="34" t="s">
        <v>5</v>
      </c>
      <c r="AW5" s="34" t="s">
        <v>6</v>
      </c>
      <c r="AX5" s="34" t="s">
        <v>10</v>
      </c>
      <c r="AY5" s="34" t="s">
        <v>11</v>
      </c>
      <c r="AZ5" s="34" t="s">
        <v>2</v>
      </c>
      <c r="BA5" s="34" t="s">
        <v>3</v>
      </c>
      <c r="BB5" s="34" t="s">
        <v>4</v>
      </c>
      <c r="BC5" s="34" t="s">
        <v>5</v>
      </c>
      <c r="BD5" s="34" t="s">
        <v>6</v>
      </c>
      <c r="BE5" s="34" t="s">
        <v>10</v>
      </c>
      <c r="BF5" s="34" t="s">
        <v>11</v>
      </c>
      <c r="BG5" s="1437"/>
    </row>
    <row r="6" spans="1:59" ht="48.6" customHeight="1">
      <c r="A6" s="20">
        <v>2561</v>
      </c>
      <c r="B6" s="516">
        <f>SUM(C6:BF6)</f>
        <v>194980400</v>
      </c>
      <c r="C6" s="228">
        <v>0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37">
        <v>193437600</v>
      </c>
      <c r="S6" s="228">
        <v>0</v>
      </c>
      <c r="T6" s="228">
        <v>0</v>
      </c>
      <c r="U6" s="228">
        <v>0</v>
      </c>
      <c r="V6" s="228">
        <v>0</v>
      </c>
      <c r="W6" s="228">
        <v>0</v>
      </c>
      <c r="X6" s="228">
        <v>0</v>
      </c>
      <c r="Y6" s="228">
        <v>0</v>
      </c>
      <c r="Z6" s="228">
        <v>0</v>
      </c>
      <c r="AA6" s="228">
        <v>0</v>
      </c>
      <c r="AB6" s="228">
        <v>0</v>
      </c>
      <c r="AC6" s="228">
        <v>0</v>
      </c>
      <c r="AD6" s="228">
        <v>0</v>
      </c>
      <c r="AE6" s="228">
        <v>0</v>
      </c>
      <c r="AF6" s="228">
        <v>0</v>
      </c>
      <c r="AG6" s="228">
        <v>0</v>
      </c>
      <c r="AH6" s="228">
        <v>0</v>
      </c>
      <c r="AI6" s="237">
        <v>497400</v>
      </c>
      <c r="AJ6" s="239">
        <v>497400</v>
      </c>
      <c r="AK6" s="228">
        <v>0</v>
      </c>
      <c r="AL6" s="228">
        <v>0</v>
      </c>
      <c r="AM6" s="228">
        <v>0</v>
      </c>
      <c r="AN6" s="228">
        <v>0</v>
      </c>
      <c r="AO6" s="228">
        <v>0</v>
      </c>
      <c r="AP6" s="228">
        <v>0</v>
      </c>
      <c r="AQ6" s="228">
        <v>0</v>
      </c>
      <c r="AR6" s="228">
        <v>0</v>
      </c>
      <c r="AS6" s="228">
        <v>0</v>
      </c>
      <c r="AT6" s="228">
        <v>0</v>
      </c>
      <c r="AU6" s="228">
        <v>0</v>
      </c>
      <c r="AV6" s="228">
        <v>0</v>
      </c>
      <c r="AW6" s="512">
        <v>548000</v>
      </c>
      <c r="AX6" s="228">
        <v>0</v>
      </c>
      <c r="AY6" s="228">
        <v>0</v>
      </c>
      <c r="AZ6" s="228">
        <v>0</v>
      </c>
      <c r="BA6" s="228">
        <v>0</v>
      </c>
      <c r="BB6" s="228">
        <v>0</v>
      </c>
      <c r="BC6" s="228">
        <v>0</v>
      </c>
      <c r="BD6" s="228">
        <v>0</v>
      </c>
      <c r="BE6" s="228">
        <v>0</v>
      </c>
      <c r="BF6" s="228">
        <v>0</v>
      </c>
      <c r="BG6" s="21"/>
    </row>
    <row r="7" spans="1:59" ht="49.5" customHeight="1">
      <c r="A7" s="21">
        <v>2562</v>
      </c>
      <c r="B7" s="516">
        <f t="shared" ref="B7:B11" si="0">SUM(C7:BF7)</f>
        <v>100000000</v>
      </c>
      <c r="C7" s="228">
        <v>0</v>
      </c>
      <c r="D7" s="228">
        <v>0</v>
      </c>
      <c r="E7" s="228">
        <v>0</v>
      </c>
      <c r="F7" s="228">
        <v>0</v>
      </c>
      <c r="G7" s="228">
        <v>0</v>
      </c>
      <c r="H7" s="228">
        <v>0</v>
      </c>
      <c r="I7" s="228">
        <v>0</v>
      </c>
      <c r="J7" s="228">
        <v>0</v>
      </c>
      <c r="K7" s="228">
        <v>0</v>
      </c>
      <c r="L7" s="228">
        <v>0</v>
      </c>
      <c r="M7" s="228">
        <v>0</v>
      </c>
      <c r="N7" s="228">
        <v>0</v>
      </c>
      <c r="O7" s="228">
        <v>0</v>
      </c>
      <c r="P7" s="228">
        <v>0</v>
      </c>
      <c r="Q7" s="228">
        <v>0</v>
      </c>
      <c r="R7" s="228">
        <v>0</v>
      </c>
      <c r="S7" s="228">
        <v>0</v>
      </c>
      <c r="T7" s="228">
        <v>0</v>
      </c>
      <c r="U7" s="228">
        <v>0</v>
      </c>
      <c r="V7" s="228">
        <v>0</v>
      </c>
      <c r="W7" s="228">
        <v>0</v>
      </c>
      <c r="X7" s="228">
        <v>0</v>
      </c>
      <c r="Y7" s="228">
        <v>0</v>
      </c>
      <c r="Z7" s="228">
        <v>0</v>
      </c>
      <c r="AA7" s="228">
        <v>0</v>
      </c>
      <c r="AB7" s="228">
        <v>0</v>
      </c>
      <c r="AC7" s="228">
        <v>0</v>
      </c>
      <c r="AD7" s="228">
        <v>0</v>
      </c>
      <c r="AE7" s="228">
        <v>0</v>
      </c>
      <c r="AF7" s="228">
        <v>0</v>
      </c>
      <c r="AG7" s="228">
        <v>0</v>
      </c>
      <c r="AH7" s="228">
        <v>0</v>
      </c>
      <c r="AI7" s="228">
        <v>0</v>
      </c>
      <c r="AJ7" s="228">
        <v>0</v>
      </c>
      <c r="AK7" s="228">
        <v>0</v>
      </c>
      <c r="AL7" s="237">
        <v>100000000</v>
      </c>
      <c r="AM7" s="228">
        <v>0</v>
      </c>
      <c r="AN7" s="228">
        <v>0</v>
      </c>
      <c r="AO7" s="228">
        <v>0</v>
      </c>
      <c r="AP7" s="228">
        <v>0</v>
      </c>
      <c r="AQ7" s="228">
        <v>0</v>
      </c>
      <c r="AR7" s="228">
        <v>0</v>
      </c>
      <c r="AS7" s="228">
        <v>0</v>
      </c>
      <c r="AT7" s="228">
        <v>0</v>
      </c>
      <c r="AU7" s="228">
        <v>0</v>
      </c>
      <c r="AV7" s="228">
        <v>0</v>
      </c>
      <c r="AW7" s="228">
        <v>0</v>
      </c>
      <c r="AX7" s="228">
        <v>0</v>
      </c>
      <c r="AY7" s="228">
        <v>0</v>
      </c>
      <c r="AZ7" s="228">
        <v>0</v>
      </c>
      <c r="BA7" s="228">
        <v>0</v>
      </c>
      <c r="BB7" s="228">
        <v>0</v>
      </c>
      <c r="BC7" s="228">
        <v>0</v>
      </c>
      <c r="BD7" s="228">
        <v>0</v>
      </c>
      <c r="BE7" s="228">
        <v>0</v>
      </c>
      <c r="BF7" s="228">
        <v>0</v>
      </c>
      <c r="BG7" s="21"/>
    </row>
    <row r="8" spans="1:59" ht="39" customHeight="1">
      <c r="A8" s="21">
        <v>2563</v>
      </c>
      <c r="B8" s="516">
        <f t="shared" si="0"/>
        <v>115511100</v>
      </c>
      <c r="C8" s="237">
        <v>58200000</v>
      </c>
      <c r="D8" s="228">
        <v>0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28">
        <v>0</v>
      </c>
      <c r="P8" s="228">
        <v>0</v>
      </c>
      <c r="Q8" s="228">
        <v>0</v>
      </c>
      <c r="R8" s="228">
        <v>0</v>
      </c>
      <c r="S8" s="228">
        <v>0</v>
      </c>
      <c r="T8" s="228">
        <v>0</v>
      </c>
      <c r="U8" s="228">
        <v>0</v>
      </c>
      <c r="V8" s="228">
        <v>0</v>
      </c>
      <c r="W8" s="228">
        <v>0</v>
      </c>
      <c r="X8" s="228">
        <v>0</v>
      </c>
      <c r="Y8" s="228">
        <v>0</v>
      </c>
      <c r="Z8" s="228">
        <v>0</v>
      </c>
      <c r="AA8" s="228">
        <v>0</v>
      </c>
      <c r="AB8" s="228">
        <v>0</v>
      </c>
      <c r="AC8" s="228"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v>0</v>
      </c>
      <c r="AR8" s="228">
        <v>0</v>
      </c>
      <c r="AS8" s="228">
        <v>0</v>
      </c>
      <c r="AT8" s="468">
        <v>57311100</v>
      </c>
      <c r="AU8" s="228">
        <v>0</v>
      </c>
      <c r="AV8" s="228">
        <v>0</v>
      </c>
      <c r="AW8" s="228">
        <v>0</v>
      </c>
      <c r="AX8" s="228">
        <v>0</v>
      </c>
      <c r="AY8" s="228"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v>0</v>
      </c>
      <c r="BG8" s="21"/>
    </row>
    <row r="9" spans="1:59" ht="39" customHeight="1">
      <c r="A9" s="21">
        <v>2564</v>
      </c>
      <c r="B9" s="516">
        <f t="shared" si="0"/>
        <v>86577300</v>
      </c>
      <c r="C9" s="228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  <c r="Q9" s="228">
        <v>0</v>
      </c>
      <c r="R9" s="228">
        <v>0</v>
      </c>
      <c r="S9" s="228">
        <v>0</v>
      </c>
      <c r="T9" s="237">
        <v>86577300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0</v>
      </c>
      <c r="AB9" s="228">
        <v>0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v>0</v>
      </c>
      <c r="AY9" s="228"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v>0</v>
      </c>
      <c r="BG9" s="21"/>
    </row>
    <row r="10" spans="1:59" ht="39" customHeight="1">
      <c r="A10" s="24">
        <v>2565</v>
      </c>
      <c r="B10" s="1121">
        <f t="shared" si="0"/>
        <v>40000000</v>
      </c>
      <c r="C10" s="228">
        <v>0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0</v>
      </c>
      <c r="S10" s="228">
        <v>0</v>
      </c>
      <c r="T10" s="237">
        <v>40000000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v>0</v>
      </c>
      <c r="BG10" s="22"/>
    </row>
    <row r="11" spans="1:59" ht="48.6" customHeight="1">
      <c r="A11" s="38" t="s">
        <v>8</v>
      </c>
      <c r="B11" s="1122">
        <f t="shared" si="0"/>
        <v>437068800</v>
      </c>
      <c r="C11" s="238">
        <f>SUM(C6:C10)</f>
        <v>58200000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38">
        <f t="shared" ref="Q11:W11" si="1">SUM(Q6:Q10)</f>
        <v>0</v>
      </c>
      <c r="R11" s="238">
        <f t="shared" si="1"/>
        <v>193437600</v>
      </c>
      <c r="S11" s="238">
        <f t="shared" si="1"/>
        <v>0</v>
      </c>
      <c r="T11" s="238">
        <f t="shared" si="1"/>
        <v>126577300</v>
      </c>
      <c r="U11" s="238">
        <f t="shared" si="1"/>
        <v>0</v>
      </c>
      <c r="V11" s="238">
        <f t="shared" si="1"/>
        <v>0</v>
      </c>
      <c r="W11" s="238">
        <f t="shared" si="1"/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38">
        <f t="shared" ref="AI11:AJ11" si="2">SUM(AI6:AI10)</f>
        <v>497400</v>
      </c>
      <c r="AJ11" s="236">
        <f t="shared" si="2"/>
        <v>497400</v>
      </c>
      <c r="AK11" s="24"/>
      <c r="AL11" s="24"/>
      <c r="AM11" s="24"/>
      <c r="AN11" s="24"/>
      <c r="AO11" s="24"/>
      <c r="AP11" s="24"/>
      <c r="AQ11" s="24"/>
      <c r="AR11" s="24"/>
      <c r="AS11" s="513">
        <f t="shared" ref="AS11:AX11" si="3">SUM(AS6:AS10)</f>
        <v>0</v>
      </c>
      <c r="AT11" s="513">
        <f t="shared" si="3"/>
        <v>57311100</v>
      </c>
      <c r="AU11" s="513">
        <f t="shared" si="3"/>
        <v>0</v>
      </c>
      <c r="AV11" s="513">
        <f t="shared" si="3"/>
        <v>0</v>
      </c>
      <c r="AW11" s="513">
        <f t="shared" si="3"/>
        <v>548000</v>
      </c>
      <c r="AX11" s="513">
        <f t="shared" si="3"/>
        <v>0</v>
      </c>
      <c r="AY11" s="228"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v>0</v>
      </c>
      <c r="BG11" s="25"/>
    </row>
    <row r="12" spans="1:59">
      <c r="Q12" s="514">
        <f t="shared" ref="Q12:W12" si="4">SUM(Q6:Q11)</f>
        <v>0</v>
      </c>
      <c r="R12" s="515">
        <f t="shared" si="4"/>
        <v>386875200</v>
      </c>
      <c r="S12" s="514">
        <f t="shared" si="4"/>
        <v>0</v>
      </c>
      <c r="T12" s="514">
        <f t="shared" si="4"/>
        <v>253154600</v>
      </c>
      <c r="U12" s="514">
        <f t="shared" si="4"/>
        <v>0</v>
      </c>
      <c r="V12" s="514">
        <f t="shared" si="4"/>
        <v>0</v>
      </c>
      <c r="W12" s="514">
        <f t="shared" si="4"/>
        <v>0</v>
      </c>
    </row>
    <row r="13" spans="1:59">
      <c r="A13" s="1439" t="s">
        <v>1051</v>
      </c>
      <c r="B13" s="1439"/>
      <c r="C13" s="1439"/>
      <c r="D13" s="1439"/>
    </row>
    <row r="14" spans="1:59">
      <c r="A14" s="25" t="s">
        <v>37</v>
      </c>
      <c r="B14" s="1409" t="s">
        <v>929</v>
      </c>
      <c r="C14" s="1409"/>
      <c r="D14" s="1409"/>
      <c r="E14" s="1409"/>
      <c r="F14" s="1409"/>
      <c r="G14" s="1409"/>
      <c r="H14" s="1409"/>
      <c r="I14" s="1409" t="s">
        <v>1052</v>
      </c>
      <c r="J14" s="1409"/>
      <c r="K14" s="1409"/>
      <c r="L14" s="1409"/>
      <c r="M14" s="1409"/>
      <c r="N14" s="1409"/>
      <c r="O14" s="1409"/>
      <c r="P14" s="1409"/>
      <c r="Q14" s="1409" t="s">
        <v>1053</v>
      </c>
      <c r="R14" s="1409"/>
      <c r="S14" s="1409"/>
      <c r="T14" s="1409"/>
      <c r="U14" s="1409"/>
      <c r="V14" s="1409"/>
      <c r="W14" s="1409"/>
      <c r="X14" s="1409"/>
      <c r="Y14" s="1409" t="s">
        <v>43</v>
      </c>
      <c r="Z14" s="1409"/>
      <c r="AA14" s="1409"/>
      <c r="AB14" s="1409"/>
      <c r="AC14" s="1409"/>
      <c r="AD14" s="1409"/>
    </row>
    <row r="15" spans="1:59">
      <c r="A15" s="25"/>
      <c r="B15" s="1409"/>
      <c r="C15" s="1409"/>
      <c r="D15" s="1409"/>
      <c r="E15" s="1409"/>
      <c r="F15" s="1409"/>
      <c r="G15" s="1409"/>
      <c r="H15" s="1409"/>
      <c r="I15" s="1409"/>
      <c r="J15" s="1409"/>
      <c r="K15" s="1409"/>
      <c r="L15" s="1409"/>
      <c r="M15" s="1409"/>
      <c r="N15" s="1409"/>
      <c r="O15" s="1409"/>
      <c r="P15" s="1409"/>
      <c r="Q15" s="1409"/>
      <c r="R15" s="1409"/>
      <c r="S15" s="1409"/>
      <c r="T15" s="1409"/>
      <c r="U15" s="1409"/>
      <c r="V15" s="1409"/>
      <c r="W15" s="1409"/>
      <c r="X15" s="1409"/>
      <c r="Y15" s="1409"/>
      <c r="Z15" s="1409"/>
      <c r="AA15" s="1409"/>
      <c r="AB15" s="1409"/>
      <c r="AC15" s="1409"/>
      <c r="AD15" s="1409"/>
    </row>
    <row r="16" spans="1:59">
      <c r="A16" s="25"/>
      <c r="B16" s="1409"/>
      <c r="C16" s="1409"/>
      <c r="D16" s="1409"/>
      <c r="E16" s="1409"/>
      <c r="F16" s="1409"/>
      <c r="G16" s="1409"/>
      <c r="H16" s="1409"/>
      <c r="I16" s="1409"/>
      <c r="J16" s="1409"/>
      <c r="K16" s="1409"/>
      <c r="L16" s="1409"/>
      <c r="M16" s="1409"/>
      <c r="N16" s="1409"/>
      <c r="O16" s="1409"/>
      <c r="P16" s="1409"/>
      <c r="Q16" s="1409"/>
      <c r="R16" s="1409"/>
      <c r="S16" s="1409"/>
      <c r="T16" s="1409"/>
      <c r="U16" s="1409"/>
      <c r="V16" s="1409"/>
      <c r="W16" s="1409"/>
      <c r="X16" s="1409"/>
      <c r="Y16" s="1409"/>
      <c r="Z16" s="1409"/>
      <c r="AA16" s="1409"/>
      <c r="AB16" s="1409"/>
      <c r="AC16" s="1409"/>
      <c r="AD16" s="1409"/>
    </row>
    <row r="17" spans="1:30">
      <c r="A17" s="25"/>
      <c r="B17" s="1409"/>
      <c r="C17" s="1409"/>
      <c r="D17" s="1409"/>
      <c r="E17" s="1409"/>
      <c r="F17" s="1409"/>
      <c r="G17" s="1409"/>
      <c r="H17" s="1409"/>
      <c r="I17" s="1409"/>
      <c r="J17" s="1409"/>
      <c r="K17" s="1409"/>
      <c r="L17" s="1409"/>
      <c r="M17" s="1409"/>
      <c r="N17" s="1409"/>
      <c r="O17" s="1409"/>
      <c r="P17" s="1409"/>
      <c r="Q17" s="1409"/>
      <c r="R17" s="1409"/>
      <c r="S17" s="1409"/>
      <c r="T17" s="1409"/>
      <c r="U17" s="1409"/>
      <c r="V17" s="1409"/>
      <c r="W17" s="1409"/>
      <c r="X17" s="1409"/>
      <c r="Y17" s="1409"/>
      <c r="Z17" s="1409"/>
      <c r="AA17" s="1409"/>
      <c r="AB17" s="1409"/>
      <c r="AC17" s="1409"/>
      <c r="AD17" s="1409"/>
    </row>
    <row r="18" spans="1:30">
      <c r="A18" s="25"/>
      <c r="B18" s="1409"/>
      <c r="C18" s="1409"/>
      <c r="D18" s="1409"/>
      <c r="E18" s="1409"/>
      <c r="F18" s="1409"/>
      <c r="G18" s="1409"/>
      <c r="H18" s="1409"/>
      <c r="I18" s="1409"/>
      <c r="J18" s="1409"/>
      <c r="K18" s="1409"/>
      <c r="L18" s="1409"/>
      <c r="M18" s="1409"/>
      <c r="N18" s="1409"/>
      <c r="O18" s="1409"/>
      <c r="P18" s="1409"/>
      <c r="Q18" s="1409"/>
      <c r="R18" s="1409"/>
      <c r="S18" s="1409"/>
      <c r="T18" s="1409"/>
      <c r="U18" s="1409"/>
      <c r="V18" s="1409"/>
      <c r="W18" s="1409"/>
      <c r="X18" s="1409"/>
      <c r="Y18" s="1409"/>
      <c r="Z18" s="1409"/>
      <c r="AA18" s="1409"/>
      <c r="AB18" s="1409"/>
      <c r="AC18" s="1409"/>
      <c r="AD18" s="1409"/>
    </row>
    <row r="19" spans="1:30">
      <c r="A19" s="25"/>
      <c r="B19" s="1409"/>
      <c r="C19" s="1409"/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</row>
    <row r="20" spans="1:30">
      <c r="A20" s="25"/>
      <c r="B20" s="1409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</row>
    <row r="21" spans="1:30">
      <c r="A21" s="25"/>
      <c r="B21" s="1409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1409"/>
      <c r="Q21" s="1409"/>
      <c r="R21" s="1409"/>
      <c r="S21" s="1409"/>
      <c r="T21" s="1409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</row>
    <row r="22" spans="1:30">
      <c r="A22" s="25"/>
      <c r="B22" s="1409"/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09"/>
      <c r="AA22" s="1409"/>
      <c r="AB22" s="1409"/>
      <c r="AC22" s="1409"/>
      <c r="AD22" s="1409"/>
    </row>
    <row r="23" spans="1:30">
      <c r="A23" s="25"/>
      <c r="B23" s="1409"/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09"/>
      <c r="AA23" s="1409"/>
      <c r="AB23" s="1409"/>
      <c r="AC23" s="1409"/>
      <c r="AD23" s="1409"/>
    </row>
    <row r="24" spans="1:30">
      <c r="A24" s="25"/>
      <c r="B24" s="1409"/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09"/>
      <c r="AA24" s="1409"/>
      <c r="AB24" s="1409"/>
      <c r="AC24" s="1409"/>
      <c r="AD24" s="1409"/>
    </row>
    <row r="25" spans="1:30">
      <c r="A25" s="25"/>
      <c r="B25" s="1409"/>
      <c r="C25" s="1409"/>
      <c r="D25" s="1409"/>
      <c r="E25" s="1409"/>
      <c r="F25" s="1409"/>
      <c r="G25" s="1409"/>
      <c r="H25" s="1409"/>
      <c r="I25" s="1409"/>
      <c r="J25" s="1409"/>
      <c r="K25" s="1409"/>
      <c r="L25" s="1409"/>
      <c r="M25" s="1409"/>
      <c r="N25" s="1409"/>
      <c r="O25" s="1409"/>
      <c r="P25" s="1409"/>
      <c r="Q25" s="1409"/>
      <c r="R25" s="1409"/>
      <c r="S25" s="1409"/>
      <c r="T25" s="1409"/>
      <c r="U25" s="1409"/>
      <c r="V25" s="1409"/>
      <c r="W25" s="1409"/>
      <c r="X25" s="1409"/>
      <c r="Y25" s="1409"/>
      <c r="Z25" s="1409"/>
      <c r="AA25" s="1409"/>
      <c r="AB25" s="1409"/>
      <c r="AC25" s="1409"/>
      <c r="AD25" s="1409"/>
    </row>
    <row r="26" spans="1:30">
      <c r="A26" s="25"/>
      <c r="B26" s="1409"/>
      <c r="C26" s="1409"/>
      <c r="D26" s="1409"/>
      <c r="E26" s="1409"/>
      <c r="F26" s="1409"/>
      <c r="G26" s="1409"/>
      <c r="H26" s="1409"/>
      <c r="I26" s="1409"/>
      <c r="J26" s="1409"/>
      <c r="K26" s="1409"/>
      <c r="L26" s="1409"/>
      <c r="M26" s="1409"/>
      <c r="N26" s="1409"/>
      <c r="O26" s="1409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09"/>
      <c r="AB26" s="1409"/>
      <c r="AC26" s="1409"/>
      <c r="AD26" s="1409"/>
    </row>
    <row r="27" spans="1:30">
      <c r="A27" s="25"/>
      <c r="B27" s="1409"/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</row>
    <row r="28" spans="1:30">
      <c r="A28" s="25"/>
      <c r="B28" s="1409"/>
      <c r="C28" s="1409"/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</row>
    <row r="29" spans="1:30">
      <c r="A29" s="25"/>
      <c r="B29" s="140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</row>
    <row r="30" spans="1:30">
      <c r="A30" s="25"/>
      <c r="B30" s="1409"/>
      <c r="C30" s="1409"/>
      <c r="D30" s="1409"/>
      <c r="E30" s="1409"/>
      <c r="F30" s="1409"/>
      <c r="G30" s="1409"/>
      <c r="H30" s="1409"/>
      <c r="I30" s="1409"/>
      <c r="J30" s="1409"/>
      <c r="K30" s="1409"/>
      <c r="L30" s="1409"/>
      <c r="M30" s="1409"/>
      <c r="N30" s="1409"/>
      <c r="O30" s="1409"/>
      <c r="P30" s="1409"/>
      <c r="Q30" s="1409"/>
      <c r="R30" s="1409"/>
      <c r="S30" s="1409"/>
      <c r="T30" s="1409"/>
      <c r="U30" s="1409"/>
      <c r="V30" s="1409"/>
      <c r="W30" s="1409"/>
      <c r="X30" s="1409"/>
      <c r="Y30" s="1409"/>
      <c r="Z30" s="1409"/>
      <c r="AA30" s="1409"/>
      <c r="AB30" s="1409"/>
      <c r="AC30" s="1409"/>
      <c r="AD30" s="1409"/>
    </row>
    <row r="31" spans="1:30">
      <c r="A31" s="25"/>
      <c r="B31" s="1409"/>
      <c r="C31" s="1409"/>
      <c r="D31" s="1409"/>
      <c r="E31" s="1409"/>
      <c r="F31" s="1409"/>
      <c r="G31" s="1409"/>
      <c r="H31" s="1409"/>
      <c r="I31" s="1409"/>
      <c r="J31" s="1409"/>
      <c r="K31" s="1409"/>
      <c r="L31" s="1409"/>
      <c r="M31" s="1409"/>
      <c r="N31" s="1409"/>
      <c r="O31" s="1409"/>
      <c r="P31" s="1409"/>
      <c r="Q31" s="1409"/>
      <c r="R31" s="1409"/>
      <c r="S31" s="1409"/>
      <c r="T31" s="1409"/>
      <c r="U31" s="1409"/>
      <c r="V31" s="1409"/>
      <c r="W31" s="1409"/>
      <c r="X31" s="1409"/>
      <c r="Y31" s="1409"/>
      <c r="Z31" s="1409"/>
      <c r="AA31" s="1409"/>
      <c r="AB31" s="1409"/>
      <c r="AC31" s="1409"/>
      <c r="AD31" s="1409"/>
    </row>
    <row r="32" spans="1:30">
      <c r="A32" s="25"/>
      <c r="B32" s="1409"/>
      <c r="C32" s="1409"/>
      <c r="D32" s="1409"/>
      <c r="E32" s="1409"/>
      <c r="F32" s="1409"/>
      <c r="G32" s="1409"/>
      <c r="H32" s="1409"/>
      <c r="I32" s="1409"/>
      <c r="J32" s="1409"/>
      <c r="K32" s="1409"/>
      <c r="L32" s="1409"/>
      <c r="M32" s="1409"/>
      <c r="N32" s="1409"/>
      <c r="O32" s="1409"/>
      <c r="P32" s="1409"/>
      <c r="Q32" s="1409"/>
      <c r="R32" s="1409"/>
      <c r="S32" s="1409"/>
      <c r="T32" s="1409"/>
      <c r="U32" s="1409"/>
      <c r="V32" s="1409"/>
      <c r="W32" s="1409"/>
      <c r="X32" s="1409"/>
      <c r="Y32" s="1409"/>
      <c r="Z32" s="1409"/>
      <c r="AA32" s="1409"/>
      <c r="AB32" s="1409"/>
      <c r="AC32" s="1409"/>
      <c r="AD32" s="1409"/>
    </row>
  </sheetData>
  <mergeCells count="86">
    <mergeCell ref="B31:H31"/>
    <mergeCell ref="I31:P31"/>
    <mergeCell ref="Q31:X31"/>
    <mergeCell ref="Y31:AD31"/>
    <mergeCell ref="B32:H32"/>
    <mergeCell ref="I32:P32"/>
    <mergeCell ref="Q32:X32"/>
    <mergeCell ref="Y32:AD32"/>
    <mergeCell ref="B29:H29"/>
    <mergeCell ref="I29:P29"/>
    <mergeCell ref="Q29:X29"/>
    <mergeCell ref="Y29:AD29"/>
    <mergeCell ref="B30:H30"/>
    <mergeCell ref="I30:P30"/>
    <mergeCell ref="Q30:X30"/>
    <mergeCell ref="Y30:AD30"/>
    <mergeCell ref="B27:H27"/>
    <mergeCell ref="I27:P27"/>
    <mergeCell ref="Q27:X27"/>
    <mergeCell ref="Y27:AD27"/>
    <mergeCell ref="B28:H28"/>
    <mergeCell ref="I28:P28"/>
    <mergeCell ref="Q28:X28"/>
    <mergeCell ref="Y28:AD28"/>
    <mergeCell ref="B25:H25"/>
    <mergeCell ref="I25:P25"/>
    <mergeCell ref="Q25:X25"/>
    <mergeCell ref="Y25:AD25"/>
    <mergeCell ref="B26:H26"/>
    <mergeCell ref="I26:P26"/>
    <mergeCell ref="Q26:X26"/>
    <mergeCell ref="Y26:AD26"/>
    <mergeCell ref="B23:H23"/>
    <mergeCell ref="I23:P23"/>
    <mergeCell ref="Q23:X23"/>
    <mergeCell ref="Y23:AD23"/>
    <mergeCell ref="B24:H24"/>
    <mergeCell ref="I24:P24"/>
    <mergeCell ref="Q24:X24"/>
    <mergeCell ref="Y24:AD24"/>
    <mergeCell ref="B21:H21"/>
    <mergeCell ref="I21:P21"/>
    <mergeCell ref="Q21:X21"/>
    <mergeCell ref="Y21:AD21"/>
    <mergeCell ref="B22:H22"/>
    <mergeCell ref="I22:P22"/>
    <mergeCell ref="Q22:X22"/>
    <mergeCell ref="Y22:AD22"/>
    <mergeCell ref="B19:H19"/>
    <mergeCell ref="I19:P19"/>
    <mergeCell ref="Q19:X19"/>
    <mergeCell ref="Y19:AD19"/>
    <mergeCell ref="B20:H20"/>
    <mergeCell ref="I20:P20"/>
    <mergeCell ref="Q20:X20"/>
    <mergeCell ref="Y20:AD20"/>
    <mergeCell ref="B17:H17"/>
    <mergeCell ref="I17:P17"/>
    <mergeCell ref="Q17:X17"/>
    <mergeCell ref="Y17:AD17"/>
    <mergeCell ref="B18:H18"/>
    <mergeCell ref="I18:P18"/>
    <mergeCell ref="Q18:X18"/>
    <mergeCell ref="Y18:AD18"/>
    <mergeCell ref="B15:H15"/>
    <mergeCell ref="I15:P15"/>
    <mergeCell ref="Q15:X15"/>
    <mergeCell ref="Y15:AD15"/>
    <mergeCell ref="B16:H16"/>
    <mergeCell ref="I16:P16"/>
    <mergeCell ref="Q16:X16"/>
    <mergeCell ref="Y16:AD16"/>
    <mergeCell ref="A13:D13"/>
    <mergeCell ref="B14:H14"/>
    <mergeCell ref="I14:P14"/>
    <mergeCell ref="Q14:X14"/>
    <mergeCell ref="Y14:AD14"/>
    <mergeCell ref="AL4:AR4"/>
    <mergeCell ref="AS4:AY4"/>
    <mergeCell ref="AZ4:BF4"/>
    <mergeCell ref="BG4:BG5"/>
    <mergeCell ref="C4:I4"/>
    <mergeCell ref="J4:P4"/>
    <mergeCell ref="Q4:W4"/>
    <mergeCell ref="X4:AD4"/>
    <mergeCell ref="AE4:AK4"/>
  </mergeCells>
  <pageMargins left="0.25" right="0.25" top="0.75" bottom="0.7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6"/>
  <sheetViews>
    <sheetView workbookViewId="0">
      <selection activeCell="H26" sqref="H25:H26"/>
    </sheetView>
  </sheetViews>
  <sheetFormatPr defaultColWidth="7" defaultRowHeight="18.75"/>
  <cols>
    <col min="1" max="1" width="4" style="141" bestFit="1" customWidth="1"/>
    <col min="2" max="2" width="5" style="769" customWidth="1"/>
    <col min="3" max="3" width="27.625" style="141" customWidth="1"/>
    <col min="4" max="4" width="7.75" style="770" bestFit="1" customWidth="1"/>
    <col min="5" max="5" width="10.875" style="770" bestFit="1" customWidth="1"/>
    <col min="6" max="6" width="11.375" style="762" customWidth="1"/>
    <col min="7" max="11" width="8.25" style="762" bestFit="1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13">
      <c r="A1" s="1450" t="s">
        <v>909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71"/>
    </row>
    <row r="2" spans="1:13">
      <c r="A2" s="917" t="s">
        <v>0</v>
      </c>
      <c r="B2" s="917" t="s">
        <v>1</v>
      </c>
      <c r="C2" s="876" t="s">
        <v>884</v>
      </c>
      <c r="D2" s="876" t="s">
        <v>885</v>
      </c>
      <c r="E2" s="876" t="s">
        <v>886</v>
      </c>
      <c r="F2" s="876" t="s">
        <v>887</v>
      </c>
      <c r="G2" s="876" t="s">
        <v>888</v>
      </c>
      <c r="H2" s="876" t="s">
        <v>889</v>
      </c>
      <c r="I2" s="876" t="s">
        <v>171</v>
      </c>
      <c r="J2" s="876" t="s">
        <v>528</v>
      </c>
      <c r="K2" s="876" t="s">
        <v>517</v>
      </c>
      <c r="L2" s="876" t="s">
        <v>890</v>
      </c>
      <c r="M2" s="1378" t="s">
        <v>8</v>
      </c>
    </row>
    <row r="3" spans="1:13">
      <c r="A3" s="1123"/>
      <c r="B3" s="1123" t="s">
        <v>16</v>
      </c>
      <c r="C3" s="1124" t="s">
        <v>3</v>
      </c>
      <c r="D3" s="921" t="s">
        <v>5</v>
      </c>
      <c r="E3" s="921" t="s">
        <v>5</v>
      </c>
      <c r="F3" s="921" t="s">
        <v>5</v>
      </c>
      <c r="G3" s="921" t="s">
        <v>181</v>
      </c>
      <c r="H3" s="921" t="s">
        <v>181</v>
      </c>
      <c r="I3" s="921" t="s">
        <v>173</v>
      </c>
      <c r="J3" s="921" t="s">
        <v>173</v>
      </c>
      <c r="K3" s="921" t="s">
        <v>173</v>
      </c>
      <c r="L3" s="921" t="s">
        <v>173</v>
      </c>
      <c r="M3" s="1378"/>
    </row>
    <row r="4" spans="1:13">
      <c r="A4" s="470">
        <v>2561</v>
      </c>
      <c r="B4" s="470"/>
      <c r="C4" s="578">
        <v>193437600</v>
      </c>
      <c r="D4" s="884"/>
      <c r="E4" s="884"/>
      <c r="F4" s="884"/>
      <c r="G4" s="884"/>
      <c r="H4" s="884"/>
      <c r="I4" s="884"/>
      <c r="J4" s="884"/>
      <c r="K4" s="884"/>
      <c r="L4" s="884"/>
      <c r="M4" s="578">
        <f>SUM(C4:L4)</f>
        <v>193437600</v>
      </c>
    </row>
    <row r="5" spans="1:13">
      <c r="A5" s="470">
        <v>2562</v>
      </c>
      <c r="B5" s="470"/>
      <c r="C5" s="470"/>
      <c r="D5" s="884"/>
      <c r="E5" s="884"/>
      <c r="F5" s="884"/>
      <c r="G5" s="884"/>
      <c r="H5" s="884"/>
      <c r="I5" s="884"/>
      <c r="J5" s="884"/>
      <c r="K5" s="884"/>
      <c r="L5" s="884"/>
      <c r="M5" s="578">
        <f t="shared" ref="M5:M8" si="0">SUM(C5:L5)</f>
        <v>0</v>
      </c>
    </row>
    <row r="6" spans="1:13">
      <c r="A6" s="470">
        <v>2563</v>
      </c>
      <c r="B6" s="470"/>
      <c r="C6" s="470"/>
      <c r="D6" s="884"/>
      <c r="E6" s="884"/>
      <c r="F6" s="884"/>
      <c r="G6" s="884"/>
      <c r="H6" s="884"/>
      <c r="I6" s="884"/>
      <c r="J6" s="884"/>
      <c r="K6" s="884"/>
      <c r="L6" s="884"/>
      <c r="M6" s="578">
        <f t="shared" si="0"/>
        <v>0</v>
      </c>
    </row>
    <row r="7" spans="1:13">
      <c r="A7" s="470">
        <v>2564</v>
      </c>
      <c r="B7" s="470"/>
      <c r="C7" s="470"/>
      <c r="D7" s="884"/>
      <c r="E7" s="1091">
        <v>86577300</v>
      </c>
      <c r="F7" s="884"/>
      <c r="G7" s="884"/>
      <c r="H7" s="884"/>
      <c r="I7" s="884"/>
      <c r="J7" s="884"/>
      <c r="K7" s="884"/>
      <c r="L7" s="884"/>
      <c r="M7" s="578">
        <f t="shared" si="0"/>
        <v>86577300</v>
      </c>
    </row>
    <row r="8" spans="1:13">
      <c r="A8" s="470">
        <v>2565</v>
      </c>
      <c r="B8" s="470"/>
      <c r="C8" s="470"/>
      <c r="D8" s="884"/>
      <c r="E8" s="884"/>
      <c r="F8" s="1091">
        <v>40000000</v>
      </c>
      <c r="G8" s="884"/>
      <c r="H8" s="884"/>
      <c r="I8" s="884"/>
      <c r="J8" s="884"/>
      <c r="K8" s="884"/>
      <c r="L8" s="884"/>
      <c r="M8" s="578">
        <f t="shared" si="0"/>
        <v>40000000</v>
      </c>
    </row>
    <row r="9" spans="1:13">
      <c r="A9" s="1058" t="s">
        <v>8</v>
      </c>
      <c r="B9" s="1038"/>
      <c r="C9" s="1125">
        <f>SUM(C4:C8)</f>
        <v>193437600</v>
      </c>
      <c r="D9" s="1125">
        <f t="shared" ref="D9:M9" si="1">SUM(D4:D8)</f>
        <v>0</v>
      </c>
      <c r="E9" s="1125">
        <f t="shared" si="1"/>
        <v>86577300</v>
      </c>
      <c r="F9" s="1125">
        <f t="shared" si="1"/>
        <v>40000000</v>
      </c>
      <c r="G9" s="1125">
        <f t="shared" si="1"/>
        <v>0</v>
      </c>
      <c r="H9" s="1125">
        <f t="shared" si="1"/>
        <v>0</v>
      </c>
      <c r="I9" s="1125">
        <f t="shared" si="1"/>
        <v>0</v>
      </c>
      <c r="J9" s="1125">
        <f t="shared" si="1"/>
        <v>0</v>
      </c>
      <c r="K9" s="1125">
        <f t="shared" si="1"/>
        <v>0</v>
      </c>
      <c r="L9" s="1125">
        <f t="shared" si="1"/>
        <v>0</v>
      </c>
      <c r="M9" s="1125">
        <f t="shared" si="1"/>
        <v>320014900</v>
      </c>
    </row>
    <row r="10" spans="1:13">
      <c r="A10" s="71"/>
      <c r="B10" s="71"/>
      <c r="C10" s="71"/>
      <c r="D10" s="475"/>
      <c r="E10" s="475"/>
      <c r="F10" s="475"/>
      <c r="G10" s="475"/>
      <c r="H10" s="475"/>
      <c r="I10" s="475"/>
      <c r="J10" s="475"/>
      <c r="K10" s="475"/>
      <c r="L10" s="475"/>
      <c r="M10" s="71"/>
    </row>
    <row r="11" spans="1:13">
      <c r="A11" s="874" t="s">
        <v>1057</v>
      </c>
      <c r="B11" s="886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71"/>
    </row>
    <row r="12" spans="1:13">
      <c r="A12" s="1451" t="s">
        <v>1058</v>
      </c>
      <c r="B12" s="1451"/>
      <c r="C12" s="1451"/>
      <c r="D12" s="1451"/>
      <c r="E12" s="1451"/>
      <c r="F12" s="1451"/>
      <c r="G12" s="1451"/>
      <c r="H12" s="1451"/>
      <c r="I12" s="886"/>
      <c r="J12" s="886"/>
      <c r="K12" s="886"/>
      <c r="L12" s="886"/>
      <c r="M12" s="71"/>
    </row>
    <row r="13" spans="1:13">
      <c r="A13" s="1126" t="s">
        <v>884</v>
      </c>
      <c r="B13" s="71"/>
      <c r="C13" s="1126" t="s">
        <v>901</v>
      </c>
      <c r="D13" s="1126" t="s">
        <v>1059</v>
      </c>
      <c r="E13" s="56"/>
      <c r="F13" s="56"/>
      <c r="G13" s="56"/>
      <c r="H13" s="56"/>
      <c r="I13" s="56"/>
      <c r="J13" s="56"/>
      <c r="K13" s="56"/>
      <c r="L13" s="56"/>
      <c r="M13" s="71"/>
    </row>
    <row r="14" spans="1:13">
      <c r="A14" s="1126" t="s">
        <v>886</v>
      </c>
      <c r="B14" s="71"/>
      <c r="C14" s="1126" t="s">
        <v>904</v>
      </c>
      <c r="D14" s="57" t="s">
        <v>1060</v>
      </c>
      <c r="E14" s="56"/>
      <c r="F14" s="56"/>
      <c r="G14" s="56"/>
      <c r="H14" s="56"/>
      <c r="I14" s="56"/>
      <c r="J14" s="56"/>
      <c r="K14" s="56"/>
      <c r="L14" s="56"/>
      <c r="M14" s="71"/>
    </row>
    <row r="15" spans="1:13">
      <c r="A15" s="1126" t="s">
        <v>887</v>
      </c>
      <c r="B15" s="71"/>
      <c r="C15" s="1126" t="s">
        <v>905</v>
      </c>
      <c r="D15" s="1126" t="s">
        <v>1061</v>
      </c>
      <c r="E15" s="56"/>
      <c r="F15" s="56"/>
      <c r="G15" s="56"/>
      <c r="H15" s="56"/>
      <c r="I15" s="56"/>
      <c r="J15" s="56"/>
      <c r="K15" s="56"/>
      <c r="L15" s="56"/>
      <c r="M15" s="71"/>
    </row>
    <row r="16" spans="1:13">
      <c r="A16" s="71"/>
      <c r="B16" s="71"/>
      <c r="C16" s="71"/>
      <c r="D16" s="56"/>
      <c r="E16" s="56"/>
      <c r="F16" s="56"/>
      <c r="G16" s="56"/>
      <c r="H16" s="56"/>
      <c r="I16" s="56"/>
      <c r="J16" s="56"/>
      <c r="K16" s="56"/>
      <c r="L16" s="56"/>
      <c r="M16" s="71"/>
    </row>
  </sheetData>
  <mergeCells count="3">
    <mergeCell ref="A1:L1"/>
    <mergeCell ref="M2:M3"/>
    <mergeCell ref="A12:H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"/>
  <sheetViews>
    <sheetView topLeftCell="A7" workbookViewId="0">
      <selection activeCell="AC8" sqref="AC8"/>
    </sheetView>
  </sheetViews>
  <sheetFormatPr defaultColWidth="9" defaultRowHeight="18.75"/>
  <cols>
    <col min="1" max="1" width="5.875" style="8" customWidth="1"/>
    <col min="2" max="2" width="12.125" style="8" customWidth="1"/>
    <col min="3" max="58" width="2.375" style="8" customWidth="1"/>
    <col min="59" max="59" width="4.375" style="8" customWidth="1"/>
    <col min="60" max="64" width="2.625" style="8" customWidth="1"/>
    <col min="65" max="73" width="2.75" style="8" customWidth="1"/>
    <col min="74" max="74" width="3.375" style="8" customWidth="1"/>
    <col min="75" max="16384" width="9" style="8"/>
  </cols>
  <sheetData>
    <row r="1" spans="1:59" ht="30" customHeight="1">
      <c r="A1" s="3" t="s">
        <v>14</v>
      </c>
      <c r="B1" s="3"/>
    </row>
    <row r="2" spans="1:59" ht="30" customHeight="1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59" ht="18.75" customHeight="1"/>
    <row r="4" spans="1:59" s="3" customFormat="1" ht="41.25" customHeight="1">
      <c r="A4" s="15" t="s">
        <v>0</v>
      </c>
      <c r="B4" s="17" t="s">
        <v>1</v>
      </c>
      <c r="C4" s="1340" t="s">
        <v>17</v>
      </c>
      <c r="D4" s="1340"/>
      <c r="E4" s="1340"/>
      <c r="F4" s="1340"/>
      <c r="G4" s="1340"/>
      <c r="H4" s="1340"/>
      <c r="I4" s="1340"/>
      <c r="J4" s="1340" t="s">
        <v>18</v>
      </c>
      <c r="K4" s="1340"/>
      <c r="L4" s="1340"/>
      <c r="M4" s="1340"/>
      <c r="N4" s="1340"/>
      <c r="O4" s="1340"/>
      <c r="P4" s="1340"/>
      <c r="Q4" s="1340" t="s">
        <v>19</v>
      </c>
      <c r="R4" s="1340"/>
      <c r="S4" s="1340"/>
      <c r="T4" s="1340"/>
      <c r="U4" s="1340"/>
      <c r="V4" s="1340"/>
      <c r="W4" s="1340"/>
      <c r="X4" s="1340" t="s">
        <v>20</v>
      </c>
      <c r="Y4" s="1340"/>
      <c r="Z4" s="1340"/>
      <c r="AA4" s="1340"/>
      <c r="AB4" s="1340"/>
      <c r="AC4" s="1340"/>
      <c r="AD4" s="1340"/>
      <c r="AE4" s="1340" t="s">
        <v>21</v>
      </c>
      <c r="AF4" s="1340"/>
      <c r="AG4" s="1340"/>
      <c r="AH4" s="1340"/>
      <c r="AI4" s="1340"/>
      <c r="AJ4" s="1340"/>
      <c r="AK4" s="1340"/>
      <c r="AL4" s="1340" t="s">
        <v>22</v>
      </c>
      <c r="AM4" s="1340"/>
      <c r="AN4" s="1340"/>
      <c r="AO4" s="1340"/>
      <c r="AP4" s="1340"/>
      <c r="AQ4" s="1340"/>
      <c r="AR4" s="1340"/>
      <c r="AS4" s="1340" t="s">
        <v>23</v>
      </c>
      <c r="AT4" s="1340"/>
      <c r="AU4" s="1340"/>
      <c r="AV4" s="1340"/>
      <c r="AW4" s="1340"/>
      <c r="AX4" s="1340"/>
      <c r="AY4" s="1340"/>
      <c r="AZ4" s="1340" t="s">
        <v>24</v>
      </c>
      <c r="BA4" s="1340"/>
      <c r="BB4" s="1340"/>
      <c r="BC4" s="1340"/>
      <c r="BD4" s="1340"/>
      <c r="BE4" s="1340"/>
      <c r="BF4" s="1340"/>
      <c r="BG4" s="1341" t="s">
        <v>8</v>
      </c>
    </row>
    <row r="5" spans="1:59" s="5" customFormat="1" ht="41.25" customHeight="1">
      <c r="A5" s="33"/>
      <c r="B5" s="33" t="s">
        <v>16</v>
      </c>
      <c r="C5" s="34" t="s">
        <v>2</v>
      </c>
      <c r="D5" s="34" t="s">
        <v>3</v>
      </c>
      <c r="E5" s="36" t="s">
        <v>4</v>
      </c>
      <c r="F5" s="36" t="s">
        <v>5</v>
      </c>
      <c r="G5" s="34" t="s">
        <v>6</v>
      </c>
      <c r="H5" s="34" t="s">
        <v>10</v>
      </c>
      <c r="I5" s="34" t="s">
        <v>11</v>
      </c>
      <c r="J5" s="34" t="s">
        <v>2</v>
      </c>
      <c r="K5" s="34" t="s">
        <v>3</v>
      </c>
      <c r="L5" s="36" t="s">
        <v>4</v>
      </c>
      <c r="M5" s="36" t="s">
        <v>5</v>
      </c>
      <c r="N5" s="34" t="s">
        <v>6</v>
      </c>
      <c r="O5" s="34" t="s">
        <v>10</v>
      </c>
      <c r="P5" s="34" t="s">
        <v>11</v>
      </c>
      <c r="Q5" s="34" t="s">
        <v>2</v>
      </c>
      <c r="R5" s="34" t="s">
        <v>3</v>
      </c>
      <c r="S5" s="37" t="s">
        <v>4</v>
      </c>
      <c r="T5" s="37" t="s">
        <v>5</v>
      </c>
      <c r="U5" s="34" t="s">
        <v>6</v>
      </c>
      <c r="V5" s="34" t="s">
        <v>10</v>
      </c>
      <c r="W5" s="34" t="s">
        <v>11</v>
      </c>
      <c r="X5" s="34" t="s">
        <v>2</v>
      </c>
      <c r="Y5" s="34" t="s">
        <v>3</v>
      </c>
      <c r="Z5" s="36" t="s">
        <v>4</v>
      </c>
      <c r="AA5" s="36" t="s">
        <v>5</v>
      </c>
      <c r="AB5" s="34" t="s">
        <v>6</v>
      </c>
      <c r="AC5" s="34" t="s">
        <v>10</v>
      </c>
      <c r="AD5" s="34" t="s">
        <v>11</v>
      </c>
      <c r="AE5" s="34" t="s">
        <v>2</v>
      </c>
      <c r="AF5" s="34" t="s">
        <v>3</v>
      </c>
      <c r="AG5" s="36" t="s">
        <v>4</v>
      </c>
      <c r="AH5" s="36" t="s">
        <v>5</v>
      </c>
      <c r="AI5" s="34" t="s">
        <v>6</v>
      </c>
      <c r="AJ5" s="34" t="s">
        <v>10</v>
      </c>
      <c r="AK5" s="34" t="s">
        <v>11</v>
      </c>
      <c r="AL5" s="34" t="s">
        <v>2</v>
      </c>
      <c r="AM5" s="34" t="s">
        <v>3</v>
      </c>
      <c r="AN5" s="36" t="s">
        <v>4</v>
      </c>
      <c r="AO5" s="36" t="s">
        <v>5</v>
      </c>
      <c r="AP5" s="34" t="s">
        <v>6</v>
      </c>
      <c r="AQ5" s="34" t="s">
        <v>10</v>
      </c>
      <c r="AR5" s="34" t="s">
        <v>11</v>
      </c>
      <c r="AS5" s="34" t="s">
        <v>2</v>
      </c>
      <c r="AT5" s="34" t="s">
        <v>3</v>
      </c>
      <c r="AU5" s="36" t="s">
        <v>4</v>
      </c>
      <c r="AV5" s="36" t="s">
        <v>5</v>
      </c>
      <c r="AW5" s="34" t="s">
        <v>6</v>
      </c>
      <c r="AX5" s="34" t="s">
        <v>10</v>
      </c>
      <c r="AY5" s="34" t="s">
        <v>11</v>
      </c>
      <c r="AZ5" s="34" t="s">
        <v>2</v>
      </c>
      <c r="BA5" s="34" t="s">
        <v>3</v>
      </c>
      <c r="BB5" s="36" t="s">
        <v>4</v>
      </c>
      <c r="BC5" s="36" t="s">
        <v>5</v>
      </c>
      <c r="BD5" s="34" t="s">
        <v>6</v>
      </c>
      <c r="BE5" s="34" t="s">
        <v>10</v>
      </c>
      <c r="BF5" s="34" t="s">
        <v>11</v>
      </c>
      <c r="BG5" s="1437"/>
    </row>
    <row r="6" spans="1:59" ht="41.25" customHeight="1">
      <c r="A6" s="20">
        <v>2561</v>
      </c>
      <c r="B6" s="508">
        <f>SUM(C6:BF6)</f>
        <v>297634726</v>
      </c>
      <c r="C6" s="228">
        <v>0</v>
      </c>
      <c r="D6" s="228">
        <v>0</v>
      </c>
      <c r="E6" s="228">
        <v>0</v>
      </c>
      <c r="F6" s="228">
        <v>0</v>
      </c>
      <c r="G6" s="791">
        <v>11362200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40">
        <v>12570000</v>
      </c>
      <c r="N6" s="240">
        <v>44410000</v>
      </c>
      <c r="O6" s="228">
        <v>0</v>
      </c>
      <c r="P6" s="228">
        <v>0</v>
      </c>
      <c r="Q6" s="228">
        <v>0</v>
      </c>
      <c r="R6" s="240">
        <v>36165800</v>
      </c>
      <c r="S6" s="9"/>
      <c r="T6" s="240">
        <v>60690500</v>
      </c>
      <c r="U6" s="240">
        <v>3394000</v>
      </c>
      <c r="V6" s="228">
        <v>0</v>
      </c>
      <c r="W6" s="228">
        <v>0</v>
      </c>
      <c r="X6" s="485">
        <v>6570200</v>
      </c>
      <c r="Y6" s="228">
        <v>0</v>
      </c>
      <c r="Z6" s="485">
        <v>6045000</v>
      </c>
      <c r="AA6" s="228">
        <v>0</v>
      </c>
      <c r="AB6" s="228">
        <v>0</v>
      </c>
      <c r="AC6" s="485">
        <v>3140800</v>
      </c>
      <c r="AD6" s="228">
        <v>0</v>
      </c>
      <c r="AE6" s="228">
        <v>0</v>
      </c>
      <c r="AF6" s="228">
        <v>0</v>
      </c>
      <c r="AG6" s="240">
        <v>21240700</v>
      </c>
      <c r="AH6" s="9"/>
      <c r="AI6" s="240">
        <v>37566086</v>
      </c>
      <c r="AJ6" s="228">
        <v>0</v>
      </c>
      <c r="AK6" s="228">
        <v>0</v>
      </c>
      <c r="AL6" s="228">
        <v>0</v>
      </c>
      <c r="AM6" s="228">
        <v>0</v>
      </c>
      <c r="AN6" s="228">
        <v>0</v>
      </c>
      <c r="AO6" s="228">
        <v>0</v>
      </c>
      <c r="AP6" s="228">
        <v>0</v>
      </c>
      <c r="AQ6" s="240">
        <v>3847200</v>
      </c>
      <c r="AR6" s="9"/>
      <c r="AS6" s="228">
        <v>0</v>
      </c>
      <c r="AT6" s="228">
        <v>0</v>
      </c>
      <c r="AU6" s="228">
        <v>0</v>
      </c>
      <c r="AV6" s="228">
        <v>0</v>
      </c>
      <c r="AW6" s="485">
        <v>2395100</v>
      </c>
      <c r="AX6" s="518">
        <v>0</v>
      </c>
      <c r="AY6" s="228">
        <v>0</v>
      </c>
      <c r="AZ6" s="9"/>
      <c r="BA6" s="485">
        <v>3948170</v>
      </c>
      <c r="BB6" s="9"/>
      <c r="BC6" s="9"/>
      <c r="BD6" s="485">
        <v>17070400</v>
      </c>
      <c r="BE6" s="485">
        <v>3100000</v>
      </c>
      <c r="BF6" s="507">
        <f>SUM(BA6:BE6)</f>
        <v>24118570</v>
      </c>
      <c r="BG6" s="10"/>
    </row>
    <row r="7" spans="1:59" ht="41.25" customHeight="1">
      <c r="A7" s="21">
        <v>2562</v>
      </c>
      <c r="B7" s="508">
        <f t="shared" ref="B7:B11" si="0">SUM(C7:BF7)</f>
        <v>100254800</v>
      </c>
      <c r="C7" s="228">
        <v>0</v>
      </c>
      <c r="D7" s="228">
        <v>0</v>
      </c>
      <c r="E7" s="228">
        <v>0</v>
      </c>
      <c r="F7" s="228">
        <v>0</v>
      </c>
      <c r="G7" s="791">
        <v>14439000</v>
      </c>
      <c r="H7" s="228">
        <v>0</v>
      </c>
      <c r="I7" s="228">
        <v>0</v>
      </c>
      <c r="J7" s="228">
        <v>0</v>
      </c>
      <c r="K7" s="228">
        <v>0</v>
      </c>
      <c r="L7" s="228">
        <v>0</v>
      </c>
      <c r="M7" s="10"/>
      <c r="N7" s="240">
        <v>1500000</v>
      </c>
      <c r="O7" s="228">
        <v>0</v>
      </c>
      <c r="P7" s="228">
        <v>0</v>
      </c>
      <c r="Q7" s="228">
        <v>0</v>
      </c>
      <c r="R7" s="228">
        <v>0</v>
      </c>
      <c r="S7" s="228">
        <v>0</v>
      </c>
      <c r="T7" s="228">
        <v>0</v>
      </c>
      <c r="U7" s="240">
        <v>40882300</v>
      </c>
      <c r="V7" s="240">
        <v>9300000</v>
      </c>
      <c r="W7" s="10"/>
      <c r="X7" s="230">
        <v>14006100</v>
      </c>
      <c r="Y7" s="228">
        <v>0</v>
      </c>
      <c r="Z7" s="228">
        <v>0</v>
      </c>
      <c r="AA7" s="228">
        <v>0</v>
      </c>
      <c r="AB7" s="228">
        <v>0</v>
      </c>
      <c r="AC7" s="485">
        <v>3140800</v>
      </c>
      <c r="AD7" s="228">
        <v>0</v>
      </c>
      <c r="AE7" s="228">
        <v>0</v>
      </c>
      <c r="AF7" s="228">
        <v>0</v>
      </c>
      <c r="AG7" s="228">
        <v>0</v>
      </c>
      <c r="AH7" s="228">
        <v>0</v>
      </c>
      <c r="AI7" s="228">
        <v>0</v>
      </c>
      <c r="AJ7" s="228">
        <v>0</v>
      </c>
      <c r="AK7" s="228">
        <v>0</v>
      </c>
      <c r="AL7" s="228">
        <v>0</v>
      </c>
      <c r="AM7" s="228">
        <v>0</v>
      </c>
      <c r="AN7" s="228">
        <v>0</v>
      </c>
      <c r="AO7" s="228">
        <v>0</v>
      </c>
      <c r="AP7" s="228">
        <v>0</v>
      </c>
      <c r="AQ7" s="240">
        <v>3847200</v>
      </c>
      <c r="AR7" s="10"/>
      <c r="AS7" s="228">
        <v>0</v>
      </c>
      <c r="AT7" s="228">
        <v>0</v>
      </c>
      <c r="AU7" s="228">
        <v>0</v>
      </c>
      <c r="AV7" s="228">
        <v>0</v>
      </c>
      <c r="AW7" s="518">
        <v>0</v>
      </c>
      <c r="AX7" s="518">
        <v>0</v>
      </c>
      <c r="AY7" s="228">
        <v>0</v>
      </c>
      <c r="AZ7" s="10"/>
      <c r="BA7" s="10"/>
      <c r="BB7" s="10"/>
      <c r="BC7" s="10"/>
      <c r="BD7" s="485">
        <v>10039400</v>
      </c>
      <c r="BE7" s="485">
        <v>3100000</v>
      </c>
      <c r="BF7" s="10"/>
      <c r="BG7" s="10"/>
    </row>
    <row r="8" spans="1:59" ht="41.25" customHeight="1">
      <c r="A8" s="21">
        <v>2563</v>
      </c>
      <c r="B8" s="508">
        <f t="shared" si="0"/>
        <v>70360900</v>
      </c>
      <c r="C8" s="791">
        <v>21240700</v>
      </c>
      <c r="D8" s="228">
        <v>0</v>
      </c>
      <c r="E8" s="228">
        <v>0</v>
      </c>
      <c r="F8" s="228">
        <v>0</v>
      </c>
      <c r="G8" s="240"/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28">
        <v>0</v>
      </c>
      <c r="P8" s="228">
        <v>0</v>
      </c>
      <c r="Q8" s="228">
        <v>0</v>
      </c>
      <c r="R8" s="228">
        <v>0</v>
      </c>
      <c r="S8" s="228">
        <v>0</v>
      </c>
      <c r="T8" s="228">
        <v>0</v>
      </c>
      <c r="U8" s="240">
        <v>1450400</v>
      </c>
      <c r="V8" s="10"/>
      <c r="W8" s="10"/>
      <c r="X8" s="228">
        <v>0</v>
      </c>
      <c r="Y8" s="228">
        <v>0</v>
      </c>
      <c r="Z8" s="230">
        <v>29500000</v>
      </c>
      <c r="AA8" s="228">
        <v>0</v>
      </c>
      <c r="AB8" s="228">
        <v>0</v>
      </c>
      <c r="AC8" s="485">
        <v>3140800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41">
        <v>1930000</v>
      </c>
      <c r="AJ8" s="228"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40">
        <v>3847200</v>
      </c>
      <c r="AR8" s="10"/>
      <c r="AS8" s="228">
        <v>0</v>
      </c>
      <c r="AT8" s="228">
        <v>0</v>
      </c>
      <c r="AU8" s="228">
        <v>0</v>
      </c>
      <c r="AV8" s="228">
        <v>0</v>
      </c>
      <c r="AW8" s="518">
        <v>0</v>
      </c>
      <c r="AX8" s="230">
        <v>4030000</v>
      </c>
      <c r="AY8" s="228">
        <v>0</v>
      </c>
      <c r="AZ8" s="10"/>
      <c r="BA8" s="10"/>
      <c r="BB8" s="10"/>
      <c r="BC8" s="10"/>
      <c r="BD8" s="485">
        <v>1858800</v>
      </c>
      <c r="BE8" s="485">
        <v>3363000</v>
      </c>
      <c r="BF8" s="10"/>
      <c r="BG8" s="10"/>
    </row>
    <row r="9" spans="1:59" ht="41.25" customHeight="1">
      <c r="A9" s="21">
        <v>2564</v>
      </c>
      <c r="B9" s="508">
        <f t="shared" si="0"/>
        <v>67681500</v>
      </c>
      <c r="C9" s="228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  <c r="Q9" s="228">
        <v>0</v>
      </c>
      <c r="R9" s="228">
        <v>0</v>
      </c>
      <c r="S9" s="228">
        <v>0</v>
      </c>
      <c r="T9" s="228">
        <v>0</v>
      </c>
      <c r="U9" s="240">
        <v>2866700</v>
      </c>
      <c r="V9" s="10"/>
      <c r="W9" s="10"/>
      <c r="X9" s="230">
        <v>3000000</v>
      </c>
      <c r="Y9" s="228">
        <v>0</v>
      </c>
      <c r="Z9" s="228">
        <v>0</v>
      </c>
      <c r="AA9" s="228">
        <v>0</v>
      </c>
      <c r="AB9" s="228">
        <v>0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30">
        <v>3692000</v>
      </c>
      <c r="AX9" s="518">
        <v>0</v>
      </c>
      <c r="AY9" s="228">
        <v>0</v>
      </c>
      <c r="AZ9" s="10"/>
      <c r="BA9" s="10"/>
      <c r="BB9" s="485">
        <v>39481700</v>
      </c>
      <c r="BC9" s="10"/>
      <c r="BD9" s="485">
        <v>18641100</v>
      </c>
      <c r="BE9" s="10"/>
      <c r="BF9" s="10"/>
      <c r="BG9" s="10"/>
    </row>
    <row r="10" spans="1:59" ht="41.25" customHeight="1">
      <c r="A10" s="24">
        <v>2565</v>
      </c>
      <c r="B10" s="508">
        <f t="shared" si="0"/>
        <v>0</v>
      </c>
      <c r="C10" s="228">
        <v>0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0</v>
      </c>
      <c r="S10" s="228">
        <v>0</v>
      </c>
      <c r="T10" s="228">
        <v>0</v>
      </c>
      <c r="U10" s="12"/>
      <c r="V10" s="12"/>
      <c r="W10" s="12"/>
      <c r="X10" s="228">
        <v>0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v>0</v>
      </c>
      <c r="AY10" s="228">
        <v>0</v>
      </c>
      <c r="AZ10" s="12"/>
      <c r="BA10" s="12"/>
      <c r="BB10" s="12"/>
      <c r="BC10" s="12"/>
      <c r="BD10" s="12"/>
      <c r="BE10" s="12"/>
      <c r="BF10" s="12"/>
      <c r="BG10" s="11"/>
    </row>
    <row r="11" spans="1:59" ht="41.25" customHeight="1">
      <c r="A11" s="38" t="s">
        <v>8</v>
      </c>
      <c r="B11" s="508">
        <f t="shared" si="0"/>
        <v>612415926</v>
      </c>
      <c r="C11" s="269">
        <f>SUM(C6:C10)</f>
        <v>21240700</v>
      </c>
      <c r="D11" s="228">
        <f>SUM(D6:D10)</f>
        <v>0</v>
      </c>
      <c r="E11" s="228">
        <f>SUM(E6:E10)</f>
        <v>0</v>
      </c>
      <c r="F11" s="228">
        <f>SUM(F6:F10)</f>
        <v>0</v>
      </c>
      <c r="G11" s="269">
        <f>SUM(G6:G10)</f>
        <v>25801200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69">
        <f>SUM(M6:M10)</f>
        <v>12570000</v>
      </c>
      <c r="N11" s="269">
        <f>SUM(N6:N10)</f>
        <v>45910000</v>
      </c>
      <c r="O11" s="228">
        <v>0</v>
      </c>
      <c r="P11" s="228">
        <v>0</v>
      </c>
      <c r="Q11" s="269">
        <f t="shared" ref="Q11:W11" si="1">SUM(Q6:Q10)</f>
        <v>0</v>
      </c>
      <c r="R11" s="269">
        <f t="shared" si="1"/>
        <v>36165800</v>
      </c>
      <c r="S11" s="269">
        <f t="shared" si="1"/>
        <v>0</v>
      </c>
      <c r="T11" s="269">
        <f t="shared" si="1"/>
        <v>60690500</v>
      </c>
      <c r="U11" s="269">
        <f t="shared" si="1"/>
        <v>48593400</v>
      </c>
      <c r="V11" s="269">
        <f t="shared" si="1"/>
        <v>9300000</v>
      </c>
      <c r="W11" s="269">
        <f t="shared" si="1"/>
        <v>0</v>
      </c>
      <c r="X11" s="506">
        <f t="shared" ref="X11:AD11" si="2">SUM(X6:X10)</f>
        <v>23576300</v>
      </c>
      <c r="Y11" s="506">
        <f t="shared" si="2"/>
        <v>0</v>
      </c>
      <c r="Z11" s="506">
        <f t="shared" si="2"/>
        <v>35545000</v>
      </c>
      <c r="AA11" s="506">
        <f t="shared" si="2"/>
        <v>0</v>
      </c>
      <c r="AB11" s="506">
        <f t="shared" si="2"/>
        <v>0</v>
      </c>
      <c r="AC11" s="506">
        <f t="shared" si="2"/>
        <v>9422400</v>
      </c>
      <c r="AD11" s="517">
        <f t="shared" si="2"/>
        <v>0</v>
      </c>
      <c r="AE11" s="243">
        <v>0</v>
      </c>
      <c r="AF11" s="243">
        <v>0</v>
      </c>
      <c r="AG11" s="244">
        <f t="shared" ref="AG11" si="3">SUM(AG6:AG10)</f>
        <v>21240700</v>
      </c>
      <c r="AH11" s="243">
        <v>0</v>
      </c>
      <c r="AI11" s="245">
        <f>SUM(AI6:AI10)</f>
        <v>39496086</v>
      </c>
      <c r="AJ11" s="243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45">
        <f>SUM(AQ6:AQ10)</f>
        <v>11541600</v>
      </c>
      <c r="AR11" s="12"/>
      <c r="AS11" s="519">
        <f t="shared" ref="AS11:AY11" si="4">SUM(AS6:AS10)</f>
        <v>0</v>
      </c>
      <c r="AT11" s="519">
        <f t="shared" si="4"/>
        <v>0</v>
      </c>
      <c r="AU11" s="519">
        <f t="shared" si="4"/>
        <v>0</v>
      </c>
      <c r="AV11" s="519">
        <f t="shared" si="4"/>
        <v>0</v>
      </c>
      <c r="AW11" s="506">
        <f t="shared" si="4"/>
        <v>6087100</v>
      </c>
      <c r="AX11" s="506">
        <f t="shared" si="4"/>
        <v>4030000</v>
      </c>
      <c r="AY11" s="519">
        <f t="shared" si="4"/>
        <v>0</v>
      </c>
      <c r="AZ11" s="506"/>
      <c r="BA11" s="506">
        <f>SUM(BA6:BA10)</f>
        <v>3948170</v>
      </c>
      <c r="BB11" s="506">
        <f>SUM(BB6:BB10)</f>
        <v>39481700</v>
      </c>
      <c r="BC11" s="506"/>
      <c r="BD11" s="506">
        <f>SUM(BD6:BD10)</f>
        <v>47609700</v>
      </c>
      <c r="BE11" s="506">
        <f>SUM(BE6:BE10)</f>
        <v>9563000</v>
      </c>
      <c r="BF11" s="499">
        <f>SUM(BA11:BE11)</f>
        <v>100602570</v>
      </c>
      <c r="BG11" s="13"/>
    </row>
  </sheetData>
  <mergeCells count="9">
    <mergeCell ref="AL4:AR4"/>
    <mergeCell ref="AS4:AY4"/>
    <mergeCell ref="AZ4:BF4"/>
    <mergeCell ref="BG4:BG5"/>
    <mergeCell ref="C4:I4"/>
    <mergeCell ref="J4:P4"/>
    <mergeCell ref="Q4:W4"/>
    <mergeCell ref="X4:AD4"/>
    <mergeCell ref="AE4:AK4"/>
  </mergeCells>
  <pageMargins left="0.23622047244094491" right="3.937007874015748E-2" top="0.74803149606299213" bottom="0.74803149606299213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6"/>
  <sheetViews>
    <sheetView topLeftCell="A45" zoomScale="80" zoomScaleNormal="80" workbookViewId="0">
      <selection activeCell="I45" sqref="I45"/>
    </sheetView>
  </sheetViews>
  <sheetFormatPr defaultColWidth="7" defaultRowHeight="18.75"/>
  <cols>
    <col min="1" max="1" width="4" style="141" bestFit="1" customWidth="1"/>
    <col min="2" max="2" width="14.25" style="769" customWidth="1"/>
    <col min="3" max="3" width="27.625" style="141" customWidth="1"/>
    <col min="4" max="4" width="15.25" style="770" customWidth="1"/>
    <col min="5" max="5" width="17.25" style="770" customWidth="1"/>
    <col min="6" max="6" width="14.125" style="762" customWidth="1"/>
    <col min="7" max="8" width="17.5" style="762" customWidth="1"/>
    <col min="9" max="9" width="11.5" style="762" customWidth="1"/>
    <col min="10" max="10" width="16.75" style="762" customWidth="1"/>
    <col min="11" max="11" width="13.125" style="762" customWidth="1"/>
    <col min="12" max="12" width="14" style="771" customWidth="1"/>
    <col min="13" max="13" width="10.625" style="769" customWidth="1"/>
    <col min="14" max="14" width="6.125" style="769" customWidth="1"/>
    <col min="15" max="15" width="8.625" style="769" customWidth="1"/>
    <col min="16" max="16" width="8.125" style="769" customWidth="1"/>
    <col min="17" max="17" width="9.125" style="769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401" t="s">
        <v>711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56.25">
      <c r="A5" s="1362" t="s">
        <v>136</v>
      </c>
      <c r="B5" s="1364" t="s">
        <v>712</v>
      </c>
      <c r="C5" s="754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717</v>
      </c>
      <c r="I5" s="1368" t="s">
        <v>719</v>
      </c>
      <c r="J5" s="1368" t="s">
        <v>720</v>
      </c>
      <c r="K5" s="1368" t="s">
        <v>747</v>
      </c>
      <c r="L5" s="1364" t="s">
        <v>722</v>
      </c>
      <c r="M5" s="754" t="s">
        <v>145</v>
      </c>
      <c r="N5" s="754" t="s">
        <v>146</v>
      </c>
      <c r="O5" s="754" t="s">
        <v>147</v>
      </c>
      <c r="P5" s="754" t="s">
        <v>43</v>
      </c>
      <c r="Q5" s="754" t="s">
        <v>148</v>
      </c>
      <c r="R5" s="754" t="s">
        <v>723</v>
      </c>
      <c r="S5" s="754" t="s">
        <v>724</v>
      </c>
      <c r="T5" s="754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123"/>
      <c r="D6" s="1367"/>
      <c r="E6" s="1367"/>
      <c r="F6" s="1369"/>
      <c r="G6" s="1369"/>
      <c r="H6" s="1369"/>
      <c r="I6" s="1369"/>
      <c r="J6" s="1369"/>
      <c r="K6" s="1369"/>
      <c r="L6" s="1365"/>
      <c r="M6" s="123"/>
      <c r="N6" s="123"/>
      <c r="O6" s="123"/>
      <c r="P6" s="123"/>
      <c r="Q6" s="123"/>
      <c r="R6" s="123"/>
      <c r="S6" s="123"/>
      <c r="T6" s="123"/>
      <c r="U6" s="123" t="s">
        <v>727</v>
      </c>
      <c r="V6" s="124" t="s">
        <v>152</v>
      </c>
      <c r="W6" s="124" t="s">
        <v>153</v>
      </c>
      <c r="X6" s="124" t="s">
        <v>728</v>
      </c>
    </row>
    <row r="7" spans="1:24">
      <c r="A7" s="131"/>
      <c r="B7" s="132"/>
      <c r="C7" s="133" t="s">
        <v>748</v>
      </c>
      <c r="D7" s="134"/>
      <c r="E7" s="135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9"/>
      <c r="Q7" s="139"/>
      <c r="R7" s="139"/>
      <c r="S7" s="139"/>
      <c r="T7" s="139"/>
      <c r="U7" s="140"/>
      <c r="V7" s="140"/>
      <c r="W7" s="140"/>
      <c r="X7" s="140"/>
    </row>
    <row r="8" spans="1:24" ht="75">
      <c r="A8" s="131">
        <v>6</v>
      </c>
      <c r="B8" s="132">
        <v>1</v>
      </c>
      <c r="C8" s="133" t="s">
        <v>749</v>
      </c>
      <c r="D8" s="134">
        <v>9543</v>
      </c>
      <c r="E8" s="135">
        <v>7968200</v>
      </c>
      <c r="F8" s="132">
        <v>1</v>
      </c>
      <c r="G8" s="135">
        <v>7968200</v>
      </c>
      <c r="H8" s="135">
        <v>7968200</v>
      </c>
      <c r="I8" s="132"/>
      <c r="J8" s="135"/>
      <c r="K8" s="132"/>
      <c r="L8" s="135">
        <f>SUM(G8:K8)</f>
        <v>15936400</v>
      </c>
      <c r="M8" s="787" t="s">
        <v>202</v>
      </c>
      <c r="N8" s="788" t="s">
        <v>203</v>
      </c>
      <c r="O8" s="788" t="s">
        <v>204</v>
      </c>
      <c r="P8" s="789" t="s">
        <v>17</v>
      </c>
      <c r="Q8" s="789" t="s">
        <v>181</v>
      </c>
      <c r="R8" s="139" t="s">
        <v>750</v>
      </c>
      <c r="S8" s="139">
        <v>60</v>
      </c>
      <c r="T8" s="761">
        <v>57.9</v>
      </c>
      <c r="U8" s="140"/>
      <c r="V8" s="140" t="s">
        <v>742</v>
      </c>
      <c r="W8" s="140"/>
      <c r="X8" s="140"/>
    </row>
    <row r="9" spans="1:24" ht="56.25">
      <c r="A9" s="131">
        <v>6</v>
      </c>
      <c r="B9" s="132">
        <v>2</v>
      </c>
      <c r="C9" s="133" t="s">
        <v>751</v>
      </c>
      <c r="D9" s="134" t="s">
        <v>752</v>
      </c>
      <c r="E9" s="135">
        <v>3394000</v>
      </c>
      <c r="F9" s="132">
        <v>1</v>
      </c>
      <c r="G9" s="135">
        <v>3394000</v>
      </c>
      <c r="H9" s="135">
        <v>3394000</v>
      </c>
      <c r="I9" s="132"/>
      <c r="J9" s="135"/>
      <c r="K9" s="132"/>
      <c r="L9" s="135">
        <f>SUM(G9:K9)</f>
        <v>6788000</v>
      </c>
      <c r="M9" s="763" t="s">
        <v>179</v>
      </c>
      <c r="N9" s="134" t="s">
        <v>180</v>
      </c>
      <c r="O9" s="173" t="s">
        <v>180</v>
      </c>
      <c r="P9" s="139" t="s">
        <v>17</v>
      </c>
      <c r="Q9" s="132" t="s">
        <v>181</v>
      </c>
      <c r="R9" s="139" t="s">
        <v>750</v>
      </c>
      <c r="S9" s="139">
        <v>30</v>
      </c>
      <c r="T9" s="761">
        <v>63.66</v>
      </c>
      <c r="U9" s="140"/>
      <c r="V9" s="140"/>
      <c r="W9" s="140"/>
      <c r="X9" s="140"/>
    </row>
    <row r="10" spans="1:24" ht="75">
      <c r="A10" s="131">
        <v>6</v>
      </c>
      <c r="B10" s="132">
        <v>3</v>
      </c>
      <c r="C10" s="133" t="s">
        <v>753</v>
      </c>
      <c r="D10" s="134">
        <v>2083</v>
      </c>
      <c r="E10" s="135">
        <v>14439000</v>
      </c>
      <c r="F10" s="132">
        <v>1</v>
      </c>
      <c r="G10" s="135"/>
      <c r="H10" s="135"/>
      <c r="I10" s="132"/>
      <c r="J10" s="135"/>
      <c r="K10" s="132"/>
      <c r="L10" s="135">
        <f t="shared" ref="L10:L12" si="0">SUM(G10:K10)</f>
        <v>0</v>
      </c>
      <c r="M10" s="787" t="s">
        <v>202</v>
      </c>
      <c r="N10" s="788" t="s">
        <v>203</v>
      </c>
      <c r="O10" s="788" t="s">
        <v>204</v>
      </c>
      <c r="P10" s="789" t="s">
        <v>17</v>
      </c>
      <c r="Q10" s="789" t="s">
        <v>181</v>
      </c>
      <c r="R10" s="139" t="s">
        <v>750</v>
      </c>
      <c r="S10" s="139">
        <v>60</v>
      </c>
      <c r="T10" s="761">
        <v>57.9</v>
      </c>
      <c r="U10" s="140"/>
      <c r="V10" s="140" t="s">
        <v>742</v>
      </c>
      <c r="W10" s="140"/>
      <c r="X10" s="140"/>
    </row>
    <row r="11" spans="1:24" ht="78.75">
      <c r="A11" s="131">
        <v>6</v>
      </c>
      <c r="B11" s="132">
        <v>4</v>
      </c>
      <c r="C11" s="133" t="s">
        <v>754</v>
      </c>
      <c r="D11" s="134">
        <v>9217</v>
      </c>
      <c r="E11" s="135">
        <v>21240700</v>
      </c>
      <c r="F11" s="132">
        <v>1</v>
      </c>
      <c r="G11" s="135"/>
      <c r="H11" s="135"/>
      <c r="I11" s="135">
        <v>21240700</v>
      </c>
      <c r="J11" s="135"/>
      <c r="K11" s="132"/>
      <c r="L11" s="135">
        <f t="shared" si="0"/>
        <v>21240700</v>
      </c>
      <c r="M11" s="136" t="s">
        <v>755</v>
      </c>
      <c r="N11" s="137" t="s">
        <v>159</v>
      </c>
      <c r="O11" s="137" t="s">
        <v>197</v>
      </c>
      <c r="P11" s="139" t="s">
        <v>17</v>
      </c>
      <c r="Q11" s="139" t="s">
        <v>2</v>
      </c>
      <c r="R11" s="139" t="s">
        <v>750</v>
      </c>
      <c r="S11" s="139">
        <v>755</v>
      </c>
      <c r="T11" s="761">
        <v>93.84</v>
      </c>
      <c r="U11" s="790" t="s">
        <v>756</v>
      </c>
      <c r="V11" s="790" t="s">
        <v>757</v>
      </c>
      <c r="W11" s="790"/>
      <c r="X11" s="790" t="s">
        <v>758</v>
      </c>
    </row>
    <row r="12" spans="1:24" s="768" customFormat="1">
      <c r="A12" s="1374" t="s">
        <v>759</v>
      </c>
      <c r="B12" s="1375"/>
      <c r="C12" s="1375"/>
      <c r="D12" s="1375"/>
      <c r="E12" s="1375"/>
      <c r="F12" s="1376"/>
      <c r="G12" s="764">
        <f>SUM(G8:G11)</f>
        <v>11362200</v>
      </c>
      <c r="H12" s="764">
        <f>SUM(H8:H11)</f>
        <v>11362200</v>
      </c>
      <c r="I12" s="764">
        <f>SUM(I8:I11)</f>
        <v>21240700</v>
      </c>
      <c r="J12" s="764">
        <f>SUM(J8:J11)</f>
        <v>0</v>
      </c>
      <c r="K12" s="764">
        <f>SUM(K8:K11)</f>
        <v>0</v>
      </c>
      <c r="L12" s="764">
        <f t="shared" si="0"/>
        <v>43965100</v>
      </c>
      <c r="M12" s="765"/>
      <c r="N12" s="203"/>
      <c r="O12" s="203"/>
      <c r="P12" s="204"/>
      <c r="Q12" s="204"/>
      <c r="R12" s="204"/>
      <c r="S12" s="204"/>
      <c r="T12" s="204"/>
      <c r="U12" s="208"/>
      <c r="V12" s="208"/>
      <c r="W12" s="208"/>
      <c r="X12" s="208"/>
    </row>
    <row r="13" spans="1:24">
      <c r="B13" s="822" t="s">
        <v>0</v>
      </c>
      <c r="C13" s="17" t="s">
        <v>1</v>
      </c>
      <c r="D13" s="1373" t="s">
        <v>18</v>
      </c>
      <c r="E13" s="1373"/>
      <c r="F13" s="1373"/>
      <c r="G13" s="1373"/>
      <c r="H13" s="1373"/>
      <c r="I13" s="1373"/>
      <c r="J13" s="1373"/>
      <c r="K13" s="1341" t="s">
        <v>8</v>
      </c>
    </row>
    <row r="14" spans="1:24">
      <c r="B14" s="825"/>
      <c r="C14" s="825" t="s">
        <v>16</v>
      </c>
      <c r="D14" s="34" t="s">
        <v>2</v>
      </c>
      <c r="E14" s="34" t="s">
        <v>3</v>
      </c>
      <c r="F14" s="36" t="s">
        <v>4</v>
      </c>
      <c r="G14" s="36" t="s">
        <v>5</v>
      </c>
      <c r="H14" s="36" t="s">
        <v>5</v>
      </c>
      <c r="I14" s="34" t="s">
        <v>10</v>
      </c>
      <c r="J14" s="34" t="s">
        <v>11</v>
      </c>
      <c r="K14" s="1437"/>
    </row>
    <row r="15" spans="1:24" ht="131.25">
      <c r="B15" s="20">
        <v>2561</v>
      </c>
      <c r="C15" s="857" t="s">
        <v>881</v>
      </c>
      <c r="D15" s="9"/>
      <c r="E15" s="9"/>
      <c r="F15" s="9"/>
      <c r="G15" s="9" t="s">
        <v>264</v>
      </c>
      <c r="H15" s="9" t="s">
        <v>264</v>
      </c>
      <c r="I15" s="9"/>
      <c r="J15" s="9"/>
      <c r="K15" s="21">
        <v>56.98</v>
      </c>
      <c r="L15" s="771">
        <f>27.91+16.5</f>
        <v>44.41</v>
      </c>
    </row>
    <row r="16" spans="1:24" ht="37.5">
      <c r="B16" s="21">
        <v>2562</v>
      </c>
      <c r="C16" s="871" t="s">
        <v>882</v>
      </c>
      <c r="D16" s="10"/>
      <c r="E16" s="10"/>
      <c r="F16" s="10"/>
      <c r="G16" s="10"/>
      <c r="H16" s="10"/>
      <c r="I16" s="10"/>
      <c r="J16" s="10"/>
      <c r="K16" s="21">
        <v>1.5</v>
      </c>
    </row>
    <row r="17" spans="1:24">
      <c r="B17" s="21">
        <v>2563</v>
      </c>
      <c r="C17" s="871"/>
      <c r="D17" s="10"/>
      <c r="E17" s="10"/>
      <c r="F17" s="10"/>
      <c r="G17" s="10"/>
      <c r="H17" s="10"/>
      <c r="I17" s="10"/>
      <c r="J17" s="10"/>
      <c r="K17" s="10"/>
    </row>
    <row r="18" spans="1:24">
      <c r="B18" s="21">
        <v>2564</v>
      </c>
      <c r="C18" s="863"/>
      <c r="D18" s="10"/>
      <c r="E18" s="10"/>
      <c r="F18" s="10"/>
      <c r="G18" s="10"/>
      <c r="H18" s="10"/>
      <c r="I18" s="10"/>
      <c r="J18" s="10"/>
      <c r="K18" s="10"/>
    </row>
    <row r="19" spans="1:24">
      <c r="B19" s="24">
        <v>2565</v>
      </c>
      <c r="C19" s="872"/>
      <c r="D19" s="12"/>
      <c r="E19" s="12"/>
      <c r="F19" s="12"/>
      <c r="G19" s="12"/>
      <c r="H19" s="12"/>
      <c r="I19" s="12"/>
      <c r="J19" s="12"/>
      <c r="K19" s="11"/>
    </row>
    <row r="20" spans="1:24">
      <c r="B20" s="38" t="s">
        <v>8</v>
      </c>
      <c r="C20" s="12"/>
      <c r="D20" s="12"/>
      <c r="E20" s="12"/>
      <c r="F20" s="12"/>
      <c r="G20" s="12"/>
      <c r="H20" s="12"/>
      <c r="I20" s="12"/>
      <c r="J20" s="12"/>
      <c r="K20" s="13">
        <f>SUM(K15:K19)</f>
        <v>58.48</v>
      </c>
    </row>
    <row r="22" spans="1:24" s="537" customFormat="1">
      <c r="A22" s="1452" t="s">
        <v>998</v>
      </c>
      <c r="B22" s="1452"/>
      <c r="C22" s="1452"/>
      <c r="D22" s="1452"/>
      <c r="E22" s="1452"/>
      <c r="F22" s="1452"/>
      <c r="G22" s="1452"/>
      <c r="H22" s="1452"/>
      <c r="I22" s="1452"/>
      <c r="J22" s="1452"/>
      <c r="K22" s="1452"/>
      <c r="L22" s="1452"/>
      <c r="M22" s="1452"/>
      <c r="N22" s="1452"/>
      <c r="O22" s="1452"/>
      <c r="P22" s="1452"/>
      <c r="Q22" s="1452"/>
      <c r="R22" s="1452"/>
      <c r="S22" s="1452"/>
      <c r="T22" s="1452"/>
      <c r="U22" s="1452"/>
    </row>
    <row r="23" spans="1:24" s="537" customFormat="1">
      <c r="A23" s="1127"/>
      <c r="B23" s="1127"/>
      <c r="C23" s="1128" t="s">
        <v>134</v>
      </c>
      <c r="D23" s="1129"/>
      <c r="E23" s="1129"/>
      <c r="F23" s="1127"/>
      <c r="G23" s="1127"/>
      <c r="H23" s="1127"/>
      <c r="I23" s="1127"/>
      <c r="J23" s="1127"/>
      <c r="K23" s="1127"/>
      <c r="L23" s="1130"/>
      <c r="M23" s="1127"/>
      <c r="N23" s="1127"/>
      <c r="O23" s="1127"/>
      <c r="P23" s="1127"/>
      <c r="Q23" s="1127"/>
      <c r="R23" s="1127"/>
      <c r="S23" s="1127"/>
      <c r="T23" s="1127"/>
      <c r="U23" s="1127"/>
      <c r="V23" s="1131" t="s">
        <v>135</v>
      </c>
      <c r="W23" s="1131"/>
      <c r="X23" s="1131"/>
    </row>
    <row r="24" spans="1:24" s="537" customFormat="1" ht="56.25">
      <c r="A24" s="1453" t="s">
        <v>136</v>
      </c>
      <c r="B24" s="1455" t="s">
        <v>712</v>
      </c>
      <c r="C24" s="1132" t="s">
        <v>713</v>
      </c>
      <c r="D24" s="1457" t="s">
        <v>714</v>
      </c>
      <c r="E24" s="1457" t="s">
        <v>715</v>
      </c>
      <c r="F24" s="1459" t="s">
        <v>716</v>
      </c>
      <c r="G24" s="1459" t="s">
        <v>999</v>
      </c>
      <c r="H24" s="1459" t="s">
        <v>999</v>
      </c>
      <c r="I24" s="1459" t="s">
        <v>1001</v>
      </c>
      <c r="J24" s="1459" t="s">
        <v>1002</v>
      </c>
      <c r="K24" s="1459" t="s">
        <v>721</v>
      </c>
      <c r="L24" s="1455" t="s">
        <v>722</v>
      </c>
      <c r="M24" s="1132" t="s">
        <v>145</v>
      </c>
      <c r="N24" s="1132" t="s">
        <v>146</v>
      </c>
      <c r="O24" s="1132" t="s">
        <v>147</v>
      </c>
      <c r="P24" s="1132" t="s">
        <v>43</v>
      </c>
      <c r="Q24" s="1132" t="s">
        <v>148</v>
      </c>
      <c r="R24" s="1132" t="s">
        <v>723</v>
      </c>
      <c r="S24" s="1132" t="s">
        <v>724</v>
      </c>
      <c r="T24" s="1132" t="s">
        <v>725</v>
      </c>
      <c r="U24" s="1461" t="s">
        <v>726</v>
      </c>
      <c r="V24" s="1462"/>
      <c r="W24" s="1462"/>
      <c r="X24" s="1463"/>
    </row>
    <row r="25" spans="1:24" s="537" customFormat="1" ht="37.5">
      <c r="A25" s="1454"/>
      <c r="B25" s="1456"/>
      <c r="C25" s="1133"/>
      <c r="D25" s="1458"/>
      <c r="E25" s="1458"/>
      <c r="F25" s="1460"/>
      <c r="G25" s="1460"/>
      <c r="H25" s="1460"/>
      <c r="I25" s="1460"/>
      <c r="J25" s="1460"/>
      <c r="K25" s="1460"/>
      <c r="L25" s="1456"/>
      <c r="M25" s="1133"/>
      <c r="N25" s="1133"/>
      <c r="O25" s="1133"/>
      <c r="P25" s="1133"/>
      <c r="Q25" s="1133"/>
      <c r="R25" s="1133"/>
      <c r="S25" s="1133"/>
      <c r="T25" s="1133"/>
      <c r="U25" s="1133" t="s">
        <v>727</v>
      </c>
      <c r="V25" s="1134" t="s">
        <v>152</v>
      </c>
      <c r="W25" s="1134" t="s">
        <v>153</v>
      </c>
      <c r="X25" s="1134" t="s">
        <v>728</v>
      </c>
    </row>
    <row r="26" spans="1:24" s="571" customFormat="1">
      <c r="A26" s="561"/>
      <c r="B26" s="543"/>
      <c r="C26" s="1135" t="s">
        <v>748</v>
      </c>
      <c r="D26" s="1136"/>
      <c r="E26" s="1137"/>
      <c r="F26" s="543"/>
      <c r="G26" s="1137"/>
      <c r="H26" s="1137"/>
      <c r="I26" s="543"/>
      <c r="J26" s="1137"/>
      <c r="K26" s="543"/>
      <c r="L26" s="1137"/>
      <c r="M26" s="1138"/>
      <c r="N26" s="1139"/>
      <c r="O26" s="1139"/>
      <c r="P26" s="566"/>
      <c r="Q26" s="566"/>
      <c r="R26" s="566"/>
      <c r="S26" s="566"/>
      <c r="T26" s="566"/>
      <c r="U26" s="568"/>
      <c r="V26" s="568"/>
      <c r="W26" s="568"/>
      <c r="X26" s="568"/>
    </row>
    <row r="27" spans="1:24" s="571" customFormat="1" ht="37.5">
      <c r="A27" s="561"/>
      <c r="B27" s="543"/>
      <c r="C27" s="568" t="s">
        <v>1070</v>
      </c>
      <c r="D27" s="1136">
        <v>8068</v>
      </c>
      <c r="E27" s="1137">
        <v>36165800</v>
      </c>
      <c r="F27" s="543">
        <v>1</v>
      </c>
      <c r="G27" s="1137">
        <v>36165800</v>
      </c>
      <c r="H27" s="1137">
        <v>36165800</v>
      </c>
      <c r="I27" s="543"/>
      <c r="J27" s="1137"/>
      <c r="K27" s="543"/>
      <c r="L27" s="1137">
        <f>SUM(G27:K27)</f>
        <v>72331600</v>
      </c>
      <c r="M27" s="1138" t="s">
        <v>884</v>
      </c>
      <c r="N27" s="1139" t="s">
        <v>163</v>
      </c>
      <c r="O27" s="1139" t="s">
        <v>164</v>
      </c>
      <c r="P27" s="566" t="s">
        <v>19</v>
      </c>
      <c r="Q27" s="566" t="s">
        <v>3</v>
      </c>
      <c r="R27" s="566" t="s">
        <v>1071</v>
      </c>
      <c r="S27" s="566"/>
      <c r="T27" s="566"/>
      <c r="U27" s="568"/>
      <c r="V27" s="568"/>
      <c r="W27" s="568"/>
      <c r="X27" s="568"/>
    </row>
    <row r="28" spans="1:24" s="537" customFormat="1" ht="37.5">
      <c r="A28" s="522"/>
      <c r="B28" s="523"/>
      <c r="C28" s="1140" t="s">
        <v>1064</v>
      </c>
      <c r="D28" s="1141">
        <v>10673</v>
      </c>
      <c r="E28" s="1142">
        <v>19808200</v>
      </c>
      <c r="F28" s="1143">
        <v>1</v>
      </c>
      <c r="G28" s="1142">
        <v>19808200</v>
      </c>
      <c r="H28" s="1142">
        <v>19808200</v>
      </c>
      <c r="I28" s="523"/>
      <c r="J28" s="526"/>
      <c r="K28" s="523"/>
      <c r="L28" s="1137">
        <f>SUM(G28:K28)</f>
        <v>39616400</v>
      </c>
      <c r="M28" s="1144" t="s">
        <v>885</v>
      </c>
      <c r="N28" s="1145" t="s">
        <v>476</v>
      </c>
      <c r="O28" s="1145" t="s">
        <v>1072</v>
      </c>
      <c r="P28" s="532" t="s">
        <v>19</v>
      </c>
      <c r="Q28" s="532" t="s">
        <v>5</v>
      </c>
      <c r="R28" s="532"/>
      <c r="S28" s="532"/>
      <c r="T28" s="532"/>
      <c r="U28" s="534"/>
      <c r="V28" s="534"/>
      <c r="W28" s="534"/>
      <c r="X28" s="534"/>
    </row>
    <row r="29" spans="1:24" s="537" customFormat="1">
      <c r="A29" s="522"/>
      <c r="B29" s="523"/>
      <c r="C29" s="524" t="s">
        <v>1073</v>
      </c>
      <c r="D29" s="1146">
        <v>10014</v>
      </c>
      <c r="E29" s="1056">
        <v>40882300</v>
      </c>
      <c r="F29" s="523">
        <v>1</v>
      </c>
      <c r="G29" s="1056">
        <v>40882300</v>
      </c>
      <c r="H29" s="1056">
        <v>40882300</v>
      </c>
      <c r="I29" s="523"/>
      <c r="J29" s="526"/>
      <c r="K29" s="523"/>
      <c r="L29" s="1137">
        <f>SUM(G29:K29)</f>
        <v>81764600</v>
      </c>
      <c r="M29" s="1144" t="s">
        <v>886</v>
      </c>
      <c r="N29" s="1145" t="s">
        <v>470</v>
      </c>
      <c r="O29" s="1145" t="s">
        <v>1074</v>
      </c>
      <c r="P29" s="532" t="s">
        <v>19</v>
      </c>
      <c r="Q29" s="532" t="s">
        <v>5</v>
      </c>
      <c r="R29" s="532"/>
      <c r="S29" s="532"/>
      <c r="T29" s="532"/>
      <c r="U29" s="534"/>
      <c r="V29" s="534"/>
      <c r="W29" s="534"/>
      <c r="X29" s="534"/>
    </row>
    <row r="30" spans="1:24" s="537" customFormat="1" ht="37.5">
      <c r="A30" s="522"/>
      <c r="B30" s="523"/>
      <c r="C30" s="524" t="s">
        <v>1065</v>
      </c>
      <c r="D30" s="1146" t="s">
        <v>1075</v>
      </c>
      <c r="E30" s="526">
        <v>3394000</v>
      </c>
      <c r="F30" s="523">
        <v>1</v>
      </c>
      <c r="G30" s="526">
        <f>E30</f>
        <v>3394000</v>
      </c>
      <c r="H30" s="526">
        <f>F30</f>
        <v>1</v>
      </c>
      <c r="I30" s="523"/>
      <c r="J30" s="526"/>
      <c r="K30" s="523"/>
      <c r="L30" s="1137">
        <f>SUM(G30:K30)</f>
        <v>3394001</v>
      </c>
      <c r="M30" s="1147" t="s">
        <v>517</v>
      </c>
      <c r="N30" s="1147" t="s">
        <v>163</v>
      </c>
      <c r="O30" s="1147" t="s">
        <v>518</v>
      </c>
      <c r="P30" s="1147" t="s">
        <v>19</v>
      </c>
      <c r="Q30" s="1147" t="s">
        <v>173</v>
      </c>
      <c r="R30" s="532"/>
      <c r="S30" s="532"/>
      <c r="T30" s="532"/>
      <c r="U30" s="534"/>
      <c r="V30" s="534"/>
      <c r="W30" s="534"/>
      <c r="X30" s="534"/>
    </row>
    <row r="31" spans="1:24" s="1159" customFormat="1" ht="37.5">
      <c r="A31" s="1148"/>
      <c r="B31" s="1149"/>
      <c r="C31" s="1150" t="s">
        <v>1076</v>
      </c>
      <c r="D31" s="1151">
        <v>10014</v>
      </c>
      <c r="E31" s="1152">
        <v>40882300</v>
      </c>
      <c r="F31" s="1149">
        <v>1</v>
      </c>
      <c r="G31" s="1153"/>
      <c r="H31" s="1153"/>
      <c r="I31" s="1149"/>
      <c r="J31" s="1153"/>
      <c r="K31" s="1149"/>
      <c r="L31" s="1154">
        <f t="shared" ref="L31:L36" si="1">SUM(G31:K31)</f>
        <v>0</v>
      </c>
      <c r="M31" s="1155" t="s">
        <v>888</v>
      </c>
      <c r="N31" s="1156" t="s">
        <v>513</v>
      </c>
      <c r="O31" s="1156" t="s">
        <v>513</v>
      </c>
      <c r="P31" s="1156" t="s">
        <v>19</v>
      </c>
      <c r="Q31" s="1157" t="s">
        <v>181</v>
      </c>
      <c r="R31" s="1157" t="s">
        <v>1071</v>
      </c>
      <c r="S31" s="1157"/>
      <c r="T31" s="1157"/>
      <c r="U31" s="1158"/>
      <c r="V31" s="1158"/>
      <c r="W31" s="1158"/>
      <c r="X31" s="1158"/>
    </row>
    <row r="32" spans="1:24" s="537" customFormat="1" ht="21" customHeight="1">
      <c r="A32" s="522"/>
      <c r="B32" s="523"/>
      <c r="C32" s="524" t="s">
        <v>1077</v>
      </c>
      <c r="D32" s="1160" t="s">
        <v>1078</v>
      </c>
      <c r="E32" s="526">
        <v>1450400</v>
      </c>
      <c r="F32" s="523">
        <v>1</v>
      </c>
      <c r="G32" s="526"/>
      <c r="H32" s="526"/>
      <c r="I32" s="529">
        <v>1450400</v>
      </c>
      <c r="J32" s="526"/>
      <c r="K32" s="523"/>
      <c r="L32" s="1137">
        <f t="shared" si="1"/>
        <v>1450400</v>
      </c>
      <c r="M32" s="1147" t="s">
        <v>517</v>
      </c>
      <c r="N32" s="1147" t="s">
        <v>163</v>
      </c>
      <c r="O32" s="1147" t="s">
        <v>518</v>
      </c>
      <c r="P32" s="1147" t="s">
        <v>19</v>
      </c>
      <c r="Q32" s="1147" t="s">
        <v>173</v>
      </c>
      <c r="R32" s="532"/>
      <c r="S32" s="532"/>
      <c r="T32" s="532"/>
      <c r="U32" s="534"/>
      <c r="V32" s="534"/>
      <c r="W32" s="534"/>
      <c r="X32" s="534"/>
    </row>
    <row r="33" spans="1:24" s="537" customFormat="1" ht="37.5">
      <c r="A33" s="522"/>
      <c r="B33" s="523"/>
      <c r="C33" s="524" t="s">
        <v>1066</v>
      </c>
      <c r="D33" s="1146">
        <v>9701</v>
      </c>
      <c r="E33" s="526">
        <v>2866700</v>
      </c>
      <c r="F33" s="523">
        <v>1</v>
      </c>
      <c r="G33" s="526"/>
      <c r="H33" s="526"/>
      <c r="I33" s="523"/>
      <c r="J33" s="526">
        <f>E33</f>
        <v>2866700</v>
      </c>
      <c r="K33" s="523"/>
      <c r="L33" s="1137">
        <f t="shared" si="1"/>
        <v>2866700</v>
      </c>
      <c r="M33" s="1147" t="s">
        <v>517</v>
      </c>
      <c r="N33" s="1147" t="s">
        <v>163</v>
      </c>
      <c r="O33" s="1147" t="s">
        <v>518</v>
      </c>
      <c r="P33" s="1147" t="s">
        <v>19</v>
      </c>
      <c r="Q33" s="1147" t="s">
        <v>173</v>
      </c>
      <c r="R33" s="532"/>
      <c r="S33" s="532"/>
      <c r="T33" s="532"/>
      <c r="U33" s="534"/>
      <c r="V33" s="534"/>
      <c r="W33" s="534"/>
      <c r="X33" s="534"/>
    </row>
    <row r="34" spans="1:24" s="571" customFormat="1" ht="40.5">
      <c r="A34" s="561"/>
      <c r="B34" s="543"/>
      <c r="C34" s="1161" t="s">
        <v>1041</v>
      </c>
      <c r="D34" s="1162">
        <v>10746</v>
      </c>
      <c r="E34" s="1163">
        <v>3100000</v>
      </c>
      <c r="F34" s="1164">
        <v>1</v>
      </c>
      <c r="G34" s="1163"/>
      <c r="H34" s="1163"/>
      <c r="I34" s="1164"/>
      <c r="J34" s="148"/>
      <c r="K34" s="1165"/>
      <c r="L34" s="1137">
        <f t="shared" si="1"/>
        <v>0</v>
      </c>
      <c r="M34" s="1166" t="s">
        <v>1021</v>
      </c>
      <c r="N34" s="1167" t="s">
        <v>513</v>
      </c>
      <c r="O34" s="1167" t="s">
        <v>1079</v>
      </c>
      <c r="P34" s="1168" t="s">
        <v>19</v>
      </c>
      <c r="Q34" s="1168" t="s">
        <v>10</v>
      </c>
      <c r="R34" s="566"/>
      <c r="S34" s="566"/>
      <c r="T34" s="566"/>
      <c r="U34" s="568"/>
      <c r="V34" s="568"/>
      <c r="W34" s="568"/>
      <c r="X34" s="568"/>
    </row>
    <row r="35" spans="1:24" s="571" customFormat="1" ht="39.75" customHeight="1">
      <c r="A35" s="561"/>
      <c r="B35" s="543"/>
      <c r="C35" s="152" t="s">
        <v>1067</v>
      </c>
      <c r="D35" s="1162">
        <v>10746</v>
      </c>
      <c r="E35" s="1163">
        <v>3100000</v>
      </c>
      <c r="F35" s="1164">
        <v>1</v>
      </c>
      <c r="G35" s="1163"/>
      <c r="H35" s="1163"/>
      <c r="I35" s="1164"/>
      <c r="J35" s="148"/>
      <c r="K35" s="1165"/>
      <c r="L35" s="1137">
        <f t="shared" si="1"/>
        <v>0</v>
      </c>
      <c r="M35" s="1169" t="s">
        <v>1062</v>
      </c>
      <c r="N35" s="1167" t="s">
        <v>163</v>
      </c>
      <c r="O35" s="1167"/>
      <c r="P35" s="1168" t="s">
        <v>19</v>
      </c>
      <c r="Q35" s="1168" t="s">
        <v>10</v>
      </c>
      <c r="R35" s="566"/>
      <c r="S35" s="566"/>
      <c r="T35" s="566"/>
      <c r="U35" s="568"/>
      <c r="V35" s="568"/>
      <c r="W35" s="568"/>
      <c r="X35" s="568"/>
    </row>
    <row r="36" spans="1:24" s="571" customFormat="1" ht="75">
      <c r="A36" s="561"/>
      <c r="B36" s="543"/>
      <c r="C36" s="152" t="s">
        <v>1068</v>
      </c>
      <c r="D36" s="1170">
        <v>10746</v>
      </c>
      <c r="E36" s="1171">
        <v>3100000</v>
      </c>
      <c r="F36" s="1164">
        <v>1</v>
      </c>
      <c r="G36" s="1171"/>
      <c r="H36" s="1171"/>
      <c r="I36" s="1164"/>
      <c r="J36" s="148"/>
      <c r="K36" s="1165"/>
      <c r="L36" s="1137">
        <f t="shared" si="1"/>
        <v>0</v>
      </c>
      <c r="M36" s="1169" t="s">
        <v>1063</v>
      </c>
      <c r="N36" s="1167" t="s">
        <v>493</v>
      </c>
      <c r="O36" s="1167" t="s">
        <v>1080</v>
      </c>
      <c r="P36" s="1168" t="s">
        <v>19</v>
      </c>
      <c r="Q36" s="1172" t="s">
        <v>10</v>
      </c>
      <c r="R36" s="566"/>
      <c r="S36" s="566"/>
      <c r="T36" s="566"/>
      <c r="U36" s="568"/>
      <c r="V36" s="568"/>
      <c r="W36" s="568"/>
      <c r="X36" s="568"/>
    </row>
    <row r="37" spans="1:24" s="537" customFormat="1">
      <c r="A37" s="582"/>
      <c r="B37" s="583"/>
      <c r="C37" s="591" t="s">
        <v>1081</v>
      </c>
      <c r="D37" s="1173"/>
      <c r="E37" s="1061"/>
      <c r="F37" s="583"/>
      <c r="G37" s="586">
        <f>SUM(G26:G36)</f>
        <v>100250300</v>
      </c>
      <c r="H37" s="586">
        <f>SUM(H26:H36)</f>
        <v>96856301</v>
      </c>
      <c r="I37" s="586">
        <f t="shared" ref="I37:L37" si="2">SUM(I26:I36)</f>
        <v>1450400</v>
      </c>
      <c r="J37" s="586">
        <f t="shared" si="2"/>
        <v>2866700</v>
      </c>
      <c r="K37" s="586">
        <f t="shared" si="2"/>
        <v>0</v>
      </c>
      <c r="L37" s="586">
        <f t="shared" si="2"/>
        <v>201423701</v>
      </c>
      <c r="M37" s="1048"/>
      <c r="N37" s="1174"/>
      <c r="O37" s="1174"/>
      <c r="P37" s="589"/>
      <c r="Q37" s="589"/>
      <c r="R37" s="532"/>
      <c r="S37" s="532"/>
      <c r="T37" s="532"/>
      <c r="U37" s="534"/>
      <c r="V37" s="534"/>
      <c r="W37" s="534"/>
      <c r="X37" s="534"/>
    </row>
    <row r="38" spans="1:24">
      <c r="A38" s="1199" t="s">
        <v>1096</v>
      </c>
      <c r="B38" s="1321"/>
      <c r="C38" s="1189"/>
      <c r="D38" s="1188"/>
      <c r="E38" s="1188"/>
      <c r="F38" s="1188"/>
      <c r="G38" s="1188"/>
      <c r="H38" s="1188"/>
    </row>
    <row r="39" spans="1:24">
      <c r="A39" s="1290" t="s">
        <v>0</v>
      </c>
      <c r="B39" s="1291" t="s">
        <v>1</v>
      </c>
      <c r="C39" s="1292" t="s">
        <v>1168</v>
      </c>
      <c r="D39" s="1293" t="s">
        <v>1098</v>
      </c>
      <c r="E39" s="1293" t="s">
        <v>1099</v>
      </c>
      <c r="F39" s="1293" t="s">
        <v>1152</v>
      </c>
      <c r="G39" s="1292" t="s">
        <v>1106</v>
      </c>
      <c r="H39" s="1292" t="s">
        <v>1177</v>
      </c>
      <c r="I39" s="1292" t="s">
        <v>1178</v>
      </c>
      <c r="J39" s="1292" t="s">
        <v>1179</v>
      </c>
      <c r="K39" s="1317"/>
      <c r="L39" s="1318"/>
    </row>
    <row r="40" spans="1:24">
      <c r="A40" s="1294"/>
      <c r="B40" s="1295" t="s">
        <v>16</v>
      </c>
      <c r="C40" s="1296" t="s">
        <v>2</v>
      </c>
      <c r="D40" s="1297" t="s">
        <v>4</v>
      </c>
      <c r="E40" s="1296" t="s">
        <v>6</v>
      </c>
      <c r="F40" s="1296" t="s">
        <v>6</v>
      </c>
      <c r="G40" s="1296" t="s">
        <v>6</v>
      </c>
      <c r="H40" s="1296" t="s">
        <v>10</v>
      </c>
      <c r="I40" s="1296" t="s">
        <v>10</v>
      </c>
      <c r="J40" s="1296" t="s">
        <v>10</v>
      </c>
      <c r="K40" s="1319"/>
      <c r="L40" s="1320"/>
    </row>
    <row r="41" spans="1:24" ht="131.25" customHeight="1">
      <c r="A41" s="1279">
        <v>2561</v>
      </c>
      <c r="B41" s="1298">
        <f>13140400+3140800</f>
        <v>16281200</v>
      </c>
      <c r="C41" s="1299" t="s">
        <v>1169</v>
      </c>
      <c r="D41" s="1281" t="s">
        <v>1170</v>
      </c>
      <c r="E41" s="1279"/>
      <c r="F41" s="1279"/>
      <c r="G41" s="1279"/>
      <c r="H41" s="1306" t="s">
        <v>1176</v>
      </c>
      <c r="I41" s="1279"/>
      <c r="J41" s="1279"/>
      <c r="K41" s="1307"/>
      <c r="L41" s="1308"/>
    </row>
    <row r="42" spans="1:24" ht="168.75">
      <c r="A42" s="1282">
        <v>2562</v>
      </c>
      <c r="B42" s="1300">
        <f>14006100+3140800</f>
        <v>17146900</v>
      </c>
      <c r="C42" s="1284" t="s">
        <v>1171</v>
      </c>
      <c r="D42" s="1282"/>
      <c r="E42" s="1282"/>
      <c r="F42" s="1282"/>
      <c r="G42" s="1282"/>
      <c r="H42" s="1282"/>
      <c r="I42" s="1306" t="s">
        <v>1180</v>
      </c>
      <c r="J42" s="1282"/>
      <c r="K42" s="1309"/>
      <c r="L42" s="1310"/>
    </row>
    <row r="43" spans="1:24" ht="107.85" customHeight="1">
      <c r="A43" s="1282">
        <v>2563</v>
      </c>
      <c r="B43" s="1301">
        <f>29500000+3140800</f>
        <v>32640800</v>
      </c>
      <c r="C43" s="1282"/>
      <c r="D43" s="1284" t="s">
        <v>1172</v>
      </c>
      <c r="E43" s="1282"/>
      <c r="F43" s="1282"/>
      <c r="G43" s="1281"/>
      <c r="H43" s="1281"/>
      <c r="I43" s="1281"/>
      <c r="J43" s="1306" t="s">
        <v>1180</v>
      </c>
      <c r="K43" s="1311"/>
      <c r="L43" s="1312"/>
    </row>
    <row r="44" spans="1:24" ht="205.7" customHeight="1">
      <c r="A44" s="1282">
        <v>2564</v>
      </c>
      <c r="B44" s="1300">
        <v>5119900</v>
      </c>
      <c r="C44" s="1284" t="s">
        <v>1173</v>
      </c>
      <c r="D44" s="1282"/>
      <c r="E44" s="1282"/>
      <c r="F44" s="1284" t="s">
        <v>1174</v>
      </c>
      <c r="G44" s="1282"/>
      <c r="H44" s="1282"/>
      <c r="I44" s="1282"/>
      <c r="J44" s="1282"/>
      <c r="K44" s="1309"/>
      <c r="L44" s="1310"/>
    </row>
    <row r="45" spans="1:24" ht="170.1" customHeight="1">
      <c r="A45" s="1286">
        <v>2565</v>
      </c>
      <c r="B45" s="1289">
        <v>6570200</v>
      </c>
      <c r="C45" s="1286"/>
      <c r="D45" s="1286"/>
      <c r="E45" s="1302" t="s">
        <v>1175</v>
      </c>
      <c r="F45" s="1286"/>
      <c r="G45" s="1286"/>
      <c r="H45" s="1286"/>
      <c r="I45" s="1286"/>
      <c r="J45" s="1286"/>
      <c r="K45" s="1313"/>
      <c r="L45" s="1314"/>
    </row>
    <row r="46" spans="1:24">
      <c r="A46" s="1287" t="s">
        <v>8</v>
      </c>
      <c r="B46" s="1303">
        <f>SUM(B41:B45)</f>
        <v>77759000</v>
      </c>
      <c r="C46" s="1303">
        <f>6570200+14006100+3000000</f>
        <v>23576300</v>
      </c>
      <c r="D46" s="1303">
        <v>36070200</v>
      </c>
      <c r="E46" s="1304">
        <v>6570200</v>
      </c>
      <c r="F46" s="1303">
        <v>2119900</v>
      </c>
      <c r="G46" s="1303">
        <v>6570200</v>
      </c>
      <c r="H46" s="1303" t="s">
        <v>1181</v>
      </c>
      <c r="I46" s="1303" t="s">
        <v>1181</v>
      </c>
      <c r="J46" s="1303" t="s">
        <v>1181</v>
      </c>
      <c r="K46" s="1315"/>
      <c r="L46" s="1316"/>
    </row>
  </sheetData>
  <mergeCells count="31">
    <mergeCell ref="D13:J13"/>
    <mergeCell ref="K13:K14"/>
    <mergeCell ref="A22:U22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U24:X24"/>
    <mergeCell ref="A12:F12"/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U5:X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"/>
  <sheetViews>
    <sheetView topLeftCell="A13" workbookViewId="0">
      <selection activeCell="AD11" sqref="AD11"/>
    </sheetView>
  </sheetViews>
  <sheetFormatPr defaultColWidth="9" defaultRowHeight="18.75"/>
  <cols>
    <col min="1" max="1" width="6" style="8" customWidth="1"/>
    <col min="2" max="2" width="12.75" style="8" customWidth="1"/>
    <col min="3" max="4" width="2.125" style="8" customWidth="1"/>
    <col min="5" max="6" width="2.875" style="8" customWidth="1"/>
    <col min="7" max="11" width="2.125" style="8" customWidth="1"/>
    <col min="12" max="13" width="2.625" style="8" customWidth="1"/>
    <col min="14" max="18" width="2.125" style="8" customWidth="1"/>
    <col min="19" max="20" width="2.75" style="8" customWidth="1"/>
    <col min="21" max="23" width="2.125" style="8" customWidth="1"/>
    <col min="24" max="24" width="2.5" style="8" customWidth="1"/>
    <col min="25" max="25" width="2.75" style="8" customWidth="1"/>
    <col min="26" max="27" width="2.625" style="8" customWidth="1"/>
    <col min="28" max="28" width="2.5" style="8" customWidth="1"/>
    <col min="29" max="30" width="3" style="8" customWidth="1"/>
    <col min="31" max="31" width="2.375" style="8" customWidth="1"/>
    <col min="32" max="32" width="2.625" style="8" customWidth="1"/>
    <col min="33" max="34" width="2.75" style="8" customWidth="1"/>
    <col min="35" max="36" width="2.625" style="8" customWidth="1"/>
    <col min="37" max="37" width="2.875" style="8" customWidth="1"/>
    <col min="38" max="38" width="2.625" style="8" customWidth="1"/>
    <col min="39" max="39" width="2.125" style="8" customWidth="1"/>
    <col min="40" max="41" width="2.875" style="8" customWidth="1"/>
    <col min="42" max="44" width="2.125" style="8" customWidth="1"/>
    <col min="45" max="45" width="2.375" style="8" customWidth="1"/>
    <col min="46" max="46" width="2.625" style="8" customWidth="1"/>
    <col min="47" max="47" width="3" style="8" customWidth="1"/>
    <col min="48" max="48" width="3.125" style="8" customWidth="1"/>
    <col min="49" max="49" width="2.625" style="8" customWidth="1"/>
    <col min="50" max="50" width="3" style="8" customWidth="1"/>
    <col min="51" max="53" width="2.125" style="8" customWidth="1"/>
    <col min="54" max="55" width="2.875" style="8" customWidth="1"/>
    <col min="56" max="58" width="2.125" style="8" customWidth="1"/>
    <col min="59" max="59" width="5.375" style="8" customWidth="1"/>
    <col min="60" max="64" width="2.625" style="8" customWidth="1"/>
    <col min="65" max="73" width="2.75" style="8" customWidth="1"/>
    <col min="74" max="74" width="3.375" style="8" customWidth="1"/>
    <col min="75" max="16384" width="9" style="8"/>
  </cols>
  <sheetData>
    <row r="1" spans="1:59" ht="31.5" customHeight="1">
      <c r="A1" s="3" t="s">
        <v>14</v>
      </c>
      <c r="B1" s="3"/>
    </row>
    <row r="2" spans="1:59" ht="31.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59" ht="31.5" customHeight="1"/>
    <row r="4" spans="1:59" s="5" customFormat="1" ht="40.5" customHeight="1">
      <c r="A4" s="14" t="s">
        <v>0</v>
      </c>
      <c r="B4" s="14" t="s">
        <v>1</v>
      </c>
      <c r="C4" s="1340" t="s">
        <v>17</v>
      </c>
      <c r="D4" s="1340"/>
      <c r="E4" s="1340"/>
      <c r="F4" s="1340"/>
      <c r="G4" s="1340"/>
      <c r="H4" s="1340"/>
      <c r="I4" s="1340"/>
      <c r="J4" s="1340" t="s">
        <v>18</v>
      </c>
      <c r="K4" s="1340"/>
      <c r="L4" s="1340"/>
      <c r="M4" s="1340"/>
      <c r="N4" s="1340"/>
      <c r="O4" s="1340"/>
      <c r="P4" s="1340"/>
      <c r="Q4" s="1340" t="s">
        <v>19</v>
      </c>
      <c r="R4" s="1340"/>
      <c r="S4" s="1340"/>
      <c r="T4" s="1340"/>
      <c r="U4" s="1340"/>
      <c r="V4" s="1340"/>
      <c r="W4" s="1340"/>
      <c r="X4" s="1340" t="s">
        <v>20</v>
      </c>
      <c r="Y4" s="1340"/>
      <c r="Z4" s="1340"/>
      <c r="AA4" s="1340"/>
      <c r="AB4" s="1340"/>
      <c r="AC4" s="1340"/>
      <c r="AD4" s="1340"/>
      <c r="AE4" s="1340" t="s">
        <v>21</v>
      </c>
      <c r="AF4" s="1340"/>
      <c r="AG4" s="1340"/>
      <c r="AH4" s="1340"/>
      <c r="AI4" s="1340"/>
      <c r="AJ4" s="1340"/>
      <c r="AK4" s="1340"/>
      <c r="AL4" s="1340" t="s">
        <v>22</v>
      </c>
      <c r="AM4" s="1340"/>
      <c r="AN4" s="1340"/>
      <c r="AO4" s="1340"/>
      <c r="AP4" s="1340"/>
      <c r="AQ4" s="1340"/>
      <c r="AR4" s="1340"/>
      <c r="AS4" s="1340" t="s">
        <v>23</v>
      </c>
      <c r="AT4" s="1340"/>
      <c r="AU4" s="1340"/>
      <c r="AV4" s="1340"/>
      <c r="AW4" s="1340"/>
      <c r="AX4" s="1340"/>
      <c r="AY4" s="1340"/>
      <c r="AZ4" s="1340" t="s">
        <v>24</v>
      </c>
      <c r="BA4" s="1340"/>
      <c r="BB4" s="1340"/>
      <c r="BC4" s="1340"/>
      <c r="BD4" s="1340"/>
      <c r="BE4" s="1340"/>
      <c r="BF4" s="1340"/>
      <c r="BG4" s="1341" t="s">
        <v>8</v>
      </c>
    </row>
    <row r="5" spans="1:59" s="5" customFormat="1" ht="40.5" customHeight="1">
      <c r="A5" s="33"/>
      <c r="B5" s="33" t="s">
        <v>16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10</v>
      </c>
      <c r="I5" s="34" t="s">
        <v>11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10</v>
      </c>
      <c r="P5" s="34" t="s">
        <v>11</v>
      </c>
      <c r="Q5" s="34" t="s">
        <v>2</v>
      </c>
      <c r="R5" s="34" t="s">
        <v>3</v>
      </c>
      <c r="S5" s="34" t="s">
        <v>4</v>
      </c>
      <c r="T5" s="34" t="s">
        <v>5</v>
      </c>
      <c r="U5" s="34" t="s">
        <v>6</v>
      </c>
      <c r="V5" s="34" t="s">
        <v>10</v>
      </c>
      <c r="W5" s="34" t="s">
        <v>11</v>
      </c>
      <c r="X5" s="34" t="s">
        <v>2</v>
      </c>
      <c r="Y5" s="34" t="s">
        <v>3</v>
      </c>
      <c r="Z5" s="34" t="s">
        <v>4</v>
      </c>
      <c r="AA5" s="34" t="s">
        <v>5</v>
      </c>
      <c r="AB5" s="34" t="s">
        <v>6</v>
      </c>
      <c r="AC5" s="34" t="s">
        <v>10</v>
      </c>
      <c r="AD5" s="34" t="s">
        <v>11</v>
      </c>
      <c r="AE5" s="34" t="s">
        <v>2</v>
      </c>
      <c r="AF5" s="34" t="s">
        <v>3</v>
      </c>
      <c r="AG5" s="34" t="s">
        <v>4</v>
      </c>
      <c r="AH5" s="34" t="s">
        <v>5</v>
      </c>
      <c r="AI5" s="34" t="s">
        <v>6</v>
      </c>
      <c r="AJ5" s="34" t="s">
        <v>10</v>
      </c>
      <c r="AK5" s="34" t="s">
        <v>11</v>
      </c>
      <c r="AL5" s="34" t="s">
        <v>2</v>
      </c>
      <c r="AM5" s="34" t="s">
        <v>3</v>
      </c>
      <c r="AN5" s="34" t="s">
        <v>4</v>
      </c>
      <c r="AO5" s="34" t="s">
        <v>5</v>
      </c>
      <c r="AP5" s="34" t="s">
        <v>6</v>
      </c>
      <c r="AQ5" s="34" t="s">
        <v>10</v>
      </c>
      <c r="AR5" s="34" t="s">
        <v>11</v>
      </c>
      <c r="AS5" s="34" t="s">
        <v>2</v>
      </c>
      <c r="AT5" s="34" t="s">
        <v>3</v>
      </c>
      <c r="AU5" s="34" t="s">
        <v>4</v>
      </c>
      <c r="AV5" s="34" t="s">
        <v>5</v>
      </c>
      <c r="AW5" s="34" t="s">
        <v>6</v>
      </c>
      <c r="AX5" s="34" t="s">
        <v>10</v>
      </c>
      <c r="AY5" s="34" t="s">
        <v>11</v>
      </c>
      <c r="AZ5" s="34" t="s">
        <v>2</v>
      </c>
      <c r="BA5" s="34" t="s">
        <v>3</v>
      </c>
      <c r="BB5" s="34" t="s">
        <v>4</v>
      </c>
      <c r="BC5" s="34" t="s">
        <v>5</v>
      </c>
      <c r="BD5" s="34" t="s">
        <v>6</v>
      </c>
      <c r="BE5" s="34" t="s">
        <v>10</v>
      </c>
      <c r="BF5" s="34" t="s">
        <v>11</v>
      </c>
      <c r="BG5" s="1437"/>
    </row>
    <row r="6" spans="1:59" ht="40.5" customHeight="1">
      <c r="A6" s="20">
        <v>2561</v>
      </c>
      <c r="B6" s="509">
        <f>SUM(C6:BF6)</f>
        <v>65201800</v>
      </c>
      <c r="C6" s="265">
        <v>0</v>
      </c>
      <c r="D6" s="265">
        <v>0</v>
      </c>
      <c r="E6" s="265">
        <v>0</v>
      </c>
      <c r="F6" s="265">
        <v>0</v>
      </c>
      <c r="G6" s="235">
        <v>17458800</v>
      </c>
      <c r="H6" s="265">
        <v>0</v>
      </c>
      <c r="I6" s="235">
        <v>2500000</v>
      </c>
      <c r="J6" s="9"/>
      <c r="K6" s="9"/>
      <c r="L6" s="9"/>
      <c r="M6" s="9"/>
      <c r="N6" s="9"/>
      <c r="O6" s="9"/>
      <c r="P6" s="235">
        <v>7600000</v>
      </c>
      <c r="Q6" s="9"/>
      <c r="R6" s="9"/>
      <c r="S6" s="9"/>
      <c r="T6" s="9"/>
      <c r="U6" s="9"/>
      <c r="V6" s="235">
        <v>5000000</v>
      </c>
      <c r="W6" s="235"/>
      <c r="X6" s="265">
        <v>0</v>
      </c>
      <c r="Y6" s="265">
        <v>0</v>
      </c>
      <c r="Z6" s="265">
        <v>0</v>
      </c>
      <c r="AA6" s="265">
        <v>0</v>
      </c>
      <c r="AB6" s="265">
        <v>0</v>
      </c>
      <c r="AC6" s="265">
        <v>0</v>
      </c>
      <c r="AD6" s="235">
        <v>3819000</v>
      </c>
      <c r="AE6" s="265">
        <v>0</v>
      </c>
      <c r="AF6" s="265">
        <v>0</v>
      </c>
      <c r="AG6" s="265">
        <v>0</v>
      </c>
      <c r="AH6" s="265">
        <v>0</v>
      </c>
      <c r="AI6" s="265">
        <v>0</v>
      </c>
      <c r="AJ6" s="265">
        <v>0</v>
      </c>
      <c r="AK6" s="265">
        <v>0</v>
      </c>
      <c r="AL6" s="9"/>
      <c r="AM6" s="9"/>
      <c r="AN6" s="9"/>
      <c r="AO6" s="9"/>
      <c r="AP6" s="9"/>
      <c r="AQ6" s="9"/>
      <c r="AR6" s="512">
        <v>3819000</v>
      </c>
      <c r="AS6" s="265">
        <v>0</v>
      </c>
      <c r="AT6" s="265">
        <v>0</v>
      </c>
      <c r="AU6" s="265">
        <v>0</v>
      </c>
      <c r="AV6" s="265">
        <v>0</v>
      </c>
      <c r="AW6" s="265">
        <v>0</v>
      </c>
      <c r="AX6" s="265">
        <v>0</v>
      </c>
      <c r="AY6" s="512">
        <v>3819000</v>
      </c>
      <c r="AZ6" s="9"/>
      <c r="BA6" s="9"/>
      <c r="BB6" s="9"/>
      <c r="BC6" s="9"/>
      <c r="BD6" s="9"/>
      <c r="BE6" s="9"/>
      <c r="BF6" s="512">
        <v>21186000</v>
      </c>
      <c r="BG6" s="10"/>
    </row>
    <row r="7" spans="1:59" ht="40.5" customHeight="1">
      <c r="A7" s="21">
        <v>2562</v>
      </c>
      <c r="B7" s="509">
        <f t="shared" ref="B7:B11" si="0">SUM(C7:BF7)</f>
        <v>5319000</v>
      </c>
      <c r="C7" s="265">
        <v>0</v>
      </c>
      <c r="D7" s="265">
        <v>0</v>
      </c>
      <c r="E7" s="265">
        <v>0</v>
      </c>
      <c r="F7" s="265">
        <v>0</v>
      </c>
      <c r="G7" s="265">
        <v>0</v>
      </c>
      <c r="H7" s="265">
        <v>0</v>
      </c>
      <c r="I7" s="23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35">
        <v>1500000</v>
      </c>
      <c r="X7" s="265">
        <v>0</v>
      </c>
      <c r="Y7" s="265">
        <v>0</v>
      </c>
      <c r="Z7" s="265">
        <v>0</v>
      </c>
      <c r="AA7" s="265">
        <v>0</v>
      </c>
      <c r="AB7" s="265">
        <v>0</v>
      </c>
      <c r="AC7" s="265">
        <v>0</v>
      </c>
      <c r="AD7" s="265">
        <v>0</v>
      </c>
      <c r="AE7" s="265">
        <v>0</v>
      </c>
      <c r="AF7" s="265">
        <v>0</v>
      </c>
      <c r="AG7" s="265">
        <v>0</v>
      </c>
      <c r="AH7" s="265">
        <v>0</v>
      </c>
      <c r="AI7" s="265">
        <v>0</v>
      </c>
      <c r="AJ7" s="265">
        <v>0</v>
      </c>
      <c r="AK7" s="265">
        <v>0</v>
      </c>
      <c r="AL7" s="10"/>
      <c r="AM7" s="10"/>
      <c r="AN7" s="10"/>
      <c r="AO7" s="10"/>
      <c r="AP7" s="10"/>
      <c r="AQ7" s="10"/>
      <c r="AR7" s="512">
        <v>3819000</v>
      </c>
      <c r="AS7" s="265">
        <v>0</v>
      </c>
      <c r="AT7" s="265">
        <v>0</v>
      </c>
      <c r="AU7" s="265">
        <v>0</v>
      </c>
      <c r="AV7" s="265">
        <v>0</v>
      </c>
      <c r="AW7" s="265">
        <v>0</v>
      </c>
      <c r="AX7" s="265">
        <v>0</v>
      </c>
      <c r="AY7" s="265">
        <v>0</v>
      </c>
      <c r="AZ7" s="10"/>
      <c r="BA7" s="10"/>
      <c r="BB7" s="10"/>
      <c r="BC7" s="10"/>
      <c r="BD7" s="10"/>
      <c r="BE7" s="10"/>
      <c r="BF7" s="10"/>
      <c r="BG7" s="10"/>
    </row>
    <row r="8" spans="1:59" ht="40.5" customHeight="1">
      <c r="A8" s="21">
        <v>2563</v>
      </c>
      <c r="B8" s="509">
        <f t="shared" si="0"/>
        <v>0</v>
      </c>
      <c r="C8" s="265">
        <v>0</v>
      </c>
      <c r="D8" s="265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65">
        <v>0</v>
      </c>
      <c r="Y8" s="265">
        <v>0</v>
      </c>
      <c r="Z8" s="265">
        <v>0</v>
      </c>
      <c r="AA8" s="265">
        <v>0</v>
      </c>
      <c r="AB8" s="265">
        <v>0</v>
      </c>
      <c r="AC8" s="265">
        <v>0</v>
      </c>
      <c r="AD8" s="265">
        <v>0</v>
      </c>
      <c r="AE8" s="265">
        <v>0</v>
      </c>
      <c r="AF8" s="265">
        <v>0</v>
      </c>
      <c r="AG8" s="265">
        <v>0</v>
      </c>
      <c r="AH8" s="265">
        <v>0</v>
      </c>
      <c r="AI8" s="265">
        <v>0</v>
      </c>
      <c r="AJ8" s="265">
        <v>0</v>
      </c>
      <c r="AK8" s="265">
        <v>0</v>
      </c>
      <c r="AL8" s="10"/>
      <c r="AM8" s="10"/>
      <c r="AN8" s="10"/>
      <c r="AO8" s="10"/>
      <c r="AP8" s="10"/>
      <c r="AQ8" s="10"/>
      <c r="AR8" s="10"/>
      <c r="AS8" s="265">
        <v>0</v>
      </c>
      <c r="AT8" s="265">
        <v>0</v>
      </c>
      <c r="AU8" s="265">
        <v>0</v>
      </c>
      <c r="AV8" s="265">
        <v>0</v>
      </c>
      <c r="AW8" s="265">
        <v>0</v>
      </c>
      <c r="AX8" s="265">
        <v>0</v>
      </c>
      <c r="AY8" s="265">
        <v>0</v>
      </c>
      <c r="AZ8" s="10"/>
      <c r="BA8" s="10"/>
      <c r="BB8" s="10"/>
      <c r="BC8" s="10"/>
      <c r="BD8" s="10"/>
      <c r="BE8" s="10"/>
      <c r="BF8" s="10"/>
      <c r="BG8" s="10"/>
    </row>
    <row r="9" spans="1:59" ht="40.5" customHeight="1">
      <c r="A9" s="21">
        <v>2564</v>
      </c>
      <c r="B9" s="509">
        <f t="shared" si="0"/>
        <v>0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65">
        <v>0</v>
      </c>
      <c r="Y9" s="265">
        <v>0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10"/>
      <c r="AM9" s="10"/>
      <c r="AN9" s="10"/>
      <c r="AO9" s="10"/>
      <c r="AP9" s="10"/>
      <c r="AQ9" s="10"/>
      <c r="AR9" s="10"/>
      <c r="AS9" s="265">
        <v>0</v>
      </c>
      <c r="AT9" s="265">
        <v>0</v>
      </c>
      <c r="AU9" s="265">
        <v>0</v>
      </c>
      <c r="AV9" s="265">
        <v>0</v>
      </c>
      <c r="AW9" s="265">
        <v>0</v>
      </c>
      <c r="AX9" s="265">
        <v>0</v>
      </c>
      <c r="AY9" s="265">
        <v>0</v>
      </c>
      <c r="AZ9" s="10"/>
      <c r="BA9" s="10"/>
      <c r="BB9" s="10"/>
      <c r="BC9" s="10"/>
      <c r="BD9" s="10"/>
      <c r="BE9" s="10"/>
      <c r="BF9" s="10"/>
      <c r="BG9" s="10"/>
    </row>
    <row r="10" spans="1:59" ht="40.5" customHeight="1">
      <c r="A10" s="24">
        <v>2565</v>
      </c>
      <c r="B10" s="509">
        <f t="shared" si="0"/>
        <v>0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12"/>
      <c r="AM10" s="12"/>
      <c r="AN10" s="12"/>
      <c r="AO10" s="12"/>
      <c r="AP10" s="12"/>
      <c r="AQ10" s="12"/>
      <c r="AR10" s="12"/>
      <c r="AS10" s="265">
        <v>0</v>
      </c>
      <c r="AT10" s="265">
        <v>0</v>
      </c>
      <c r="AU10" s="265">
        <v>0</v>
      </c>
      <c r="AV10" s="265">
        <v>0</v>
      </c>
      <c r="AW10" s="265">
        <v>0</v>
      </c>
      <c r="AX10" s="265">
        <v>0</v>
      </c>
      <c r="AY10" s="265">
        <v>0</v>
      </c>
      <c r="AZ10" s="12"/>
      <c r="BA10" s="12"/>
      <c r="BB10" s="12"/>
      <c r="BC10" s="12"/>
      <c r="BD10" s="12"/>
      <c r="BE10" s="12"/>
      <c r="BF10" s="12"/>
      <c r="BG10" s="11"/>
    </row>
    <row r="11" spans="1:59" ht="40.5" customHeight="1">
      <c r="A11" s="38" t="s">
        <v>8</v>
      </c>
      <c r="B11" s="509">
        <f t="shared" si="0"/>
        <v>41696800</v>
      </c>
      <c r="C11" s="265">
        <f t="shared" ref="C11:I11" si="1">SUM(C6:C10)</f>
        <v>0</v>
      </c>
      <c r="D11" s="265">
        <f t="shared" si="1"/>
        <v>0</v>
      </c>
      <c r="E11" s="265">
        <f t="shared" si="1"/>
        <v>0</v>
      </c>
      <c r="F11" s="265">
        <f t="shared" si="1"/>
        <v>0</v>
      </c>
      <c r="G11" s="245">
        <f t="shared" si="1"/>
        <v>17458800</v>
      </c>
      <c r="H11" s="265">
        <f t="shared" si="1"/>
        <v>0</v>
      </c>
      <c r="I11" s="245">
        <f t="shared" si="1"/>
        <v>2500000</v>
      </c>
      <c r="J11" s="12"/>
      <c r="K11" s="12"/>
      <c r="L11" s="12"/>
      <c r="M11" s="12"/>
      <c r="N11" s="12"/>
      <c r="O11" s="12"/>
      <c r="P11" s="245">
        <f>SUM(P6:P10)</f>
        <v>7600000</v>
      </c>
      <c r="Q11" s="245"/>
      <c r="R11" s="245"/>
      <c r="S11" s="245"/>
      <c r="T11" s="245"/>
      <c r="U11" s="245"/>
      <c r="V11" s="245">
        <f>SUM(V6:V10)</f>
        <v>5000000</v>
      </c>
      <c r="W11" s="245">
        <f>SUM(W6:W10)</f>
        <v>1500000</v>
      </c>
      <c r="X11" s="520">
        <f t="shared" ref="X11:AD11" si="2">SUM(X6:X10)</f>
        <v>0</v>
      </c>
      <c r="Y11" s="520">
        <f t="shared" si="2"/>
        <v>0</v>
      </c>
      <c r="Z11" s="520">
        <f t="shared" si="2"/>
        <v>0</v>
      </c>
      <c r="AA11" s="520">
        <f t="shared" si="2"/>
        <v>0</v>
      </c>
      <c r="AB11" s="520">
        <f t="shared" si="2"/>
        <v>0</v>
      </c>
      <c r="AC11" s="520">
        <f t="shared" si="2"/>
        <v>0</v>
      </c>
      <c r="AD11" s="235">
        <f t="shared" si="2"/>
        <v>3819000</v>
      </c>
      <c r="AE11" s="520">
        <f t="shared" ref="AE11:AK11" si="3">SUM(AE6:AE10)</f>
        <v>0</v>
      </c>
      <c r="AF11" s="520">
        <f t="shared" si="3"/>
        <v>0</v>
      </c>
      <c r="AG11" s="520">
        <f t="shared" si="3"/>
        <v>0</v>
      </c>
      <c r="AH11" s="520">
        <f t="shared" si="3"/>
        <v>0</v>
      </c>
      <c r="AI11" s="520">
        <f t="shared" si="3"/>
        <v>0</v>
      </c>
      <c r="AJ11" s="520">
        <f t="shared" si="3"/>
        <v>0</v>
      </c>
      <c r="AK11" s="520">
        <f t="shared" si="3"/>
        <v>0</v>
      </c>
      <c r="AL11" s="12"/>
      <c r="AM11" s="12"/>
      <c r="AN11" s="12"/>
      <c r="AO11" s="12"/>
      <c r="AP11" s="12"/>
      <c r="AQ11" s="12"/>
      <c r="AR11" s="12"/>
      <c r="AS11" s="521">
        <f t="shared" ref="AS11:AY11" si="4">SUM(AS6:AS10)</f>
        <v>0</v>
      </c>
      <c r="AT11" s="521">
        <f t="shared" si="4"/>
        <v>0</v>
      </c>
      <c r="AU11" s="521">
        <f t="shared" si="4"/>
        <v>0</v>
      </c>
      <c r="AV11" s="521">
        <f t="shared" si="4"/>
        <v>0</v>
      </c>
      <c r="AW11" s="521">
        <f t="shared" si="4"/>
        <v>0</v>
      </c>
      <c r="AX11" s="521">
        <f t="shared" si="4"/>
        <v>0</v>
      </c>
      <c r="AY11" s="238">
        <f t="shared" si="4"/>
        <v>3819000</v>
      </c>
      <c r="AZ11" s="12"/>
      <c r="BA11" s="12"/>
      <c r="BB11" s="12"/>
      <c r="BC11" s="12"/>
      <c r="BD11" s="12"/>
      <c r="BE11" s="12"/>
      <c r="BF11" s="12"/>
      <c r="BG11" s="13"/>
    </row>
  </sheetData>
  <mergeCells count="9">
    <mergeCell ref="AL4:AR4"/>
    <mergeCell ref="AS4:AY4"/>
    <mergeCell ref="AZ4:BF4"/>
    <mergeCell ref="BG4:BG5"/>
    <mergeCell ref="C4:I4"/>
    <mergeCell ref="J4:P4"/>
    <mergeCell ref="Q4:W4"/>
    <mergeCell ref="X4:AD4"/>
    <mergeCell ref="AE4:AK4"/>
  </mergeCells>
  <pageMargins left="3.937007874015748E-2" right="3.937007874015748E-2" top="0.74803149606299213" bottom="0.74803149606299213" header="0.31496062992125984" footer="0.31496062992125984"/>
  <pageSetup paperSize="9"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9"/>
  <sheetViews>
    <sheetView topLeftCell="A36" workbookViewId="0">
      <selection activeCell="C37" sqref="C37"/>
    </sheetView>
  </sheetViews>
  <sheetFormatPr defaultColWidth="7" defaultRowHeight="18.75"/>
  <cols>
    <col min="1" max="1" width="4" style="141" bestFit="1" customWidth="1"/>
    <col min="2" max="2" width="12.125" style="769" customWidth="1"/>
    <col min="3" max="3" width="27.625" style="141" customWidth="1"/>
    <col min="4" max="4" width="7.75" style="770" bestFit="1" customWidth="1"/>
    <col min="5" max="5" width="10.875" style="770" bestFit="1" customWidth="1"/>
    <col min="6" max="6" width="7.125" style="762" customWidth="1"/>
    <col min="7" max="7" width="10.5" style="762" bestFit="1" customWidth="1"/>
    <col min="8" max="11" width="8.25" style="762" bestFit="1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401" t="s">
        <v>711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56.25">
      <c r="A5" s="1362" t="s">
        <v>136</v>
      </c>
      <c r="B5" s="1364" t="s">
        <v>712</v>
      </c>
      <c r="C5" s="754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718</v>
      </c>
      <c r="I5" s="1368" t="s">
        <v>719</v>
      </c>
      <c r="J5" s="1368" t="s">
        <v>720</v>
      </c>
      <c r="K5" s="1368" t="s">
        <v>747</v>
      </c>
      <c r="L5" s="1364" t="s">
        <v>722</v>
      </c>
      <c r="M5" s="754" t="s">
        <v>145</v>
      </c>
      <c r="N5" s="754" t="s">
        <v>146</v>
      </c>
      <c r="O5" s="754" t="s">
        <v>147</v>
      </c>
      <c r="P5" s="754" t="s">
        <v>43</v>
      </c>
      <c r="Q5" s="754" t="s">
        <v>148</v>
      </c>
      <c r="R5" s="754" t="s">
        <v>723</v>
      </c>
      <c r="S5" s="754" t="s">
        <v>724</v>
      </c>
      <c r="T5" s="754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123"/>
      <c r="D6" s="1367"/>
      <c r="E6" s="1367"/>
      <c r="F6" s="1369"/>
      <c r="G6" s="1369"/>
      <c r="H6" s="1369"/>
      <c r="I6" s="1369"/>
      <c r="J6" s="1369"/>
      <c r="K6" s="1369"/>
      <c r="L6" s="1365"/>
      <c r="M6" s="123"/>
      <c r="N6" s="123"/>
      <c r="O6" s="123"/>
      <c r="P6" s="123"/>
      <c r="Q6" s="123"/>
      <c r="R6" s="123"/>
      <c r="S6" s="123"/>
      <c r="T6" s="123"/>
      <c r="U6" s="123" t="s">
        <v>727</v>
      </c>
      <c r="V6" s="124" t="s">
        <v>152</v>
      </c>
      <c r="W6" s="124" t="s">
        <v>153</v>
      </c>
      <c r="X6" s="124" t="s">
        <v>728</v>
      </c>
    </row>
    <row r="7" spans="1:24">
      <c r="A7" s="131"/>
      <c r="B7" s="132"/>
      <c r="C7" s="133" t="s">
        <v>760</v>
      </c>
      <c r="D7" s="134"/>
      <c r="E7" s="135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9"/>
      <c r="Q7" s="139"/>
      <c r="R7" s="139"/>
      <c r="S7" s="139"/>
      <c r="T7" s="139"/>
      <c r="U7" s="140"/>
      <c r="V7" s="140"/>
      <c r="W7" s="140"/>
      <c r="X7" s="140"/>
    </row>
    <row r="8" spans="1:24" ht="37.5">
      <c r="A8" s="131">
        <v>6</v>
      </c>
      <c r="B8" s="132">
        <v>1</v>
      </c>
      <c r="C8" s="133" t="s">
        <v>761</v>
      </c>
      <c r="D8" s="134">
        <v>7426</v>
      </c>
      <c r="E8" s="135">
        <v>17458800</v>
      </c>
      <c r="F8" s="132">
        <v>1</v>
      </c>
      <c r="G8" s="135">
        <v>17458800</v>
      </c>
      <c r="H8" s="135"/>
      <c r="I8" s="132"/>
      <c r="J8" s="135"/>
      <c r="K8" s="132"/>
      <c r="L8" s="760">
        <f>SUM(G8:K8)</f>
        <v>17458800</v>
      </c>
      <c r="M8" s="136" t="s">
        <v>227</v>
      </c>
      <c r="N8" s="137" t="s">
        <v>228</v>
      </c>
      <c r="O8" s="137" t="s">
        <v>228</v>
      </c>
      <c r="P8" s="139" t="s">
        <v>17</v>
      </c>
      <c r="Q8" s="139"/>
      <c r="R8" s="138" t="s">
        <v>762</v>
      </c>
      <c r="S8" s="139"/>
      <c r="T8" s="139"/>
      <c r="U8" s="140"/>
      <c r="V8" s="140"/>
      <c r="W8" s="140"/>
      <c r="X8" s="140"/>
    </row>
    <row r="9" spans="1:24" ht="37.5">
      <c r="A9" s="131">
        <v>6</v>
      </c>
      <c r="B9" s="132">
        <v>2</v>
      </c>
      <c r="C9" s="133" t="s">
        <v>763</v>
      </c>
      <c r="D9" s="134">
        <v>8491</v>
      </c>
      <c r="E9" s="135">
        <v>1500000</v>
      </c>
      <c r="F9" s="132">
        <v>1</v>
      </c>
      <c r="G9" s="135">
        <v>1500000</v>
      </c>
      <c r="H9" s="135"/>
      <c r="I9" s="132"/>
      <c r="J9" s="135"/>
      <c r="K9" s="132"/>
      <c r="L9" s="760">
        <f>SUM(G9:K9)</f>
        <v>1500000</v>
      </c>
      <c r="M9" s="136" t="s">
        <v>764</v>
      </c>
      <c r="N9" s="137" t="s">
        <v>159</v>
      </c>
      <c r="O9" s="137" t="s">
        <v>765</v>
      </c>
      <c r="P9" s="139" t="s">
        <v>17</v>
      </c>
      <c r="Q9" s="139"/>
      <c r="R9" s="138" t="s">
        <v>762</v>
      </c>
      <c r="S9" s="139"/>
      <c r="T9" s="139"/>
      <c r="U9" s="140"/>
      <c r="V9" s="140"/>
      <c r="W9" s="140"/>
      <c r="X9" s="140"/>
    </row>
    <row r="10" spans="1:24" ht="37.5">
      <c r="A10" s="131">
        <v>6</v>
      </c>
      <c r="B10" s="132">
        <v>3</v>
      </c>
      <c r="C10" s="133" t="s">
        <v>766</v>
      </c>
      <c r="D10" s="134"/>
      <c r="E10" s="135">
        <v>500000</v>
      </c>
      <c r="F10" s="132">
        <v>1</v>
      </c>
      <c r="G10" s="135">
        <v>500000</v>
      </c>
      <c r="H10" s="135"/>
      <c r="I10" s="132"/>
      <c r="J10" s="135"/>
      <c r="K10" s="132"/>
      <c r="L10" s="760">
        <f>SUM(G10:K10)</f>
        <v>500000</v>
      </c>
      <c r="M10" s="136" t="s">
        <v>767</v>
      </c>
      <c r="N10" s="137" t="s">
        <v>159</v>
      </c>
      <c r="O10" s="137" t="s">
        <v>197</v>
      </c>
      <c r="P10" s="139" t="s">
        <v>17</v>
      </c>
      <c r="Q10" s="139"/>
      <c r="R10" s="139" t="s">
        <v>768</v>
      </c>
      <c r="S10" s="139"/>
      <c r="T10" s="139"/>
      <c r="U10" s="140"/>
      <c r="V10" s="140"/>
      <c r="W10" s="140"/>
      <c r="X10" s="140"/>
    </row>
    <row r="11" spans="1:24" ht="56.25">
      <c r="A11" s="131">
        <v>6</v>
      </c>
      <c r="B11" s="132">
        <v>4</v>
      </c>
      <c r="C11" s="133" t="s">
        <v>769</v>
      </c>
      <c r="D11" s="134"/>
      <c r="E11" s="135">
        <v>500000</v>
      </c>
      <c r="F11" s="132">
        <v>1</v>
      </c>
      <c r="G11" s="135">
        <v>500000</v>
      </c>
      <c r="H11" s="135"/>
      <c r="I11" s="132"/>
      <c r="J11" s="135"/>
      <c r="K11" s="132"/>
      <c r="L11" s="760">
        <f>SUM(G11:K11)</f>
        <v>500000</v>
      </c>
      <c r="M11" s="136" t="s">
        <v>770</v>
      </c>
      <c r="N11" s="137" t="s">
        <v>188</v>
      </c>
      <c r="O11" s="137" t="s">
        <v>771</v>
      </c>
      <c r="P11" s="139" t="s">
        <v>17</v>
      </c>
      <c r="Q11" s="139"/>
      <c r="R11" s="139" t="s">
        <v>768</v>
      </c>
      <c r="S11" s="139"/>
      <c r="T11" s="139"/>
      <c r="U11" s="140"/>
      <c r="V11" s="140"/>
      <c r="W11" s="140"/>
      <c r="X11" s="140"/>
    </row>
    <row r="12" spans="1:24" s="768" customFormat="1">
      <c r="A12" s="1374" t="s">
        <v>772</v>
      </c>
      <c r="B12" s="1375"/>
      <c r="C12" s="1375"/>
      <c r="D12" s="1375"/>
      <c r="E12" s="1375"/>
      <c r="F12" s="1376"/>
      <c r="G12" s="764">
        <f>SUM(G8:G11)</f>
        <v>19958800</v>
      </c>
      <c r="H12" s="764">
        <f t="shared" ref="H12:L12" si="0">SUM(H8:H11)</f>
        <v>0</v>
      </c>
      <c r="I12" s="764">
        <f t="shared" si="0"/>
        <v>0</v>
      </c>
      <c r="J12" s="764">
        <f t="shared" si="0"/>
        <v>0</v>
      </c>
      <c r="K12" s="764">
        <f t="shared" si="0"/>
        <v>0</v>
      </c>
      <c r="L12" s="764">
        <f t="shared" si="0"/>
        <v>19958800</v>
      </c>
      <c r="M12" s="765"/>
      <c r="N12" s="203"/>
      <c r="O12" s="203"/>
      <c r="P12" s="204"/>
      <c r="Q12" s="204"/>
      <c r="R12" s="204"/>
      <c r="S12" s="204"/>
      <c r="T12" s="204"/>
      <c r="U12" s="208"/>
      <c r="V12" s="208"/>
      <c r="W12" s="208"/>
      <c r="X12" s="208"/>
    </row>
    <row r="13" spans="1:24">
      <c r="B13" s="822" t="s">
        <v>0</v>
      </c>
      <c r="C13" s="822" t="s">
        <v>1</v>
      </c>
      <c r="D13" s="1373" t="s">
        <v>18</v>
      </c>
      <c r="E13" s="1373"/>
      <c r="F13" s="1373"/>
      <c r="G13" s="1373"/>
      <c r="H13" s="1373"/>
      <c r="I13" s="1373"/>
      <c r="J13" s="1373"/>
      <c r="K13" s="1341" t="s">
        <v>8</v>
      </c>
    </row>
    <row r="14" spans="1:24">
      <c r="B14" s="825"/>
      <c r="C14" s="825" t="s">
        <v>16</v>
      </c>
      <c r="D14" s="34" t="s">
        <v>2</v>
      </c>
      <c r="E14" s="34" t="s">
        <v>3</v>
      </c>
      <c r="F14" s="34" t="s">
        <v>4</v>
      </c>
      <c r="G14" s="34" t="s">
        <v>5</v>
      </c>
      <c r="H14" s="34" t="s">
        <v>6</v>
      </c>
      <c r="I14" s="34" t="s">
        <v>10</v>
      </c>
      <c r="J14" s="34" t="s">
        <v>11</v>
      </c>
      <c r="K14" s="1437"/>
    </row>
    <row r="15" spans="1:24" ht="75">
      <c r="B15" s="20">
        <v>2561</v>
      </c>
      <c r="C15" s="857" t="s">
        <v>1069</v>
      </c>
      <c r="D15" s="9"/>
      <c r="E15" s="9"/>
      <c r="F15" s="9"/>
      <c r="G15" s="9"/>
      <c r="H15" s="9"/>
      <c r="I15" s="9"/>
      <c r="J15" s="9" t="s">
        <v>52</v>
      </c>
      <c r="K15" s="10">
        <v>7.6</v>
      </c>
    </row>
    <row r="16" spans="1:24">
      <c r="B16" s="21">
        <v>2562</v>
      </c>
      <c r="C16" s="21" t="s">
        <v>786</v>
      </c>
      <c r="D16" s="10"/>
      <c r="E16" s="10"/>
      <c r="F16" s="10"/>
      <c r="G16" s="10"/>
      <c r="H16" s="10"/>
      <c r="I16" s="10"/>
      <c r="J16" s="10"/>
      <c r="K16" s="10"/>
    </row>
    <row r="17" spans="1:24">
      <c r="B17" s="21">
        <v>2563</v>
      </c>
      <c r="C17" s="21" t="s">
        <v>786</v>
      </c>
      <c r="D17" s="10"/>
      <c r="E17" s="10"/>
      <c r="F17" s="10"/>
      <c r="G17" s="10"/>
      <c r="H17" s="10"/>
      <c r="I17" s="10"/>
      <c r="J17" s="10"/>
      <c r="K17" s="10"/>
    </row>
    <row r="18" spans="1:24">
      <c r="B18" s="21">
        <v>2564</v>
      </c>
      <c r="C18" s="21" t="s">
        <v>786</v>
      </c>
      <c r="D18" s="10"/>
      <c r="E18" s="10"/>
      <c r="F18" s="10"/>
      <c r="G18" s="10"/>
      <c r="H18" s="10"/>
      <c r="I18" s="10"/>
      <c r="J18" s="10"/>
      <c r="K18" s="10"/>
    </row>
    <row r="19" spans="1:24">
      <c r="B19" s="24">
        <v>2565</v>
      </c>
      <c r="C19" s="21" t="s">
        <v>786</v>
      </c>
      <c r="D19" s="12"/>
      <c r="E19" s="12"/>
      <c r="F19" s="12"/>
      <c r="G19" s="12"/>
      <c r="H19" s="12"/>
      <c r="I19" s="12"/>
      <c r="J19" s="12"/>
      <c r="K19" s="11"/>
    </row>
    <row r="20" spans="1:24">
      <c r="B20" s="38" t="s">
        <v>8</v>
      </c>
      <c r="C20" s="12"/>
      <c r="D20" s="12"/>
      <c r="E20" s="12"/>
      <c r="F20" s="12"/>
      <c r="G20" s="12"/>
      <c r="H20" s="12"/>
      <c r="I20" s="12"/>
      <c r="J20" s="12"/>
      <c r="K20" s="25">
        <v>7.6</v>
      </c>
    </row>
    <row r="21" spans="1:24">
      <c r="A21" s="1361" t="s">
        <v>998</v>
      </c>
      <c r="B21" s="1361"/>
      <c r="C21" s="1361"/>
      <c r="D21" s="1361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41"/>
      <c r="W21" s="141"/>
      <c r="X21" s="141"/>
    </row>
    <row r="22" spans="1:24">
      <c r="A22" s="751"/>
      <c r="B22" s="751"/>
      <c r="C22" s="119" t="s">
        <v>134</v>
      </c>
      <c r="D22" s="752"/>
      <c r="E22" s="752"/>
      <c r="F22" s="751"/>
      <c r="G22" s="751"/>
      <c r="H22" s="751"/>
      <c r="I22" s="751"/>
      <c r="J22" s="751"/>
      <c r="K22" s="751"/>
      <c r="L22" s="753"/>
      <c r="M22" s="751"/>
      <c r="N22" s="751"/>
      <c r="O22" s="751"/>
      <c r="P22" s="751"/>
      <c r="Q22" s="751"/>
      <c r="R22" s="751"/>
      <c r="S22" s="751"/>
      <c r="T22" s="751"/>
      <c r="U22" s="751"/>
      <c r="V22" s="122" t="s">
        <v>135</v>
      </c>
      <c r="W22" s="122"/>
      <c r="X22" s="122"/>
    </row>
    <row r="23" spans="1:24" ht="56.25">
      <c r="A23" s="1362" t="s">
        <v>136</v>
      </c>
      <c r="B23" s="1364" t="s">
        <v>712</v>
      </c>
      <c r="C23" s="823" t="s">
        <v>713</v>
      </c>
      <c r="D23" s="1366" t="s">
        <v>714</v>
      </c>
      <c r="E23" s="1366" t="s">
        <v>715</v>
      </c>
      <c r="F23" s="1368" t="s">
        <v>716</v>
      </c>
      <c r="G23" s="1368" t="s">
        <v>999</v>
      </c>
      <c r="H23" s="1368" t="s">
        <v>1000</v>
      </c>
      <c r="I23" s="1368" t="s">
        <v>1001</v>
      </c>
      <c r="J23" s="1368" t="s">
        <v>1002</v>
      </c>
      <c r="K23" s="1368" t="s">
        <v>721</v>
      </c>
      <c r="L23" s="1364" t="s">
        <v>722</v>
      </c>
      <c r="M23" s="823" t="s">
        <v>145</v>
      </c>
      <c r="N23" s="823" t="s">
        <v>146</v>
      </c>
      <c r="O23" s="823" t="s">
        <v>147</v>
      </c>
      <c r="P23" s="823" t="s">
        <v>43</v>
      </c>
      <c r="Q23" s="823" t="s">
        <v>148</v>
      </c>
      <c r="R23" s="823" t="s">
        <v>723</v>
      </c>
      <c r="S23" s="823" t="s">
        <v>724</v>
      </c>
      <c r="T23" s="823" t="s">
        <v>725</v>
      </c>
      <c r="U23" s="1370" t="s">
        <v>726</v>
      </c>
      <c r="V23" s="1371"/>
      <c r="W23" s="1371"/>
      <c r="X23" s="1372"/>
    </row>
    <row r="24" spans="1:24" ht="37.5">
      <c r="A24" s="1363"/>
      <c r="B24" s="1365"/>
      <c r="C24" s="824"/>
      <c r="D24" s="1367"/>
      <c r="E24" s="1367"/>
      <c r="F24" s="1369"/>
      <c r="G24" s="1369"/>
      <c r="H24" s="1369"/>
      <c r="I24" s="1369"/>
      <c r="J24" s="1369"/>
      <c r="K24" s="1369"/>
      <c r="L24" s="1365"/>
      <c r="M24" s="824"/>
      <c r="N24" s="824"/>
      <c r="O24" s="824"/>
      <c r="P24" s="824"/>
      <c r="Q24" s="824"/>
      <c r="R24" s="824"/>
      <c r="S24" s="824"/>
      <c r="T24" s="824"/>
      <c r="U24" s="824" t="s">
        <v>727</v>
      </c>
      <c r="V24" s="124" t="s">
        <v>152</v>
      </c>
      <c r="W24" s="124" t="s">
        <v>153</v>
      </c>
      <c r="X24" s="124" t="s">
        <v>728</v>
      </c>
    </row>
    <row r="25" spans="1:24">
      <c r="A25" s="131"/>
      <c r="B25" s="132"/>
      <c r="C25" s="133" t="s">
        <v>760</v>
      </c>
      <c r="D25" s="134"/>
      <c r="E25" s="135"/>
      <c r="F25" s="132"/>
      <c r="G25" s="135"/>
      <c r="H25" s="135"/>
      <c r="I25" s="132"/>
      <c r="J25" s="135"/>
      <c r="K25" s="132"/>
      <c r="L25" s="135"/>
      <c r="M25" s="136"/>
      <c r="N25" s="137"/>
      <c r="O25" s="137"/>
      <c r="P25" s="139"/>
      <c r="Q25" s="139"/>
      <c r="R25" s="139"/>
      <c r="S25" s="139"/>
      <c r="T25" s="139"/>
      <c r="U25" s="140"/>
      <c r="V25" s="140"/>
      <c r="W25" s="140"/>
      <c r="X25" s="140"/>
    </row>
    <row r="26" spans="1:24" ht="75">
      <c r="A26" s="131"/>
      <c r="B26" s="132"/>
      <c r="C26" s="133" t="s">
        <v>1082</v>
      </c>
      <c r="D26" s="134"/>
      <c r="E26" s="135">
        <v>5000000</v>
      </c>
      <c r="F26" s="132">
        <v>1</v>
      </c>
      <c r="G26" s="135">
        <v>5000000</v>
      </c>
      <c r="H26" s="135"/>
      <c r="I26" s="132"/>
      <c r="J26" s="135"/>
      <c r="K26" s="132"/>
      <c r="L26" s="135">
        <f>SUM(G26:K26)</f>
        <v>5000000</v>
      </c>
      <c r="M26" s="136" t="s">
        <v>1083</v>
      </c>
      <c r="N26" s="137" t="s">
        <v>159</v>
      </c>
      <c r="O26" s="137" t="s">
        <v>1084</v>
      </c>
      <c r="P26" s="139" t="s">
        <v>1085</v>
      </c>
      <c r="Q26" s="139" t="s">
        <v>10</v>
      </c>
      <c r="R26" s="139" t="s">
        <v>762</v>
      </c>
      <c r="S26" s="139"/>
      <c r="T26" s="139"/>
      <c r="U26" s="140"/>
      <c r="V26" s="140"/>
      <c r="W26" s="140"/>
      <c r="X26" s="140"/>
    </row>
    <row r="27" spans="1:24" ht="66.75" customHeight="1">
      <c r="A27" s="131"/>
      <c r="B27" s="132"/>
      <c r="C27" s="133" t="s">
        <v>1086</v>
      </c>
      <c r="D27" s="134"/>
      <c r="E27" s="135">
        <v>1500000</v>
      </c>
      <c r="F27" s="132">
        <v>1</v>
      </c>
      <c r="G27" s="135"/>
      <c r="H27" s="135">
        <v>1500000</v>
      </c>
      <c r="I27" s="132"/>
      <c r="J27" s="135"/>
      <c r="K27" s="132"/>
      <c r="L27" s="135">
        <v>1500000</v>
      </c>
      <c r="M27" s="136" t="s">
        <v>767</v>
      </c>
      <c r="N27" s="137" t="s">
        <v>159</v>
      </c>
      <c r="O27" s="137" t="s">
        <v>159</v>
      </c>
      <c r="P27" s="139" t="s">
        <v>1085</v>
      </c>
      <c r="Q27" s="139"/>
      <c r="R27" s="139" t="s">
        <v>762</v>
      </c>
      <c r="S27" s="139"/>
      <c r="T27" s="139"/>
      <c r="U27" s="140"/>
      <c r="V27" s="140"/>
      <c r="W27" s="140"/>
      <c r="X27" s="140"/>
    </row>
    <row r="28" spans="1:24">
      <c r="A28" s="131"/>
      <c r="B28" s="132"/>
      <c r="C28" s="133"/>
      <c r="D28" s="134"/>
      <c r="E28" s="135"/>
      <c r="F28" s="132"/>
      <c r="G28" s="135"/>
      <c r="H28" s="135"/>
      <c r="I28" s="132"/>
      <c r="J28" s="135"/>
      <c r="K28" s="132"/>
      <c r="L28" s="135"/>
      <c r="M28" s="136"/>
      <c r="N28" s="137"/>
      <c r="O28" s="137"/>
      <c r="P28" s="139"/>
      <c r="Q28" s="139"/>
      <c r="R28" s="139"/>
      <c r="S28" s="139"/>
      <c r="T28" s="139"/>
      <c r="U28" s="140"/>
      <c r="V28" s="140"/>
      <c r="W28" s="140"/>
      <c r="X28" s="140"/>
    </row>
    <row r="29" spans="1:24">
      <c r="A29" s="131"/>
      <c r="B29" s="132"/>
      <c r="C29" s="133"/>
      <c r="D29" s="134"/>
      <c r="E29" s="135"/>
      <c r="F29" s="132"/>
      <c r="G29" s="135"/>
      <c r="H29" s="135"/>
      <c r="I29" s="132"/>
      <c r="J29" s="135"/>
      <c r="K29" s="132"/>
      <c r="L29" s="135"/>
      <c r="M29" s="136"/>
      <c r="N29" s="137"/>
      <c r="O29" s="137"/>
      <c r="P29" s="139"/>
      <c r="Q29" s="139"/>
      <c r="R29" s="139"/>
      <c r="S29" s="139"/>
      <c r="T29" s="139"/>
      <c r="U29" s="140"/>
      <c r="V29" s="140"/>
      <c r="W29" s="140"/>
      <c r="X29" s="140"/>
    </row>
    <row r="30" spans="1:24" ht="23.25" customHeight="1">
      <c r="A30" s="1051"/>
      <c r="B30" s="161"/>
      <c r="C30" s="158" t="s">
        <v>1004</v>
      </c>
      <c r="D30" s="1052"/>
      <c r="E30" s="160"/>
      <c r="F30" s="161"/>
      <c r="G30" s="160">
        <f>SUM(G26:G29)</f>
        <v>5000000</v>
      </c>
      <c r="H30" s="160">
        <f t="shared" ref="H30:L30" si="1">SUM(H26:H29)</f>
        <v>1500000</v>
      </c>
      <c r="I30" s="160">
        <f t="shared" si="1"/>
        <v>0</v>
      </c>
      <c r="J30" s="160">
        <f t="shared" si="1"/>
        <v>0</v>
      </c>
      <c r="K30" s="160">
        <f t="shared" si="1"/>
        <v>0</v>
      </c>
      <c r="L30" s="160">
        <f t="shared" si="1"/>
        <v>6500000</v>
      </c>
      <c r="M30" s="162"/>
      <c r="N30" s="137"/>
      <c r="O30" s="137"/>
      <c r="P30" s="139"/>
      <c r="Q30" s="139"/>
      <c r="R30" s="139"/>
      <c r="S30" s="139"/>
      <c r="T30" s="139"/>
      <c r="U30" s="140"/>
      <c r="V30" s="140"/>
      <c r="W30" s="140"/>
      <c r="X30" s="140"/>
    </row>
    <row r="31" spans="1:24">
      <c r="A31" s="1199" t="s">
        <v>1096</v>
      </c>
      <c r="B31" s="1200"/>
      <c r="C31" s="1188"/>
    </row>
    <row r="32" spans="1:24">
      <c r="A32" s="1190" t="s">
        <v>0</v>
      </c>
      <c r="B32" s="1190" t="s">
        <v>1</v>
      </c>
      <c r="C32" s="1269" t="s">
        <v>767</v>
      </c>
    </row>
    <row r="33" spans="1:3">
      <c r="A33" s="1277"/>
      <c r="B33" s="1277" t="s">
        <v>16</v>
      </c>
      <c r="C33" s="1278" t="s">
        <v>11</v>
      </c>
    </row>
    <row r="34" spans="1:3" ht="60">
      <c r="A34" s="1322">
        <v>2561</v>
      </c>
      <c r="B34" s="1323">
        <v>3819000</v>
      </c>
      <c r="C34" s="1305" t="s">
        <v>1182</v>
      </c>
    </row>
    <row r="35" spans="1:3">
      <c r="A35" s="1206">
        <v>2562</v>
      </c>
      <c r="B35" s="1324"/>
      <c r="C35" s="1325"/>
    </row>
    <row r="36" spans="1:3">
      <c r="A36" s="1206">
        <v>2563</v>
      </c>
      <c r="B36" s="1324"/>
      <c r="C36" s="1325"/>
    </row>
    <row r="37" spans="1:3">
      <c r="A37" s="1206">
        <v>2564</v>
      </c>
      <c r="B37" s="1324"/>
      <c r="C37" s="1325"/>
    </row>
    <row r="38" spans="1:3">
      <c r="A38" s="1196">
        <v>2565</v>
      </c>
      <c r="B38" s="1326"/>
      <c r="C38" s="1182"/>
    </row>
    <row r="39" spans="1:3">
      <c r="A39" s="1327" t="s">
        <v>8</v>
      </c>
      <c r="B39" s="1328">
        <f>SUM(B34:B38)</f>
        <v>3819000</v>
      </c>
      <c r="C39" s="1328">
        <v>3819000</v>
      </c>
    </row>
  </sheetData>
  <mergeCells count="31">
    <mergeCell ref="L23:L24"/>
    <mergeCell ref="U23:X23"/>
    <mergeCell ref="G23:G24"/>
    <mergeCell ref="H23:H24"/>
    <mergeCell ref="I23:I24"/>
    <mergeCell ref="J23:J24"/>
    <mergeCell ref="K23:K24"/>
    <mergeCell ref="A23:A24"/>
    <mergeCell ref="B23:B24"/>
    <mergeCell ref="D23:D24"/>
    <mergeCell ref="E23:E24"/>
    <mergeCell ref="F23:F24"/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U5:X5"/>
    <mergeCell ref="D13:J13"/>
    <mergeCell ref="K13:K14"/>
    <mergeCell ref="A21:U21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opLeftCell="A4" workbookViewId="0">
      <selection activeCell="W16" sqref="W16"/>
    </sheetView>
  </sheetViews>
  <sheetFormatPr defaultColWidth="9" defaultRowHeight="18.75"/>
  <cols>
    <col min="1" max="1" width="6.875" style="1" customWidth="1"/>
    <col min="2" max="2" width="7.375" style="1" customWidth="1"/>
    <col min="3" max="12" width="3.625" style="1" customWidth="1"/>
    <col min="13" max="13" width="4.25" style="1" customWidth="1"/>
    <col min="14" max="14" width="4.5" style="1" customWidth="1"/>
    <col min="15" max="23" width="3.625" style="1" customWidth="1"/>
    <col min="24" max="24" width="3.625" style="56" customWidth="1"/>
    <col min="25" max="36" width="3.625" style="1" customWidth="1"/>
    <col min="37" max="37" width="5.875" style="1" customWidth="1"/>
    <col min="38" max="42" width="2.625" style="1" customWidth="1"/>
    <col min="43" max="51" width="2.75" style="1" customWidth="1"/>
    <col min="52" max="52" width="3.375" style="1" customWidth="1"/>
    <col min="53" max="16384" width="9" style="1"/>
  </cols>
  <sheetData>
    <row r="1" spans="1:37" ht="25.35" customHeight="1">
      <c r="A1" s="1" t="s">
        <v>14</v>
      </c>
    </row>
    <row r="2" spans="1:37" ht="22.9" customHeight="1">
      <c r="A2" s="3" t="s">
        <v>27</v>
      </c>
    </row>
    <row r="3" spans="1:37" ht="36.75" customHeight="1">
      <c r="A3" s="14" t="s">
        <v>0</v>
      </c>
      <c r="B3" s="26" t="s">
        <v>1</v>
      </c>
      <c r="C3" s="1340" t="s">
        <v>17</v>
      </c>
      <c r="D3" s="1340"/>
      <c r="E3" s="1340"/>
      <c r="F3" s="1340"/>
      <c r="G3" s="1340" t="s">
        <v>18</v>
      </c>
      <c r="H3" s="1340"/>
      <c r="I3" s="1340"/>
      <c r="J3" s="1340"/>
      <c r="K3" s="270"/>
      <c r="L3" s="1340" t="s">
        <v>19</v>
      </c>
      <c r="M3" s="1340"/>
      <c r="N3" s="1340"/>
      <c r="O3" s="1340"/>
      <c r="P3" s="1340" t="s">
        <v>20</v>
      </c>
      <c r="Q3" s="1340"/>
      <c r="R3" s="1340"/>
      <c r="S3" s="1340"/>
      <c r="T3" s="1340" t="s">
        <v>21</v>
      </c>
      <c r="U3" s="1340"/>
      <c r="V3" s="1340"/>
      <c r="W3" s="1340"/>
      <c r="X3" s="270"/>
      <c r="Y3" s="1340" t="s">
        <v>22</v>
      </c>
      <c r="Z3" s="1340"/>
      <c r="AA3" s="1340"/>
      <c r="AB3" s="1340"/>
      <c r="AC3" s="1340" t="s">
        <v>23</v>
      </c>
      <c r="AD3" s="1340"/>
      <c r="AE3" s="1340"/>
      <c r="AF3" s="1340"/>
      <c r="AG3" s="1340" t="s">
        <v>24</v>
      </c>
      <c r="AH3" s="1340"/>
      <c r="AI3" s="1340"/>
      <c r="AJ3" s="1340"/>
      <c r="AK3" s="1341" t="s">
        <v>8</v>
      </c>
    </row>
    <row r="4" spans="1:37" ht="36.75" customHeight="1">
      <c r="A4" s="16"/>
      <c r="B4" s="27" t="s">
        <v>7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2</v>
      </c>
      <c r="H4" s="28" t="s">
        <v>3</v>
      </c>
      <c r="I4" s="28" t="s">
        <v>4</v>
      </c>
      <c r="J4" s="28" t="s">
        <v>5</v>
      </c>
      <c r="K4" s="271" t="s">
        <v>6</v>
      </c>
      <c r="L4" s="28" t="s">
        <v>2</v>
      </c>
      <c r="M4" s="28" t="s">
        <v>3</v>
      </c>
      <c r="N4" s="28" t="s">
        <v>4</v>
      </c>
      <c r="O4" s="28" t="s">
        <v>5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2</v>
      </c>
      <c r="U4" s="28" t="s">
        <v>3</v>
      </c>
      <c r="V4" s="28" t="s">
        <v>4</v>
      </c>
      <c r="W4" s="28" t="s">
        <v>5</v>
      </c>
      <c r="X4" s="271" t="s">
        <v>6</v>
      </c>
      <c r="Y4" s="28" t="s">
        <v>2</v>
      </c>
      <c r="Z4" s="28" t="s">
        <v>3</v>
      </c>
      <c r="AA4" s="28" t="s">
        <v>4</v>
      </c>
      <c r="AB4" s="28" t="s">
        <v>5</v>
      </c>
      <c r="AC4" s="28" t="s">
        <v>2</v>
      </c>
      <c r="AD4" s="28" t="s">
        <v>3</v>
      </c>
      <c r="AE4" s="28" t="s">
        <v>4</v>
      </c>
      <c r="AF4" s="28" t="s">
        <v>5</v>
      </c>
      <c r="AG4" s="28" t="s">
        <v>2</v>
      </c>
      <c r="AH4" s="272" t="s">
        <v>3</v>
      </c>
      <c r="AI4" s="28" t="s">
        <v>4</v>
      </c>
      <c r="AJ4" s="28" t="s">
        <v>5</v>
      </c>
      <c r="AK4" s="1342"/>
    </row>
    <row r="5" spans="1:37" ht="30.2" customHeight="1">
      <c r="A5" s="18">
        <v>2561</v>
      </c>
      <c r="B5" s="425">
        <f>SUM(C5:AJ5)</f>
        <v>89</v>
      </c>
      <c r="C5" s="445">
        <v>0</v>
      </c>
      <c r="D5" s="445">
        <v>0</v>
      </c>
      <c r="E5" s="445">
        <v>0</v>
      </c>
      <c r="F5" s="445">
        <v>0</v>
      </c>
      <c r="G5" s="19">
        <v>12</v>
      </c>
      <c r="H5" s="445">
        <v>0</v>
      </c>
      <c r="I5" s="445">
        <v>0</v>
      </c>
      <c r="J5" s="445">
        <v>0</v>
      </c>
      <c r="K5" s="445">
        <v>0</v>
      </c>
      <c r="L5" s="19">
        <v>16</v>
      </c>
      <c r="M5" s="19">
        <v>6</v>
      </c>
      <c r="N5" s="445">
        <v>0</v>
      </c>
      <c r="O5" s="445">
        <v>0</v>
      </c>
      <c r="P5" s="446">
        <v>8</v>
      </c>
      <c r="Q5" s="445">
        <v>0</v>
      </c>
      <c r="R5" s="1184">
        <v>4</v>
      </c>
      <c r="S5" s="445">
        <v>0</v>
      </c>
      <c r="T5" s="19">
        <v>25</v>
      </c>
      <c r="U5" s="445">
        <v>0</v>
      </c>
      <c r="V5" s="19">
        <v>8</v>
      </c>
      <c r="W5" s="445">
        <v>0</v>
      </c>
      <c r="X5" s="19">
        <v>2</v>
      </c>
      <c r="Y5" s="447">
        <v>4</v>
      </c>
      <c r="Z5" s="445">
        <v>0</v>
      </c>
      <c r="AA5" s="447">
        <v>2</v>
      </c>
      <c r="AB5" s="445">
        <v>0</v>
      </c>
      <c r="AC5" s="445">
        <v>0</v>
      </c>
      <c r="AD5" s="445">
        <v>0</v>
      </c>
      <c r="AE5" s="445">
        <v>0</v>
      </c>
      <c r="AF5" s="445">
        <v>0</v>
      </c>
      <c r="AG5" s="445">
        <v>0</v>
      </c>
      <c r="AH5" s="32">
        <v>2</v>
      </c>
      <c r="AI5" s="445">
        <v>0</v>
      </c>
      <c r="AJ5" s="445">
        <v>0</v>
      </c>
      <c r="AK5" s="397">
        <f t="shared" ref="AK5:AK10" si="0">SUM(C5:AJ5)</f>
        <v>89</v>
      </c>
    </row>
    <row r="6" spans="1:37" ht="29.25" customHeight="1">
      <c r="A6" s="22">
        <v>2562</v>
      </c>
      <c r="B6" s="425">
        <f t="shared" ref="B6:B10" si="1">SUM(C6:AJ6)</f>
        <v>32</v>
      </c>
      <c r="C6" s="445">
        <v>0</v>
      </c>
      <c r="D6" s="445">
        <v>0</v>
      </c>
      <c r="E6" s="445">
        <v>0</v>
      </c>
      <c r="F6" s="445">
        <v>0</v>
      </c>
      <c r="G6" s="445">
        <v>0</v>
      </c>
      <c r="H6" s="445">
        <v>0</v>
      </c>
      <c r="I6" s="445">
        <v>0</v>
      </c>
      <c r="J6" s="21">
        <v>4</v>
      </c>
      <c r="K6" s="21">
        <v>4</v>
      </c>
      <c r="L6" s="21">
        <v>4</v>
      </c>
      <c r="M6" s="21">
        <v>2</v>
      </c>
      <c r="N6" s="445">
        <v>0</v>
      </c>
      <c r="O6" s="445">
        <v>0</v>
      </c>
      <c r="P6" s="448">
        <v>8</v>
      </c>
      <c r="Q6" s="445">
        <v>0</v>
      </c>
      <c r="R6" s="1185">
        <v>4</v>
      </c>
      <c r="S6" s="445">
        <v>0</v>
      </c>
      <c r="T6" s="445">
        <v>0</v>
      </c>
      <c r="U6" s="445">
        <v>0</v>
      </c>
      <c r="V6" s="445">
        <v>0</v>
      </c>
      <c r="W6" s="445">
        <v>0</v>
      </c>
      <c r="X6" s="21">
        <v>2</v>
      </c>
      <c r="Y6" s="449">
        <v>4</v>
      </c>
      <c r="Z6" s="445">
        <v>0</v>
      </c>
      <c r="AA6" s="445">
        <v>0</v>
      </c>
      <c r="AB6" s="445">
        <v>0</v>
      </c>
      <c r="AC6" s="445">
        <v>0</v>
      </c>
      <c r="AD6" s="445">
        <v>0</v>
      </c>
      <c r="AE6" s="445">
        <v>0</v>
      </c>
      <c r="AF6" s="445">
        <v>0</v>
      </c>
      <c r="AG6" s="445">
        <v>0</v>
      </c>
      <c r="AH6" s="445">
        <v>0</v>
      </c>
      <c r="AI6" s="445">
        <v>0</v>
      </c>
      <c r="AJ6" s="445">
        <v>0</v>
      </c>
      <c r="AK6" s="426">
        <f t="shared" si="0"/>
        <v>32</v>
      </c>
    </row>
    <row r="7" spans="1:37" ht="28.35" customHeight="1">
      <c r="A7" s="22">
        <v>2563</v>
      </c>
      <c r="B7" s="425">
        <f t="shared" si="1"/>
        <v>74</v>
      </c>
      <c r="C7" s="445">
        <v>0</v>
      </c>
      <c r="D7" s="445">
        <v>0</v>
      </c>
      <c r="E7" s="445">
        <v>0</v>
      </c>
      <c r="F7" s="445">
        <v>0</v>
      </c>
      <c r="G7" s="21">
        <v>12</v>
      </c>
      <c r="H7" s="445">
        <v>0</v>
      </c>
      <c r="I7" s="445">
        <v>0</v>
      </c>
      <c r="J7" s="445">
        <v>0</v>
      </c>
      <c r="K7" s="21">
        <v>4</v>
      </c>
      <c r="L7" s="445">
        <v>0</v>
      </c>
      <c r="M7" s="426">
        <v>14</v>
      </c>
      <c r="N7" s="445">
        <v>0</v>
      </c>
      <c r="O7" s="445">
        <v>0</v>
      </c>
      <c r="P7" s="446">
        <v>8</v>
      </c>
      <c r="Q7" s="445">
        <v>0</v>
      </c>
      <c r="R7" s="1185">
        <v>4</v>
      </c>
      <c r="S7" s="445">
        <v>0</v>
      </c>
      <c r="T7" s="445">
        <v>0</v>
      </c>
      <c r="U7" s="445">
        <v>0</v>
      </c>
      <c r="V7" s="21">
        <v>12</v>
      </c>
      <c r="W7" s="445">
        <v>0</v>
      </c>
      <c r="X7" s="445">
        <v>0</v>
      </c>
      <c r="Y7" s="450">
        <v>4</v>
      </c>
      <c r="Z7" s="445">
        <v>0</v>
      </c>
      <c r="AA7" s="445">
        <v>0</v>
      </c>
      <c r="AB7" s="445">
        <v>0</v>
      </c>
      <c r="AC7" s="445">
        <v>0</v>
      </c>
      <c r="AD7" s="445">
        <v>0</v>
      </c>
      <c r="AE7" s="445">
        <v>0</v>
      </c>
      <c r="AF7" s="445">
        <v>0</v>
      </c>
      <c r="AG7" s="445">
        <v>0</v>
      </c>
      <c r="AH7" s="32">
        <v>8</v>
      </c>
      <c r="AI7" s="25">
        <v>8</v>
      </c>
      <c r="AJ7" s="445">
        <v>0</v>
      </c>
      <c r="AK7" s="426">
        <f t="shared" si="0"/>
        <v>74</v>
      </c>
    </row>
    <row r="8" spans="1:37" ht="28.35" customHeight="1">
      <c r="A8" s="22">
        <v>2564</v>
      </c>
      <c r="B8" s="425">
        <f t="shared" si="1"/>
        <v>39</v>
      </c>
      <c r="C8" s="445">
        <v>0</v>
      </c>
      <c r="D8" s="445">
        <v>0</v>
      </c>
      <c r="E8" s="445">
        <v>0</v>
      </c>
      <c r="F8" s="21">
        <v>8</v>
      </c>
      <c r="G8" s="445">
        <v>0</v>
      </c>
      <c r="H8" s="445">
        <v>0</v>
      </c>
      <c r="I8" s="445">
        <v>0</v>
      </c>
      <c r="J8" s="445">
        <v>0</v>
      </c>
      <c r="K8" s="21">
        <v>4</v>
      </c>
      <c r="L8" s="445">
        <v>0</v>
      </c>
      <c r="M8" s="445">
        <v>0</v>
      </c>
      <c r="N8" s="445">
        <v>0</v>
      </c>
      <c r="O8" s="445">
        <v>0</v>
      </c>
      <c r="P8" s="448">
        <v>8</v>
      </c>
      <c r="Q8" s="445">
        <v>0</v>
      </c>
      <c r="R8" s="1185">
        <v>4</v>
      </c>
      <c r="S8" s="445">
        <v>0</v>
      </c>
      <c r="T8" s="445">
        <v>0</v>
      </c>
      <c r="U8" s="445">
        <v>0</v>
      </c>
      <c r="V8" s="445">
        <v>0</v>
      </c>
      <c r="W8" s="445">
        <v>0</v>
      </c>
      <c r="X8" s="445">
        <v>0</v>
      </c>
      <c r="Y8" s="450">
        <v>8</v>
      </c>
      <c r="Z8" s="445">
        <v>0</v>
      </c>
      <c r="AA8" s="445">
        <v>0</v>
      </c>
      <c r="AB8" s="450">
        <v>7</v>
      </c>
      <c r="AC8" s="445">
        <v>0</v>
      </c>
      <c r="AD8" s="445">
        <v>0</v>
      </c>
      <c r="AE8" s="445">
        <v>0</v>
      </c>
      <c r="AF8" s="445">
        <v>0</v>
      </c>
      <c r="AG8" s="445">
        <v>0</v>
      </c>
      <c r="AH8" s="445">
        <v>0</v>
      </c>
      <c r="AI8" s="445">
        <v>0</v>
      </c>
      <c r="AJ8" s="445">
        <v>0</v>
      </c>
      <c r="AK8" s="426">
        <f t="shared" si="0"/>
        <v>39</v>
      </c>
    </row>
    <row r="9" spans="1:37" ht="25.35" customHeight="1">
      <c r="A9" s="22">
        <v>2565</v>
      </c>
      <c r="B9" s="425">
        <f t="shared" si="1"/>
        <v>13</v>
      </c>
      <c r="C9" s="445">
        <v>0</v>
      </c>
      <c r="D9" s="445">
        <v>0</v>
      </c>
      <c r="E9" s="445">
        <v>0</v>
      </c>
      <c r="F9" s="21"/>
      <c r="G9" s="445">
        <v>0</v>
      </c>
      <c r="H9" s="445">
        <v>0</v>
      </c>
      <c r="I9" s="445">
        <v>0</v>
      </c>
      <c r="J9" s="445">
        <v>0</v>
      </c>
      <c r="K9" s="445">
        <v>0</v>
      </c>
      <c r="L9" s="445">
        <v>0</v>
      </c>
      <c r="M9" s="445">
        <v>0</v>
      </c>
      <c r="N9" s="445">
        <v>0</v>
      </c>
      <c r="O9" s="21">
        <v>5</v>
      </c>
      <c r="P9" s="448">
        <v>8</v>
      </c>
      <c r="Q9" s="445">
        <v>0</v>
      </c>
      <c r="R9" s="1185">
        <v>0</v>
      </c>
      <c r="S9" s="445">
        <v>0</v>
      </c>
      <c r="T9" s="445">
        <v>0</v>
      </c>
      <c r="U9" s="445">
        <v>0</v>
      </c>
      <c r="V9" s="445">
        <v>0</v>
      </c>
      <c r="W9" s="445">
        <v>0</v>
      </c>
      <c r="X9" s="445">
        <v>0</v>
      </c>
      <c r="Y9" s="445">
        <v>0</v>
      </c>
      <c r="Z9" s="445">
        <v>0</v>
      </c>
      <c r="AA9" s="445">
        <v>0</v>
      </c>
      <c r="AB9" s="445">
        <v>0</v>
      </c>
      <c r="AC9" s="445">
        <v>0</v>
      </c>
      <c r="AD9" s="445">
        <v>0</v>
      </c>
      <c r="AE9" s="445">
        <v>0</v>
      </c>
      <c r="AF9" s="445">
        <v>0</v>
      </c>
      <c r="AG9" s="445">
        <v>0</v>
      </c>
      <c r="AH9" s="445">
        <v>0</v>
      </c>
      <c r="AI9" s="445">
        <v>0</v>
      </c>
      <c r="AJ9" s="21"/>
      <c r="AK9" s="426">
        <f t="shared" si="0"/>
        <v>13</v>
      </c>
    </row>
    <row r="10" spans="1:37" ht="30.75" customHeight="1" thickBot="1">
      <c r="A10" s="31" t="s">
        <v>8</v>
      </c>
      <c r="B10" s="425">
        <f t="shared" si="1"/>
        <v>247</v>
      </c>
      <c r="C10" s="445">
        <v>0</v>
      </c>
      <c r="D10" s="445">
        <v>0</v>
      </c>
      <c r="E10" s="445">
        <v>0</v>
      </c>
      <c r="F10" s="25">
        <f t="shared" ref="F10:K10" si="2">SUM(F5:F9)</f>
        <v>8</v>
      </c>
      <c r="G10" s="451">
        <f t="shared" si="2"/>
        <v>24</v>
      </c>
      <c r="H10" s="452">
        <f t="shared" si="2"/>
        <v>0</v>
      </c>
      <c r="I10" s="452">
        <f t="shared" si="2"/>
        <v>0</v>
      </c>
      <c r="J10" s="453">
        <f t="shared" si="2"/>
        <v>4</v>
      </c>
      <c r="K10" s="453">
        <f t="shared" si="2"/>
        <v>12</v>
      </c>
      <c r="L10" s="25">
        <f>SUM(L5:L9)</f>
        <v>20</v>
      </c>
      <c r="M10" s="25">
        <f>SUM(M5:M9)</f>
        <v>22</v>
      </c>
      <c r="N10" s="398">
        <f>SUM(N5:N9)</f>
        <v>0</v>
      </c>
      <c r="O10" s="398">
        <f>SUM(O5:O9)</f>
        <v>5</v>
      </c>
      <c r="P10" s="454">
        <f>SUM(P5:P9)</f>
        <v>40</v>
      </c>
      <c r="Q10" s="445">
        <v>0</v>
      </c>
      <c r="R10" s="1186">
        <f>SUM(R5:R9)</f>
        <v>16</v>
      </c>
      <c r="S10" s="445">
        <v>0</v>
      </c>
      <c r="T10" s="25">
        <f t="shared" ref="T10" si="3">SUM(T5:T9)</f>
        <v>25</v>
      </c>
      <c r="U10" s="445">
        <v>0</v>
      </c>
      <c r="V10" s="25">
        <f t="shared" ref="V10" si="4">SUM(V5:V9)</f>
        <v>20</v>
      </c>
      <c r="W10" s="445">
        <v>0</v>
      </c>
      <c r="X10" s="25">
        <f t="shared" ref="X10" si="5">SUM(X5:X9)</f>
        <v>4</v>
      </c>
      <c r="Y10" s="455">
        <f>SUM(Y5:Y9)</f>
        <v>20</v>
      </c>
      <c r="Z10" s="445">
        <v>0</v>
      </c>
      <c r="AA10" s="455">
        <f t="shared" ref="AA10:AB10" si="6">SUM(AA5:AA9)</f>
        <v>2</v>
      </c>
      <c r="AB10" s="455">
        <f t="shared" si="6"/>
        <v>7</v>
      </c>
      <c r="AC10" s="445">
        <v>0</v>
      </c>
      <c r="AD10" s="445">
        <v>0</v>
      </c>
      <c r="AE10" s="445">
        <v>0</v>
      </c>
      <c r="AF10" s="445">
        <v>0</v>
      </c>
      <c r="AG10" s="445">
        <v>0</v>
      </c>
      <c r="AH10" s="25">
        <f>SUM(AH5:AH9)</f>
        <v>10</v>
      </c>
      <c r="AI10" s="25">
        <f>SUM(AI5:AI9)</f>
        <v>8</v>
      </c>
      <c r="AJ10" s="445">
        <v>0</v>
      </c>
      <c r="AK10" s="398">
        <f t="shared" si="0"/>
        <v>247</v>
      </c>
    </row>
    <row r="11" spans="1:37" ht="36.950000000000003" customHeight="1">
      <c r="A11" s="1396" t="s">
        <v>463</v>
      </c>
      <c r="B11" s="1396"/>
      <c r="C11" s="1396"/>
      <c r="D11" s="1396"/>
      <c r="E11" s="1396"/>
      <c r="F11" s="1396"/>
      <c r="G11" s="1396"/>
      <c r="H11" s="1396"/>
      <c r="I11" s="1396"/>
      <c r="J11" s="1396"/>
      <c r="K11" s="1396"/>
      <c r="L11" s="1396"/>
      <c r="M11" s="1396"/>
      <c r="N11" s="427"/>
      <c r="O11" s="1397"/>
      <c r="P11" s="1397"/>
      <c r="Q11" s="1384"/>
      <c r="R11" s="1384"/>
      <c r="S11" s="1384"/>
      <c r="T11" s="1384"/>
      <c r="U11" s="1384"/>
      <c r="V11" s="1384"/>
      <c r="W11" s="1384"/>
      <c r="X11" s="1384"/>
      <c r="Y11" s="1384"/>
      <c r="Z11" s="1384"/>
      <c r="AA11" s="1384"/>
      <c r="AB11" s="1384"/>
      <c r="AC11" s="1384"/>
      <c r="AD11" s="1384"/>
      <c r="AE11" s="1384"/>
      <c r="AF11" s="428"/>
    </row>
    <row r="12" spans="1:37" ht="19.5" thickBot="1"/>
    <row r="13" spans="1:37" s="56" customFormat="1">
      <c r="A13" s="393" t="s">
        <v>42</v>
      </c>
      <c r="B13" s="1386" t="s">
        <v>15</v>
      </c>
      <c r="C13" s="1387"/>
      <c r="D13" s="1329" t="s">
        <v>462</v>
      </c>
      <c r="E13" s="1349"/>
      <c r="F13" s="1349"/>
      <c r="G13" s="1349"/>
      <c r="H13" s="1349"/>
      <c r="I13" s="1349"/>
      <c r="J13" s="1349"/>
      <c r="K13" s="1349"/>
      <c r="L13" s="1349"/>
      <c r="M13" s="1349"/>
      <c r="N13" s="1349"/>
      <c r="O13" s="1349"/>
      <c r="P13" s="1349"/>
      <c r="Q13" s="1349"/>
      <c r="R13" s="1330"/>
      <c r="S13" s="1"/>
      <c r="T13" s="792" t="s">
        <v>773</v>
      </c>
    </row>
    <row r="14" spans="1:37" s="56" customFormat="1" ht="19.5" thickBot="1">
      <c r="A14" s="394"/>
      <c r="B14" s="1388"/>
      <c r="C14" s="1335"/>
      <c r="D14" s="1329">
        <v>2561</v>
      </c>
      <c r="E14" s="1349"/>
      <c r="F14" s="1330"/>
      <c r="G14" s="1329">
        <v>2562</v>
      </c>
      <c r="H14" s="1349"/>
      <c r="I14" s="1330"/>
      <c r="J14" s="1329">
        <v>2563</v>
      </c>
      <c r="K14" s="1349"/>
      <c r="L14" s="1330"/>
      <c r="M14" s="1329">
        <v>2564</v>
      </c>
      <c r="N14" s="1349"/>
      <c r="O14" s="1330"/>
      <c r="P14" s="1329">
        <v>2565</v>
      </c>
      <c r="Q14" s="1349"/>
      <c r="R14" s="1330"/>
      <c r="S14" s="1" t="s">
        <v>8</v>
      </c>
      <c r="T14" s="1"/>
    </row>
    <row r="15" spans="1:37" s="56" customFormat="1">
      <c r="A15" s="395" t="s">
        <v>2</v>
      </c>
      <c r="B15" s="1389">
        <v>397</v>
      </c>
      <c r="C15" s="1390"/>
      <c r="D15" s="1395">
        <f>+C5+G5+L5+P5+T5+Y5+AC5+AG5</f>
        <v>65</v>
      </c>
      <c r="E15" s="1349"/>
      <c r="F15" s="1330"/>
      <c r="G15" s="1395">
        <f>+C6+G6+L6+P6+T6+Y6+AC6+AG6</f>
        <v>16</v>
      </c>
      <c r="H15" s="1349"/>
      <c r="I15" s="1330"/>
      <c r="J15" s="1395">
        <f>+C7+G7+L7+P7+T7+Y7+AC7+AG7</f>
        <v>24</v>
      </c>
      <c r="K15" s="1349"/>
      <c r="L15" s="1330"/>
      <c r="M15" s="1395">
        <f>+C8+G8+L8+P8+T8+Y8+AC8+AG8</f>
        <v>16</v>
      </c>
      <c r="N15" s="1349"/>
      <c r="O15" s="1330"/>
      <c r="P15" s="1395">
        <f>+C9+G9+L9+P9+T9+Y9+AC9+AG9</f>
        <v>8</v>
      </c>
      <c r="Q15" s="1349"/>
      <c r="R15" s="1330"/>
      <c r="S15" s="1385">
        <f>SUM(D15:R15)</f>
        <v>129</v>
      </c>
      <c r="T15" s="1385"/>
    </row>
    <row r="16" spans="1:37" s="56" customFormat="1">
      <c r="A16" s="396" t="s">
        <v>3</v>
      </c>
      <c r="B16" s="1391"/>
      <c r="C16" s="1392"/>
      <c r="D16" s="1395">
        <f>+D5+H5+M5+Q5+U5+Z5+AD5+AH5</f>
        <v>8</v>
      </c>
      <c r="E16" s="1349"/>
      <c r="F16" s="1330"/>
      <c r="G16" s="1329">
        <v>2</v>
      </c>
      <c r="H16" s="1349"/>
      <c r="I16" s="1330"/>
      <c r="J16" s="1329">
        <v>22</v>
      </c>
      <c r="K16" s="1349"/>
      <c r="L16" s="1330"/>
      <c r="M16" s="1329">
        <v>0</v>
      </c>
      <c r="N16" s="1349"/>
      <c r="O16" s="1330"/>
      <c r="P16" s="1329">
        <v>0</v>
      </c>
      <c r="Q16" s="1349"/>
      <c r="R16" s="1330"/>
      <c r="S16" s="1385">
        <f t="shared" ref="S16:S19" si="7">SUM(D16:R16)</f>
        <v>32</v>
      </c>
      <c r="T16" s="1385"/>
    </row>
    <row r="17" spans="1:20" s="56" customFormat="1">
      <c r="A17" s="396" t="s">
        <v>4</v>
      </c>
      <c r="B17" s="1391"/>
      <c r="C17" s="1392"/>
      <c r="D17" s="1329">
        <v>14</v>
      </c>
      <c r="E17" s="1349"/>
      <c r="F17" s="1330"/>
      <c r="G17" s="1329">
        <v>4</v>
      </c>
      <c r="H17" s="1349"/>
      <c r="I17" s="1330"/>
      <c r="J17" s="1329">
        <v>24</v>
      </c>
      <c r="K17" s="1349"/>
      <c r="L17" s="1330"/>
      <c r="M17" s="1329">
        <v>4</v>
      </c>
      <c r="N17" s="1349"/>
      <c r="O17" s="1330"/>
      <c r="P17" s="1329">
        <v>4</v>
      </c>
      <c r="Q17" s="1349"/>
      <c r="R17" s="1330"/>
      <c r="S17" s="1385">
        <f t="shared" si="7"/>
        <v>50</v>
      </c>
      <c r="T17" s="1385"/>
    </row>
    <row r="18" spans="1:20" s="56" customFormat="1">
      <c r="A18" s="396" t="s">
        <v>5</v>
      </c>
      <c r="B18" s="1391"/>
      <c r="C18" s="1392"/>
      <c r="D18" s="1329">
        <v>0</v>
      </c>
      <c r="E18" s="1349"/>
      <c r="F18" s="1330"/>
      <c r="G18" s="1329">
        <v>4</v>
      </c>
      <c r="H18" s="1349"/>
      <c r="I18" s="1330"/>
      <c r="J18" s="1329">
        <v>0</v>
      </c>
      <c r="K18" s="1349"/>
      <c r="L18" s="1330"/>
      <c r="M18" s="1329">
        <v>15</v>
      </c>
      <c r="N18" s="1349"/>
      <c r="O18" s="1330"/>
      <c r="P18" s="1329">
        <v>5</v>
      </c>
      <c r="Q18" s="1349"/>
      <c r="R18" s="1330"/>
      <c r="S18" s="1385">
        <f t="shared" si="7"/>
        <v>24</v>
      </c>
      <c r="T18" s="1385"/>
    </row>
    <row r="19" spans="1:20" s="56" customFormat="1">
      <c r="A19" s="396" t="s">
        <v>6</v>
      </c>
      <c r="B19" s="1393"/>
      <c r="C19" s="1394"/>
      <c r="D19" s="1329">
        <v>2</v>
      </c>
      <c r="E19" s="1349"/>
      <c r="F19" s="1330"/>
      <c r="G19" s="1329">
        <v>6</v>
      </c>
      <c r="H19" s="1349"/>
      <c r="I19" s="1330"/>
      <c r="J19" s="1329">
        <v>4</v>
      </c>
      <c r="K19" s="1349"/>
      <c r="L19" s="1330"/>
      <c r="M19" s="1329">
        <v>4</v>
      </c>
      <c r="N19" s="1349"/>
      <c r="O19" s="1330"/>
      <c r="P19" s="1329">
        <v>0</v>
      </c>
      <c r="Q19" s="1349"/>
      <c r="R19" s="1330"/>
      <c r="S19" s="1385">
        <f t="shared" si="7"/>
        <v>16</v>
      </c>
      <c r="T19" s="1385"/>
    </row>
    <row r="20" spans="1:20" s="56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383">
        <f>SUM(S15:S19)</f>
        <v>251</v>
      </c>
      <c r="T20" s="1384"/>
    </row>
  </sheetData>
  <mergeCells count="51">
    <mergeCell ref="D14:F14"/>
    <mergeCell ref="AK3:AK4"/>
    <mergeCell ref="C3:F3"/>
    <mergeCell ref="G3:J3"/>
    <mergeCell ref="L3:O3"/>
    <mergeCell ref="P3:S3"/>
    <mergeCell ref="T3:W3"/>
    <mergeCell ref="A11:M11"/>
    <mergeCell ref="Y3:AB3"/>
    <mergeCell ref="AC3:AF3"/>
    <mergeCell ref="AG3:AJ3"/>
    <mergeCell ref="O11:P11"/>
    <mergeCell ref="Q11:AE11"/>
    <mergeCell ref="D17:F17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  <mergeCell ref="D19:F19"/>
    <mergeCell ref="G19:I19"/>
    <mergeCell ref="J19:L19"/>
    <mergeCell ref="M19:O19"/>
    <mergeCell ref="P19:R19"/>
    <mergeCell ref="J15:L15"/>
    <mergeCell ref="M15:O15"/>
    <mergeCell ref="P15:R15"/>
    <mergeCell ref="G14:I14"/>
    <mergeCell ref="J14:L14"/>
    <mergeCell ref="M14:O14"/>
    <mergeCell ref="P14:R14"/>
    <mergeCell ref="S20:T20"/>
    <mergeCell ref="S17:T17"/>
    <mergeCell ref="S18:T18"/>
    <mergeCell ref="S19:T19"/>
    <mergeCell ref="B13:C14"/>
    <mergeCell ref="D13:R13"/>
    <mergeCell ref="B15:C19"/>
    <mergeCell ref="S15:T15"/>
    <mergeCell ref="D16:F16"/>
    <mergeCell ref="G16:I16"/>
    <mergeCell ref="J16:L16"/>
    <mergeCell ref="M16:O16"/>
    <mergeCell ref="P16:R16"/>
    <mergeCell ref="S16:T16"/>
    <mergeCell ref="D15:F15"/>
    <mergeCell ref="G15:I1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4"/>
  <sheetViews>
    <sheetView topLeftCell="A19" workbookViewId="0">
      <selection activeCell="B40" sqref="B40"/>
    </sheetView>
  </sheetViews>
  <sheetFormatPr defaultColWidth="7" defaultRowHeight="18.75"/>
  <cols>
    <col min="1" max="1" width="6.375" style="141" customWidth="1"/>
    <col min="2" max="2" width="35.625" style="769" customWidth="1"/>
    <col min="3" max="3" width="27.625" style="141" customWidth="1"/>
    <col min="4" max="4" width="7.75" style="770" bestFit="1" customWidth="1"/>
    <col min="5" max="5" width="10.875" style="770" bestFit="1" customWidth="1"/>
    <col min="6" max="6" width="7.125" style="762" customWidth="1"/>
    <col min="7" max="9" width="8.25" style="762" bestFit="1" customWidth="1"/>
    <col min="10" max="10" width="10.875" style="762" bestFit="1" customWidth="1"/>
    <col min="11" max="11" width="8.25" style="762" bestFit="1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401" t="s">
        <v>711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56.25">
      <c r="A5" s="1362" t="s">
        <v>136</v>
      </c>
      <c r="B5" s="1364" t="s">
        <v>712</v>
      </c>
      <c r="C5" s="754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718</v>
      </c>
      <c r="I5" s="1368" t="s">
        <v>719</v>
      </c>
      <c r="J5" s="1368" t="s">
        <v>720</v>
      </c>
      <c r="K5" s="1368" t="s">
        <v>721</v>
      </c>
      <c r="L5" s="1364" t="s">
        <v>722</v>
      </c>
      <c r="M5" s="754" t="s">
        <v>145</v>
      </c>
      <c r="N5" s="754" t="s">
        <v>146</v>
      </c>
      <c r="O5" s="754" t="s">
        <v>147</v>
      </c>
      <c r="P5" s="754" t="s">
        <v>43</v>
      </c>
      <c r="Q5" s="754" t="s">
        <v>148</v>
      </c>
      <c r="R5" s="754" t="s">
        <v>723</v>
      </c>
      <c r="S5" s="754" t="s">
        <v>724</v>
      </c>
      <c r="T5" s="754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123"/>
      <c r="D6" s="1367"/>
      <c r="E6" s="1367"/>
      <c r="F6" s="1369"/>
      <c r="G6" s="1369"/>
      <c r="H6" s="1369"/>
      <c r="I6" s="1369"/>
      <c r="J6" s="1369"/>
      <c r="K6" s="1369"/>
      <c r="L6" s="1365"/>
      <c r="M6" s="123"/>
      <c r="N6" s="123"/>
      <c r="O6" s="123"/>
      <c r="P6" s="123"/>
      <c r="Q6" s="123"/>
      <c r="R6" s="123"/>
      <c r="S6" s="123"/>
      <c r="T6" s="123"/>
      <c r="U6" s="123" t="s">
        <v>727</v>
      </c>
      <c r="V6" s="124" t="s">
        <v>152</v>
      </c>
      <c r="W6" s="124" t="s">
        <v>153</v>
      </c>
      <c r="X6" s="124" t="s">
        <v>728</v>
      </c>
    </row>
    <row r="7" spans="1:24">
      <c r="A7" s="131"/>
      <c r="B7" s="132"/>
      <c r="C7" s="133" t="s">
        <v>739</v>
      </c>
      <c r="D7" s="134"/>
      <c r="E7" s="135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9"/>
      <c r="Q7" s="139"/>
      <c r="R7" s="139"/>
      <c r="S7" s="139"/>
      <c r="T7" s="139"/>
      <c r="U7" s="140"/>
      <c r="V7" s="140"/>
      <c r="W7" s="140"/>
      <c r="X7" s="140"/>
    </row>
    <row r="8" spans="1:24" ht="37.5">
      <c r="A8" s="131">
        <v>6</v>
      </c>
      <c r="B8" s="132">
        <v>1</v>
      </c>
      <c r="C8" s="133" t="s">
        <v>740</v>
      </c>
      <c r="D8" s="134"/>
      <c r="E8" s="135">
        <v>2000000</v>
      </c>
      <c r="F8" s="132">
        <v>1</v>
      </c>
      <c r="G8" s="773"/>
      <c r="H8" s="773"/>
      <c r="I8" s="132"/>
      <c r="J8" s="135">
        <v>2000000</v>
      </c>
      <c r="K8" s="132"/>
      <c r="L8" s="135">
        <f>SUM(H8:K8)</f>
        <v>2000000</v>
      </c>
      <c r="M8" s="136" t="s">
        <v>202</v>
      </c>
      <c r="N8" s="137" t="s">
        <v>203</v>
      </c>
      <c r="O8" s="137" t="s">
        <v>204</v>
      </c>
      <c r="P8" s="139" t="s">
        <v>17</v>
      </c>
      <c r="Q8" s="139" t="s">
        <v>181</v>
      </c>
      <c r="R8" s="139" t="s">
        <v>741</v>
      </c>
      <c r="S8" s="139">
        <v>60</v>
      </c>
      <c r="T8" s="761">
        <v>57.9</v>
      </c>
      <c r="U8" s="140"/>
      <c r="V8" s="140" t="s">
        <v>742</v>
      </c>
      <c r="W8" s="140"/>
      <c r="X8" s="140"/>
    </row>
    <row r="9" spans="1:24" s="768" customFormat="1">
      <c r="A9" s="1374" t="s">
        <v>743</v>
      </c>
      <c r="B9" s="1375"/>
      <c r="C9" s="1375"/>
      <c r="D9" s="1375"/>
      <c r="E9" s="1375"/>
      <c r="F9" s="1376"/>
      <c r="G9" s="764"/>
      <c r="H9" s="764">
        <f t="shared" ref="H9:K9" si="0">SUM(H8)</f>
        <v>0</v>
      </c>
      <c r="I9" s="764">
        <f t="shared" si="0"/>
        <v>0</v>
      </c>
      <c r="J9" s="764">
        <f>SUM(J8)</f>
        <v>2000000</v>
      </c>
      <c r="K9" s="764">
        <f t="shared" si="0"/>
        <v>0</v>
      </c>
      <c r="L9" s="764">
        <f>SUM(G9:K9)</f>
        <v>2000000</v>
      </c>
      <c r="M9" s="765"/>
      <c r="N9" s="203"/>
      <c r="O9" s="203"/>
      <c r="P9" s="204"/>
      <c r="Q9" s="204"/>
      <c r="R9" s="204"/>
      <c r="S9" s="204"/>
      <c r="T9" s="766"/>
      <c r="U9" s="208"/>
      <c r="V9" s="208"/>
      <c r="W9" s="208"/>
      <c r="X9" s="208"/>
    </row>
    <row r="10" spans="1:24">
      <c r="A10" s="748" t="s">
        <v>0</v>
      </c>
      <c r="B10" s="746" t="s">
        <v>1</v>
      </c>
      <c r="C10" s="1340" t="s">
        <v>18</v>
      </c>
      <c r="D10" s="1340"/>
      <c r="E10" s="1340"/>
      <c r="F10" s="1340"/>
      <c r="G10" s="748"/>
      <c r="H10" s="1341" t="s">
        <v>8</v>
      </c>
    </row>
    <row r="11" spans="1:24">
      <c r="A11" s="16"/>
      <c r="B11" s="747" t="s">
        <v>7</v>
      </c>
      <c r="C11" s="749" t="s">
        <v>2</v>
      </c>
      <c r="D11" s="749" t="s">
        <v>3</v>
      </c>
      <c r="E11" s="749" t="s">
        <v>4</v>
      </c>
      <c r="F11" s="749" t="s">
        <v>5</v>
      </c>
      <c r="G11" s="749" t="s">
        <v>173</v>
      </c>
      <c r="H11" s="1342"/>
    </row>
    <row r="12" spans="1:24">
      <c r="A12" s="18">
        <v>2561</v>
      </c>
      <c r="B12" s="804" t="s">
        <v>782</v>
      </c>
      <c r="C12" s="29" t="s">
        <v>264</v>
      </c>
      <c r="D12" s="29"/>
      <c r="E12" s="29"/>
      <c r="F12" s="29"/>
      <c r="G12" s="29"/>
      <c r="H12" s="29">
        <v>12</v>
      </c>
    </row>
    <row r="13" spans="1:24">
      <c r="A13" s="22">
        <v>2562</v>
      </c>
      <c r="B13" s="805" t="s">
        <v>783</v>
      </c>
      <c r="C13" s="30"/>
      <c r="D13" s="30"/>
      <c r="E13" s="30"/>
      <c r="F13" s="30" t="s">
        <v>264</v>
      </c>
      <c r="G13" s="30" t="s">
        <v>52</v>
      </c>
      <c r="H13" s="30">
        <v>8</v>
      </c>
    </row>
    <row r="14" spans="1:24">
      <c r="A14" s="22">
        <v>2563</v>
      </c>
      <c r="B14" s="805" t="s">
        <v>784</v>
      </c>
      <c r="C14" s="30" t="s">
        <v>264</v>
      </c>
      <c r="D14" s="30"/>
      <c r="E14" s="30"/>
      <c r="F14" s="30"/>
      <c r="G14" s="30" t="s">
        <v>264</v>
      </c>
      <c r="H14" s="30">
        <v>16</v>
      </c>
    </row>
    <row r="15" spans="1:24">
      <c r="A15" s="22">
        <v>2564</v>
      </c>
      <c r="B15" s="805" t="s">
        <v>785</v>
      </c>
      <c r="C15" s="30"/>
      <c r="D15" s="30"/>
      <c r="E15" s="30"/>
      <c r="F15" s="30"/>
      <c r="G15" s="30" t="s">
        <v>52</v>
      </c>
      <c r="H15" s="30">
        <v>4</v>
      </c>
    </row>
    <row r="16" spans="1:24">
      <c r="A16" s="22">
        <v>2565</v>
      </c>
      <c r="B16" s="805" t="s">
        <v>786</v>
      </c>
      <c r="C16" s="30"/>
      <c r="D16" s="30"/>
      <c r="E16" s="30"/>
      <c r="F16" s="30"/>
      <c r="G16" s="30"/>
      <c r="H16" s="30"/>
    </row>
    <row r="17" spans="1:18">
      <c r="A17" s="31" t="s">
        <v>8</v>
      </c>
      <c r="B17" s="31"/>
      <c r="C17" s="31"/>
      <c r="D17" s="31"/>
      <c r="E17" s="31"/>
      <c r="F17" s="31"/>
      <c r="G17" s="31"/>
      <c r="H17" s="31">
        <f>SUM(H12:H16)</f>
        <v>40</v>
      </c>
    </row>
    <row r="18" spans="1:18">
      <c r="A18" s="1400" t="s">
        <v>909</v>
      </c>
      <c r="B18" s="1400"/>
      <c r="C18" s="1400"/>
      <c r="D18" s="1400"/>
      <c r="E18" s="1400"/>
      <c r="F18" s="1400"/>
      <c r="G18" s="1400"/>
      <c r="H18" s="1400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>
      <c r="A19" s="917" t="s">
        <v>0</v>
      </c>
      <c r="B19" s="918" t="s">
        <v>1</v>
      </c>
      <c r="C19" s="918" t="s">
        <v>158</v>
      </c>
      <c r="D19" s="876" t="s">
        <v>884</v>
      </c>
      <c r="E19" s="876" t="s">
        <v>885</v>
      </c>
      <c r="F19" s="876" t="s">
        <v>886</v>
      </c>
      <c r="G19" s="876" t="s">
        <v>887</v>
      </c>
      <c r="H19" s="1398" t="s">
        <v>8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>
      <c r="A20" s="919"/>
      <c r="B20" s="920" t="s">
        <v>7</v>
      </c>
      <c r="C20" s="921" t="s">
        <v>2</v>
      </c>
      <c r="D20" s="921" t="s">
        <v>3</v>
      </c>
      <c r="E20" s="921" t="s">
        <v>5</v>
      </c>
      <c r="F20" s="921" t="s">
        <v>5</v>
      </c>
      <c r="G20" s="921" t="s">
        <v>5</v>
      </c>
      <c r="H20" s="1399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>
      <c r="A21" s="922" t="s">
        <v>910</v>
      </c>
      <c r="B21" s="878"/>
      <c r="C21" s="879">
        <v>850</v>
      </c>
      <c r="D21" s="879">
        <v>250</v>
      </c>
      <c r="E21" s="879">
        <v>137</v>
      </c>
      <c r="F21" s="879">
        <v>113</v>
      </c>
      <c r="G21" s="879">
        <v>90</v>
      </c>
      <c r="H21" s="87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78.75">
      <c r="A22" s="923" t="s">
        <v>911</v>
      </c>
      <c r="B22" s="924"/>
      <c r="C22" s="925"/>
      <c r="D22" s="925">
        <v>7</v>
      </c>
      <c r="E22" s="925" t="s">
        <v>912</v>
      </c>
      <c r="F22" s="926" t="s">
        <v>913</v>
      </c>
      <c r="G22" s="925" t="s">
        <v>912</v>
      </c>
      <c r="H22" s="917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21">
      <c r="A23" s="927">
        <v>2561</v>
      </c>
      <c r="B23" s="928"/>
      <c r="C23" s="929">
        <v>8</v>
      </c>
      <c r="D23" s="930">
        <v>6</v>
      </c>
      <c r="E23" s="931">
        <v>4</v>
      </c>
      <c r="F23" s="931">
        <v>0</v>
      </c>
      <c r="G23" s="931">
        <v>0</v>
      </c>
      <c r="H23" s="930">
        <f>8+8+6+4</f>
        <v>26</v>
      </c>
      <c r="I23" s="932" t="s">
        <v>914</v>
      </c>
      <c r="J23" s="932"/>
      <c r="K23" s="932"/>
      <c r="L23" s="932"/>
      <c r="M23" s="932"/>
      <c r="N23" s="932"/>
      <c r="O23" s="933"/>
      <c r="P23" s="934"/>
      <c r="Q23" s="934"/>
      <c r="R23" s="934"/>
    </row>
    <row r="24" spans="1:18" ht="21">
      <c r="A24" s="935"/>
      <c r="B24" s="936"/>
      <c r="C24" s="937" t="s">
        <v>915</v>
      </c>
      <c r="D24" s="938" t="s">
        <v>916</v>
      </c>
      <c r="E24" s="939"/>
      <c r="F24" s="939"/>
      <c r="G24" s="939"/>
      <c r="H24" s="940"/>
      <c r="I24" s="932"/>
      <c r="J24" s="932"/>
      <c r="K24" s="932"/>
      <c r="L24" s="932"/>
      <c r="M24" s="932"/>
      <c r="N24" s="932"/>
      <c r="O24" s="933"/>
      <c r="P24" s="934"/>
      <c r="Q24" s="934"/>
      <c r="R24" s="934"/>
    </row>
    <row r="25" spans="1:18" ht="21">
      <c r="A25" s="935"/>
      <c r="B25" s="936"/>
      <c r="C25" s="937">
        <v>8</v>
      </c>
      <c r="D25" s="939"/>
      <c r="E25" s="939"/>
      <c r="F25" s="939"/>
      <c r="G25" s="939"/>
      <c r="H25" s="940"/>
      <c r="I25" s="932"/>
      <c r="J25" s="932"/>
      <c r="K25" s="932"/>
      <c r="L25" s="932"/>
      <c r="M25" s="932"/>
      <c r="N25" s="932"/>
      <c r="O25" s="933"/>
      <c r="P25" s="934"/>
      <c r="Q25" s="934"/>
      <c r="R25" s="934"/>
    </row>
    <row r="26" spans="1:18" ht="21">
      <c r="A26" s="935"/>
      <c r="B26" s="936"/>
      <c r="C26" s="937" t="s">
        <v>917</v>
      </c>
      <c r="D26" s="939"/>
      <c r="E26" s="939"/>
      <c r="F26" s="939"/>
      <c r="G26" s="939"/>
      <c r="H26" s="940"/>
      <c r="I26" s="932"/>
      <c r="J26" s="932"/>
      <c r="K26" s="932"/>
      <c r="L26" s="932"/>
      <c r="M26" s="932"/>
      <c r="N26" s="932"/>
      <c r="O26" s="933"/>
      <c r="P26" s="934"/>
      <c r="Q26" s="934"/>
      <c r="R26" s="934"/>
    </row>
    <row r="27" spans="1:18" ht="21">
      <c r="A27" s="941">
        <v>2562</v>
      </c>
      <c r="B27" s="942"/>
      <c r="C27" s="943">
        <v>4</v>
      </c>
      <c r="D27" s="930">
        <v>2</v>
      </c>
      <c r="E27" s="944">
        <v>0</v>
      </c>
      <c r="F27" s="944">
        <v>0</v>
      </c>
      <c r="G27" s="944">
        <v>0</v>
      </c>
      <c r="H27" s="942">
        <v>6</v>
      </c>
      <c r="I27" s="945" t="s">
        <v>918</v>
      </c>
      <c r="J27" s="932"/>
      <c r="K27" s="932"/>
      <c r="L27" s="932"/>
      <c r="M27" s="932"/>
      <c r="N27" s="932"/>
      <c r="O27" s="933"/>
      <c r="P27" s="934"/>
      <c r="Q27" s="934"/>
      <c r="R27" s="934"/>
    </row>
    <row r="28" spans="1:18" ht="21">
      <c r="A28" s="941"/>
      <c r="B28" s="942"/>
      <c r="C28" s="943" t="s">
        <v>919</v>
      </c>
      <c r="D28" s="930" t="s">
        <v>920</v>
      </c>
      <c r="E28" s="944"/>
      <c r="F28" s="944"/>
      <c r="G28" s="944"/>
      <c r="H28" s="942"/>
      <c r="I28" s="945"/>
      <c r="J28" s="932"/>
      <c r="K28" s="932"/>
      <c r="L28" s="932"/>
      <c r="M28" s="932"/>
      <c r="N28" s="932"/>
      <c r="O28" s="933"/>
      <c r="P28" s="934"/>
      <c r="Q28" s="934"/>
      <c r="R28" s="934"/>
    </row>
    <row r="29" spans="1:18">
      <c r="A29" s="941">
        <v>2563</v>
      </c>
      <c r="B29" s="942"/>
      <c r="C29" s="942"/>
      <c r="D29" s="942">
        <v>14</v>
      </c>
      <c r="E29" s="944">
        <v>2</v>
      </c>
      <c r="F29" s="944">
        <v>4</v>
      </c>
      <c r="G29" s="944">
        <v>0</v>
      </c>
      <c r="H29" s="942">
        <f>14+2+4</f>
        <v>20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941"/>
      <c r="B30" s="942"/>
      <c r="C30" s="942"/>
      <c r="D30" s="946" t="s">
        <v>921</v>
      </c>
      <c r="E30" s="944"/>
      <c r="F30" s="944"/>
      <c r="G30" s="944"/>
      <c r="H30" s="942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941">
        <v>2564</v>
      </c>
      <c r="B31" s="942"/>
      <c r="C31" s="942"/>
      <c r="D31" s="944"/>
      <c r="E31" s="944">
        <v>2</v>
      </c>
      <c r="F31" s="944">
        <v>4</v>
      </c>
      <c r="G31" s="944">
        <v>0</v>
      </c>
      <c r="H31" s="942">
        <v>6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941">
        <v>2565</v>
      </c>
      <c r="B32" s="942"/>
      <c r="C32" s="942"/>
      <c r="D32" s="944"/>
      <c r="E32" s="944"/>
      <c r="F32" s="944">
        <v>4</v>
      </c>
      <c r="G32" s="942" t="s">
        <v>922</v>
      </c>
      <c r="H32" s="942">
        <v>8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935"/>
      <c r="B33" s="919"/>
      <c r="C33" s="919"/>
      <c r="D33" s="944"/>
      <c r="E33" s="944"/>
      <c r="F33" s="944"/>
      <c r="G33" s="942" t="s">
        <v>923</v>
      </c>
      <c r="H33" s="919">
        <v>1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935"/>
      <c r="B34" s="919"/>
      <c r="C34" s="919"/>
      <c r="D34" s="947"/>
      <c r="E34" s="947"/>
      <c r="F34" s="947"/>
      <c r="G34" s="948"/>
      <c r="H34" s="91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878" t="s">
        <v>8</v>
      </c>
      <c r="B35" s="878"/>
      <c r="C35" s="878">
        <f>8+8+4</f>
        <v>20</v>
      </c>
      <c r="D35" s="878">
        <v>22</v>
      </c>
      <c r="E35" s="949">
        <v>8</v>
      </c>
      <c r="F35" s="949">
        <f>SUM(F23:F34)</f>
        <v>12</v>
      </c>
      <c r="G35" s="949">
        <v>5</v>
      </c>
      <c r="H35" s="878">
        <f>SUM(H23:H34)</f>
        <v>67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207" t="s">
        <v>1096</v>
      </c>
      <c r="B36" s="1207"/>
      <c r="C36" s="1202"/>
      <c r="D36" s="1201"/>
      <c r="E36" s="1201"/>
      <c r="F36" s="1201"/>
      <c r="G36" s="1201"/>
      <c r="H36" s="1201"/>
      <c r="I36" s="1201"/>
      <c r="J36" s="1201"/>
    </row>
    <row r="37" spans="1:18">
      <c r="A37" s="1190" t="s">
        <v>0</v>
      </c>
      <c r="B37" s="1203" t="s">
        <v>1</v>
      </c>
      <c r="C37" s="1359" t="s">
        <v>1102</v>
      </c>
      <c r="D37" s="1359"/>
      <c r="E37" s="1359"/>
      <c r="F37" s="1359"/>
      <c r="G37" s="1359" t="s">
        <v>1098</v>
      </c>
      <c r="H37" s="1359"/>
      <c r="I37" s="1359"/>
      <c r="J37" s="1359"/>
    </row>
    <row r="38" spans="1:18">
      <c r="A38" s="1191"/>
      <c r="B38" s="1204" t="s">
        <v>7</v>
      </c>
      <c r="C38" s="1192" t="s">
        <v>2</v>
      </c>
      <c r="D38" s="1192" t="s">
        <v>3</v>
      </c>
      <c r="E38" s="1192" t="s">
        <v>4</v>
      </c>
      <c r="F38" s="1192" t="s">
        <v>5</v>
      </c>
      <c r="G38" s="1192" t="s">
        <v>2</v>
      </c>
      <c r="H38" s="1192" t="s">
        <v>3</v>
      </c>
      <c r="I38" s="1192" t="s">
        <v>4</v>
      </c>
      <c r="J38" s="1192" t="s">
        <v>5</v>
      </c>
    </row>
    <row r="39" spans="1:18">
      <c r="A39" s="1193">
        <v>2561</v>
      </c>
      <c r="B39" s="1184">
        <v>12</v>
      </c>
      <c r="C39" s="1194">
        <v>8</v>
      </c>
      <c r="D39" s="1184"/>
      <c r="E39" s="1184"/>
      <c r="F39" s="1184"/>
      <c r="G39" s="1184"/>
      <c r="H39" s="1184"/>
      <c r="I39" s="1184">
        <v>4</v>
      </c>
      <c r="J39" s="1184"/>
    </row>
    <row r="40" spans="1:18">
      <c r="A40" s="1205">
        <v>2562</v>
      </c>
      <c r="B40" s="1185">
        <v>12</v>
      </c>
      <c r="C40" s="1185">
        <v>8</v>
      </c>
      <c r="D40" s="1185"/>
      <c r="E40" s="1185"/>
      <c r="F40" s="1185"/>
      <c r="G40" s="1185"/>
      <c r="H40" s="1185"/>
      <c r="I40" s="1185">
        <v>4</v>
      </c>
      <c r="J40" s="1185"/>
    </row>
    <row r="41" spans="1:18">
      <c r="A41" s="1205">
        <v>2563</v>
      </c>
      <c r="B41" s="1185">
        <v>12</v>
      </c>
      <c r="C41" s="1206">
        <v>8</v>
      </c>
      <c r="D41" s="1185"/>
      <c r="E41" s="1185"/>
      <c r="F41" s="1185"/>
      <c r="G41" s="1185"/>
      <c r="H41" s="1185"/>
      <c r="I41" s="1185">
        <v>4</v>
      </c>
      <c r="J41" s="1185"/>
    </row>
    <row r="42" spans="1:18">
      <c r="A42" s="1205">
        <v>2564</v>
      </c>
      <c r="B42" s="1185">
        <v>12</v>
      </c>
      <c r="C42" s="1185">
        <v>8</v>
      </c>
      <c r="D42" s="1185"/>
      <c r="E42" s="1185"/>
      <c r="F42" s="1185"/>
      <c r="G42" s="1185"/>
      <c r="H42" s="1185"/>
      <c r="I42" s="1185">
        <v>4</v>
      </c>
      <c r="J42" s="1185"/>
    </row>
    <row r="43" spans="1:18">
      <c r="A43" s="1205">
        <v>2565</v>
      </c>
      <c r="B43" s="1185">
        <v>8</v>
      </c>
      <c r="C43" s="1185">
        <v>8</v>
      </c>
      <c r="D43" s="1185"/>
      <c r="E43" s="1185"/>
      <c r="F43" s="1185"/>
      <c r="G43" s="1185"/>
      <c r="H43" s="1185"/>
      <c r="I43" s="1185">
        <v>0</v>
      </c>
      <c r="J43" s="1185"/>
    </row>
    <row r="44" spans="1:18">
      <c r="A44" s="1186" t="s">
        <v>8</v>
      </c>
      <c r="B44" s="1186">
        <f>SUM(B39:B43)</f>
        <v>56</v>
      </c>
      <c r="C44" s="1186">
        <f>SUM(C39:C43)</f>
        <v>40</v>
      </c>
      <c r="D44" s="1186"/>
      <c r="E44" s="1186"/>
      <c r="F44" s="1186"/>
      <c r="G44" s="1186"/>
      <c r="H44" s="1186"/>
      <c r="I44" s="1186">
        <f>SUM(I39:I43)</f>
        <v>16</v>
      </c>
      <c r="J44" s="1186"/>
    </row>
  </sheetData>
  <mergeCells count="22"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C37:F37"/>
    <mergeCell ref="G37:J37"/>
    <mergeCell ref="L5:L6"/>
    <mergeCell ref="U5:X5"/>
    <mergeCell ref="C10:F10"/>
    <mergeCell ref="H10:H11"/>
    <mergeCell ref="A9:F9"/>
    <mergeCell ref="H19:H20"/>
    <mergeCell ref="A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workbookViewId="0">
      <selection activeCell="T11" sqref="T11"/>
    </sheetView>
  </sheetViews>
  <sheetFormatPr defaultColWidth="9" defaultRowHeight="18.75"/>
  <cols>
    <col min="1" max="1" width="6.375" style="2" customWidth="1"/>
    <col min="2" max="2" width="7.375" style="2" customWidth="1"/>
    <col min="3" max="23" width="3.5" style="2" customWidth="1"/>
    <col min="24" max="24" width="3.375" style="57" customWidth="1"/>
    <col min="25" max="36" width="3.5" style="2" customWidth="1"/>
    <col min="37" max="37" width="6.25" style="2" customWidth="1"/>
    <col min="38" max="42" width="2.625" style="2" customWidth="1"/>
    <col min="43" max="51" width="2.75" style="2" customWidth="1"/>
    <col min="52" max="52" width="3.375" style="2" customWidth="1"/>
    <col min="53" max="16384" width="9" style="2"/>
  </cols>
  <sheetData>
    <row r="1" spans="1:37" ht="33.75" customHeight="1">
      <c r="A1" s="1" t="s">
        <v>14</v>
      </c>
      <c r="B1" s="1"/>
    </row>
    <row r="2" spans="1:37" ht="33.75" customHeight="1">
      <c r="A2" s="3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7" ht="30.75" customHeight="1"/>
    <row r="4" spans="1:37" s="5" customFormat="1" ht="38.25" customHeight="1">
      <c r="A4" s="14" t="s">
        <v>0</v>
      </c>
      <c r="B4" s="26" t="s">
        <v>1</v>
      </c>
      <c r="C4" s="1340" t="s">
        <v>17</v>
      </c>
      <c r="D4" s="1340"/>
      <c r="E4" s="1340"/>
      <c r="F4" s="1340"/>
      <c r="G4" s="1340" t="s">
        <v>18</v>
      </c>
      <c r="H4" s="1340"/>
      <c r="I4" s="1340"/>
      <c r="J4" s="1340"/>
      <c r="K4" s="270"/>
      <c r="L4" s="1340" t="s">
        <v>19</v>
      </c>
      <c r="M4" s="1340"/>
      <c r="N4" s="1340"/>
      <c r="O4" s="1340"/>
      <c r="P4" s="1340" t="s">
        <v>20</v>
      </c>
      <c r="Q4" s="1340"/>
      <c r="R4" s="1340"/>
      <c r="S4" s="1340"/>
      <c r="T4" s="1340" t="s">
        <v>21</v>
      </c>
      <c r="U4" s="1340"/>
      <c r="V4" s="1340"/>
      <c r="W4" s="1340"/>
      <c r="X4" s="270"/>
      <c r="Y4" s="1340" t="s">
        <v>22</v>
      </c>
      <c r="Z4" s="1340"/>
      <c r="AA4" s="1340"/>
      <c r="AB4" s="1340"/>
      <c r="AC4" s="1340" t="s">
        <v>23</v>
      </c>
      <c r="AD4" s="1340"/>
      <c r="AE4" s="1340"/>
      <c r="AF4" s="1340"/>
      <c r="AG4" s="1340" t="s">
        <v>24</v>
      </c>
      <c r="AH4" s="1340"/>
      <c r="AI4" s="1340"/>
      <c r="AJ4" s="1340"/>
      <c r="AK4" s="1341" t="s">
        <v>8</v>
      </c>
    </row>
    <row r="5" spans="1:37" s="5" customFormat="1" ht="38.25" customHeight="1">
      <c r="A5" s="16"/>
      <c r="B5" s="27" t="s">
        <v>9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2</v>
      </c>
      <c r="H5" s="28" t="s">
        <v>3</v>
      </c>
      <c r="I5" s="28" t="s">
        <v>4</v>
      </c>
      <c r="J5" s="28" t="s">
        <v>5</v>
      </c>
      <c r="K5" s="273" t="s">
        <v>6</v>
      </c>
      <c r="L5" s="28" t="s">
        <v>2</v>
      </c>
      <c r="M5" s="28" t="s">
        <v>3</v>
      </c>
      <c r="N5" s="28" t="s">
        <v>4</v>
      </c>
      <c r="O5" s="28" t="s">
        <v>5</v>
      </c>
      <c r="P5" s="28" t="s">
        <v>2</v>
      </c>
      <c r="Q5" s="28" t="s">
        <v>3</v>
      </c>
      <c r="R5" s="28" t="s">
        <v>4</v>
      </c>
      <c r="S5" s="28" t="s">
        <v>5</v>
      </c>
      <c r="T5" s="28" t="s">
        <v>2</v>
      </c>
      <c r="U5" s="28" t="s">
        <v>3</v>
      </c>
      <c r="V5" s="28" t="s">
        <v>4</v>
      </c>
      <c r="W5" s="28" t="s">
        <v>5</v>
      </c>
      <c r="X5" s="609" t="s">
        <v>6</v>
      </c>
      <c r="Y5" s="28" t="s">
        <v>2</v>
      </c>
      <c r="Z5" s="28" t="s">
        <v>3</v>
      </c>
      <c r="AA5" s="28" t="s">
        <v>4</v>
      </c>
      <c r="AB5" s="28" t="s">
        <v>5</v>
      </c>
      <c r="AC5" s="28" t="s">
        <v>2</v>
      </c>
      <c r="AD5" s="28" t="s">
        <v>3</v>
      </c>
      <c r="AE5" s="28" t="s">
        <v>4</v>
      </c>
      <c r="AF5" s="28" t="s">
        <v>5</v>
      </c>
      <c r="AG5" s="28" t="s">
        <v>2</v>
      </c>
      <c r="AH5" s="28" t="s">
        <v>3</v>
      </c>
      <c r="AI5" s="28" t="s">
        <v>4</v>
      </c>
      <c r="AJ5" s="28" t="s">
        <v>5</v>
      </c>
      <c r="AK5" s="1342"/>
    </row>
    <row r="6" spans="1:37" s="32" customFormat="1" ht="38.25" customHeight="1">
      <c r="A6" s="18">
        <v>2561</v>
      </c>
      <c r="B6" s="397">
        <f>SUM(C6:AJ6)</f>
        <v>13</v>
      </c>
      <c r="C6" s="445">
        <v>0</v>
      </c>
      <c r="D6" s="445">
        <v>0</v>
      </c>
      <c r="E6" s="445">
        <v>0</v>
      </c>
      <c r="F6" s="445">
        <v>0</v>
      </c>
      <c r="G6" s="445">
        <v>0</v>
      </c>
      <c r="H6" s="445">
        <v>0</v>
      </c>
      <c r="I6" s="445">
        <v>0</v>
      </c>
      <c r="J6" s="445">
        <v>0</v>
      </c>
      <c r="K6" s="445">
        <v>0</v>
      </c>
      <c r="L6" s="25">
        <v>3</v>
      </c>
      <c r="M6" s="25">
        <v>4</v>
      </c>
      <c r="N6" s="445">
        <v>0</v>
      </c>
      <c r="O6" s="13">
        <v>1</v>
      </c>
      <c r="P6" s="445">
        <v>0</v>
      </c>
      <c r="Q6" s="445">
        <v>0</v>
      </c>
      <c r="R6" s="445">
        <v>0</v>
      </c>
      <c r="S6" s="445">
        <v>0</v>
      </c>
      <c r="T6" s="19">
        <v>5</v>
      </c>
      <c r="U6" s="445">
        <v>0</v>
      </c>
      <c r="V6" s="445">
        <v>0</v>
      </c>
      <c r="W6" s="445">
        <v>0</v>
      </c>
      <c r="X6" s="445">
        <v>0</v>
      </c>
      <c r="Y6" s="445">
        <v>0</v>
      </c>
      <c r="Z6" s="445">
        <v>0</v>
      </c>
      <c r="AA6" s="445">
        <v>0</v>
      </c>
      <c r="AB6" s="445">
        <v>0</v>
      </c>
      <c r="AC6" s="445">
        <v>0</v>
      </c>
      <c r="AD6" s="445">
        <v>0</v>
      </c>
      <c r="AE6" s="445">
        <v>0</v>
      </c>
      <c r="AF6" s="445">
        <v>0</v>
      </c>
      <c r="AG6" s="445">
        <v>0</v>
      </c>
      <c r="AH6" s="445">
        <v>0</v>
      </c>
      <c r="AI6" s="445">
        <v>0</v>
      </c>
      <c r="AJ6" s="445">
        <v>0</v>
      </c>
      <c r="AK6" s="397">
        <f t="shared" ref="AK6:AK11" si="0">SUM(C6:AJ6)</f>
        <v>13</v>
      </c>
    </row>
    <row r="7" spans="1:37" s="32" customFormat="1" ht="38.25" customHeight="1">
      <c r="A7" s="22">
        <v>2562</v>
      </c>
      <c r="B7" s="397">
        <f t="shared" ref="B7:B11" si="1">SUM(C7:AJ7)</f>
        <v>40</v>
      </c>
      <c r="C7" s="774">
        <v>27</v>
      </c>
      <c r="D7" s="445">
        <v>0</v>
      </c>
      <c r="E7" s="445">
        <v>0</v>
      </c>
      <c r="F7" s="445">
        <v>0</v>
      </c>
      <c r="G7" s="445">
        <v>0</v>
      </c>
      <c r="H7" s="445">
        <v>0</v>
      </c>
      <c r="I7" s="445">
        <v>0</v>
      </c>
      <c r="J7" s="21">
        <v>1</v>
      </c>
      <c r="K7" s="21">
        <v>1</v>
      </c>
      <c r="L7" s="445">
        <v>0</v>
      </c>
      <c r="M7" s="25">
        <v>4</v>
      </c>
      <c r="N7" s="445">
        <v>0</v>
      </c>
      <c r="O7" s="13">
        <v>1</v>
      </c>
      <c r="P7" s="445">
        <v>0</v>
      </c>
      <c r="Q7" s="445">
        <v>0</v>
      </c>
      <c r="R7" s="445">
        <v>0</v>
      </c>
      <c r="S7" s="445">
        <v>0</v>
      </c>
      <c r="T7" s="445">
        <v>0</v>
      </c>
      <c r="U7" s="445">
        <v>0</v>
      </c>
      <c r="V7" s="445">
        <v>0</v>
      </c>
      <c r="W7" s="445">
        <v>0</v>
      </c>
      <c r="X7" s="445">
        <v>0</v>
      </c>
      <c r="Y7" s="445">
        <v>0</v>
      </c>
      <c r="Z7" s="445">
        <v>0</v>
      </c>
      <c r="AA7" s="445">
        <v>0</v>
      </c>
      <c r="AB7" s="445">
        <v>0</v>
      </c>
      <c r="AC7" s="445">
        <v>0</v>
      </c>
      <c r="AD7" s="445">
        <v>0</v>
      </c>
      <c r="AE7" s="445">
        <v>0</v>
      </c>
      <c r="AF7" s="445">
        <v>0</v>
      </c>
      <c r="AG7" s="445">
        <v>0</v>
      </c>
      <c r="AH7" s="445">
        <v>0</v>
      </c>
      <c r="AI7" s="32">
        <v>6</v>
      </c>
      <c r="AJ7" s="445">
        <v>0</v>
      </c>
      <c r="AK7" s="426">
        <f t="shared" si="0"/>
        <v>40</v>
      </c>
    </row>
    <row r="8" spans="1:37" s="32" customFormat="1" ht="38.25" customHeight="1">
      <c r="A8" s="22">
        <v>2563</v>
      </c>
      <c r="B8" s="397">
        <f t="shared" si="1"/>
        <v>15</v>
      </c>
      <c r="C8" s="445">
        <v>0</v>
      </c>
      <c r="D8" s="445">
        <v>0</v>
      </c>
      <c r="E8" s="445">
        <v>0</v>
      </c>
      <c r="F8" s="21">
        <v>2</v>
      </c>
      <c r="G8" s="445">
        <v>0</v>
      </c>
      <c r="H8" s="445">
        <v>0</v>
      </c>
      <c r="I8" s="445">
        <v>0</v>
      </c>
      <c r="J8" s="445">
        <v>0</v>
      </c>
      <c r="K8" s="445">
        <v>0</v>
      </c>
      <c r="L8" s="445">
        <v>0</v>
      </c>
      <c r="M8" s="25">
        <v>6</v>
      </c>
      <c r="N8" s="445">
        <v>0</v>
      </c>
      <c r="O8" s="445">
        <v>0</v>
      </c>
      <c r="P8" s="445">
        <v>0</v>
      </c>
      <c r="Q8" s="445">
        <v>0</v>
      </c>
      <c r="R8" s="445">
        <v>0</v>
      </c>
      <c r="S8" s="445">
        <v>0</v>
      </c>
      <c r="T8" s="445">
        <v>0</v>
      </c>
      <c r="U8" s="445">
        <v>0</v>
      </c>
      <c r="V8" s="21">
        <v>6</v>
      </c>
      <c r="W8" s="445">
        <v>0</v>
      </c>
      <c r="X8" s="445">
        <v>0</v>
      </c>
      <c r="Y8" s="450">
        <v>1</v>
      </c>
      <c r="Z8" s="445">
        <v>0</v>
      </c>
      <c r="AA8" s="445">
        <v>0</v>
      </c>
      <c r="AB8" s="445">
        <v>0</v>
      </c>
      <c r="AC8" s="445">
        <v>0</v>
      </c>
      <c r="AD8" s="445">
        <v>0</v>
      </c>
      <c r="AE8" s="445">
        <v>0</v>
      </c>
      <c r="AF8" s="445">
        <v>0</v>
      </c>
      <c r="AG8" s="445">
        <v>0</v>
      </c>
      <c r="AH8" s="445">
        <v>0</v>
      </c>
      <c r="AI8" s="445">
        <v>0</v>
      </c>
      <c r="AJ8" s="445">
        <v>0</v>
      </c>
      <c r="AK8" s="426">
        <f t="shared" si="0"/>
        <v>15</v>
      </c>
    </row>
    <row r="9" spans="1:37" s="32" customFormat="1" ht="38.25" customHeight="1">
      <c r="A9" s="22">
        <v>2564</v>
      </c>
      <c r="B9" s="397">
        <f t="shared" si="1"/>
        <v>11</v>
      </c>
      <c r="C9" s="445">
        <v>0</v>
      </c>
      <c r="D9" s="445">
        <v>0</v>
      </c>
      <c r="E9" s="445">
        <v>0</v>
      </c>
      <c r="F9" s="445">
        <v>0</v>
      </c>
      <c r="G9" s="445">
        <v>0</v>
      </c>
      <c r="H9" s="445">
        <v>0</v>
      </c>
      <c r="I9" s="445">
        <v>0</v>
      </c>
      <c r="J9" s="445">
        <v>0</v>
      </c>
      <c r="K9" s="445">
        <v>0</v>
      </c>
      <c r="L9" s="445">
        <v>0</v>
      </c>
      <c r="M9" s="25">
        <v>0</v>
      </c>
      <c r="N9" s="445">
        <v>0</v>
      </c>
      <c r="O9" s="445">
        <v>0</v>
      </c>
      <c r="P9" s="21">
        <v>4</v>
      </c>
      <c r="Q9" s="445">
        <v>0</v>
      </c>
      <c r="R9" s="21">
        <v>2</v>
      </c>
      <c r="S9" s="445">
        <v>0</v>
      </c>
      <c r="T9" s="445">
        <v>0</v>
      </c>
      <c r="U9" s="445">
        <v>0</v>
      </c>
      <c r="V9" s="445">
        <v>0</v>
      </c>
      <c r="W9" s="445">
        <v>0</v>
      </c>
      <c r="X9" s="445">
        <v>0</v>
      </c>
      <c r="Y9" s="450">
        <v>1</v>
      </c>
      <c r="Z9" s="445">
        <v>0</v>
      </c>
      <c r="AA9" s="445">
        <v>0</v>
      </c>
      <c r="AB9" s="445">
        <v>0</v>
      </c>
      <c r="AC9" s="445">
        <v>0</v>
      </c>
      <c r="AD9" s="445">
        <v>0</v>
      </c>
      <c r="AE9" s="445">
        <v>0</v>
      </c>
      <c r="AF9" s="445">
        <v>0</v>
      </c>
      <c r="AG9" s="445">
        <v>0</v>
      </c>
      <c r="AH9" s="32">
        <v>4</v>
      </c>
      <c r="AI9" s="445">
        <v>0</v>
      </c>
      <c r="AJ9" s="445">
        <v>0</v>
      </c>
      <c r="AK9" s="426">
        <f t="shared" si="0"/>
        <v>11</v>
      </c>
    </row>
    <row r="10" spans="1:37" s="32" customFormat="1" ht="38.25" customHeight="1">
      <c r="A10" s="22">
        <v>2565</v>
      </c>
      <c r="B10" s="397">
        <f t="shared" si="1"/>
        <v>8</v>
      </c>
      <c r="C10" s="445">
        <v>0</v>
      </c>
      <c r="D10" s="445">
        <v>0</v>
      </c>
      <c r="E10" s="445">
        <v>0</v>
      </c>
      <c r="F10" s="445">
        <v>0</v>
      </c>
      <c r="G10" s="445">
        <v>0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25">
        <v>0</v>
      </c>
      <c r="N10" s="445">
        <v>0</v>
      </c>
      <c r="O10" s="445">
        <v>0</v>
      </c>
      <c r="P10" s="21">
        <v>4</v>
      </c>
      <c r="Q10" s="445">
        <v>0</v>
      </c>
      <c r="R10" s="21">
        <v>2</v>
      </c>
      <c r="S10" s="445">
        <v>0</v>
      </c>
      <c r="T10" s="445">
        <v>0</v>
      </c>
      <c r="U10" s="445">
        <v>0</v>
      </c>
      <c r="V10" s="445">
        <v>0</v>
      </c>
      <c r="W10" s="445">
        <v>0</v>
      </c>
      <c r="X10" s="24">
        <v>1</v>
      </c>
      <c r="Y10" s="450">
        <v>1</v>
      </c>
      <c r="Z10" s="445">
        <v>0</v>
      </c>
      <c r="AA10" s="445">
        <v>0</v>
      </c>
      <c r="AB10" s="445">
        <v>0</v>
      </c>
      <c r="AC10" s="445">
        <v>0</v>
      </c>
      <c r="AD10" s="445">
        <v>0</v>
      </c>
      <c r="AE10" s="445">
        <v>0</v>
      </c>
      <c r="AF10" s="445">
        <v>0</v>
      </c>
      <c r="AG10" s="445">
        <v>0</v>
      </c>
      <c r="AH10" s="445">
        <v>0</v>
      </c>
      <c r="AI10" s="445">
        <v>0</v>
      </c>
      <c r="AJ10" s="445">
        <v>0</v>
      </c>
      <c r="AK10" s="426">
        <f t="shared" si="0"/>
        <v>8</v>
      </c>
    </row>
    <row r="11" spans="1:37" s="32" customFormat="1" ht="38.25" customHeight="1">
      <c r="A11" s="25" t="s">
        <v>8</v>
      </c>
      <c r="B11" s="397">
        <f t="shared" si="1"/>
        <v>84</v>
      </c>
      <c r="C11" s="774">
        <f>SUM(C6:C10)</f>
        <v>27</v>
      </c>
      <c r="D11" s="445">
        <v>0</v>
      </c>
      <c r="E11" s="445">
        <v>0</v>
      </c>
      <c r="F11" s="25">
        <v>2</v>
      </c>
      <c r="G11" s="445">
        <f>SUM(G6:G10)</f>
        <v>0</v>
      </c>
      <c r="H11" s="445">
        <f>SUM(H6:H10)</f>
        <v>0</v>
      </c>
      <c r="I11" s="445">
        <f>SUM(I6:I10)</f>
        <v>0</v>
      </c>
      <c r="J11" s="445">
        <f>SUM(J6:J10)</f>
        <v>1</v>
      </c>
      <c r="K11" s="445">
        <f>SUM(K6:K10)</f>
        <v>1</v>
      </c>
      <c r="L11" s="445">
        <v>0</v>
      </c>
      <c r="M11" s="25">
        <f>SUM(M6:M10)</f>
        <v>14</v>
      </c>
      <c r="N11" s="445">
        <v>0</v>
      </c>
      <c r="O11" s="13">
        <f>SUM(O6:O10)</f>
        <v>2</v>
      </c>
      <c r="P11" s="398">
        <f t="shared" ref="P11:S11" si="2">SUM(P6:P10)</f>
        <v>8</v>
      </c>
      <c r="Q11" s="461">
        <f t="shared" si="2"/>
        <v>0</v>
      </c>
      <c r="R11" s="398">
        <f t="shared" si="2"/>
        <v>4</v>
      </c>
      <c r="S11" s="461">
        <f t="shared" si="2"/>
        <v>0</v>
      </c>
      <c r="T11" s="25">
        <f>SUM(T6:T10)</f>
        <v>5</v>
      </c>
      <c r="U11" s="445">
        <f>SUM(U6:U10)</f>
        <v>0</v>
      </c>
      <c r="V11" s="445">
        <f>SUM(V6:V10)</f>
        <v>6</v>
      </c>
      <c r="W11" s="445">
        <f>SUM(W6:W10)</f>
        <v>0</v>
      </c>
      <c r="X11" s="398">
        <f>SUM(X6:X10)</f>
        <v>1</v>
      </c>
      <c r="Y11" s="455">
        <f>SUM(Y8:Y10)</f>
        <v>3</v>
      </c>
      <c r="Z11" s="445">
        <v>0</v>
      </c>
      <c r="AA11" s="445">
        <v>0</v>
      </c>
      <c r="AB11" s="445">
        <v>0</v>
      </c>
      <c r="AC11" s="445">
        <v>0</v>
      </c>
      <c r="AD11" s="445">
        <v>0</v>
      </c>
      <c r="AE11" s="445">
        <v>0</v>
      </c>
      <c r="AF11" s="445">
        <v>0</v>
      </c>
      <c r="AG11" s="445">
        <v>0</v>
      </c>
      <c r="AH11" s="25">
        <f>SUM(AH6:AH10)</f>
        <v>4</v>
      </c>
      <c r="AI11" s="25">
        <f>SUM(AI6:AI10)</f>
        <v>6</v>
      </c>
      <c r="AJ11" s="445">
        <v>0</v>
      </c>
      <c r="AK11" s="398">
        <f t="shared" si="0"/>
        <v>84</v>
      </c>
    </row>
  </sheetData>
  <mergeCells count="9">
    <mergeCell ref="Y4:AB4"/>
    <mergeCell ref="AC4:AF4"/>
    <mergeCell ref="AG4:AJ4"/>
    <mergeCell ref="AK4:AK5"/>
    <mergeCell ref="C4:F4"/>
    <mergeCell ref="G4:J4"/>
    <mergeCell ref="L4:O4"/>
    <mergeCell ref="P4:S4"/>
    <mergeCell ref="T4:W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0"/>
  <sheetViews>
    <sheetView topLeftCell="A28" workbookViewId="0">
      <selection activeCell="C35" sqref="C35"/>
    </sheetView>
  </sheetViews>
  <sheetFormatPr defaultColWidth="7" defaultRowHeight="18.75"/>
  <cols>
    <col min="1" max="1" width="5.75" style="141" customWidth="1"/>
    <col min="2" max="2" width="15.125" style="769" customWidth="1"/>
    <col min="3" max="3" width="22.5" style="141" customWidth="1"/>
    <col min="4" max="4" width="7.75" style="770" bestFit="1" customWidth="1"/>
    <col min="5" max="5" width="10.875" style="770" bestFit="1" customWidth="1"/>
    <col min="6" max="6" width="7.125" style="762" customWidth="1"/>
    <col min="7" max="8" width="8.25" style="762" bestFit="1" customWidth="1"/>
    <col min="9" max="9" width="10.875" style="762" bestFit="1" customWidth="1"/>
    <col min="10" max="11" width="8.25" style="762" bestFit="1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401" t="s">
        <v>711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75">
      <c r="A5" s="1362" t="s">
        <v>136</v>
      </c>
      <c r="B5" s="1364" t="s">
        <v>712</v>
      </c>
      <c r="C5" s="754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718</v>
      </c>
      <c r="I5" s="1368" t="s">
        <v>719</v>
      </c>
      <c r="J5" s="1368" t="s">
        <v>720</v>
      </c>
      <c r="K5" s="1368" t="s">
        <v>721</v>
      </c>
      <c r="L5" s="1364" t="s">
        <v>722</v>
      </c>
      <c r="M5" s="754" t="s">
        <v>145</v>
      </c>
      <c r="N5" s="754" t="s">
        <v>146</v>
      </c>
      <c r="O5" s="754" t="s">
        <v>147</v>
      </c>
      <c r="P5" s="754" t="s">
        <v>43</v>
      </c>
      <c r="Q5" s="754" t="s">
        <v>148</v>
      </c>
      <c r="R5" s="754" t="s">
        <v>723</v>
      </c>
      <c r="S5" s="754" t="s">
        <v>724</v>
      </c>
      <c r="T5" s="754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123"/>
      <c r="D6" s="1367"/>
      <c r="E6" s="1367"/>
      <c r="F6" s="1369"/>
      <c r="G6" s="1369"/>
      <c r="H6" s="1369"/>
      <c r="I6" s="1369"/>
      <c r="J6" s="1369"/>
      <c r="K6" s="1369"/>
      <c r="L6" s="1365"/>
      <c r="M6" s="123"/>
      <c r="N6" s="123"/>
      <c r="O6" s="123"/>
      <c r="P6" s="123"/>
      <c r="Q6" s="123"/>
      <c r="R6" s="123"/>
      <c r="S6" s="123"/>
      <c r="T6" s="123"/>
      <c r="U6" s="123" t="s">
        <v>727</v>
      </c>
      <c r="V6" s="124" t="s">
        <v>152</v>
      </c>
      <c r="W6" s="124" t="s">
        <v>153</v>
      </c>
      <c r="X6" s="124" t="s">
        <v>728</v>
      </c>
    </row>
    <row r="7" spans="1:24">
      <c r="A7" s="131"/>
      <c r="B7" s="132"/>
      <c r="C7" s="133" t="s">
        <v>744</v>
      </c>
      <c r="D7" s="134"/>
      <c r="E7" s="135"/>
      <c r="F7" s="132"/>
      <c r="G7" s="135"/>
      <c r="H7" s="135"/>
      <c r="I7" s="132"/>
      <c r="J7" s="135"/>
      <c r="K7" s="132"/>
      <c r="L7" s="135"/>
      <c r="M7" s="136"/>
      <c r="N7" s="137"/>
      <c r="O7" s="137"/>
      <c r="P7" s="139"/>
      <c r="Q7" s="139"/>
      <c r="R7" s="139"/>
      <c r="S7" s="139"/>
      <c r="T7" s="139"/>
      <c r="U7" s="140"/>
      <c r="V7" s="140"/>
      <c r="W7" s="140"/>
      <c r="X7" s="140"/>
    </row>
    <row r="8" spans="1:24" ht="37.5">
      <c r="A8" s="131">
        <v>6</v>
      </c>
      <c r="B8" s="132">
        <v>1</v>
      </c>
      <c r="C8" s="133" t="s">
        <v>745</v>
      </c>
      <c r="D8" s="134"/>
      <c r="E8" s="135">
        <v>2000000</v>
      </c>
      <c r="F8" s="132">
        <v>1</v>
      </c>
      <c r="G8" s="773"/>
      <c r="H8" s="135"/>
      <c r="I8" s="135">
        <v>2000000</v>
      </c>
      <c r="J8" s="135"/>
      <c r="K8" s="132"/>
      <c r="L8" s="135">
        <f>SUM(H8:K8)</f>
        <v>2000000</v>
      </c>
      <c r="M8" s="136" t="s">
        <v>202</v>
      </c>
      <c r="N8" s="137" t="s">
        <v>203</v>
      </c>
      <c r="O8" s="137" t="s">
        <v>204</v>
      </c>
      <c r="P8" s="139" t="s">
        <v>17</v>
      </c>
      <c r="Q8" s="139" t="s">
        <v>181</v>
      </c>
      <c r="R8" s="139" t="s">
        <v>741</v>
      </c>
      <c r="S8" s="139">
        <v>60</v>
      </c>
      <c r="T8" s="761">
        <v>57.9</v>
      </c>
      <c r="U8" s="140"/>
      <c r="V8" s="140" t="s">
        <v>742</v>
      </c>
      <c r="W8" s="140"/>
      <c r="X8" s="140"/>
    </row>
    <row r="9" spans="1:24" s="768" customFormat="1">
      <c r="A9" s="1374" t="s">
        <v>746</v>
      </c>
      <c r="B9" s="1375"/>
      <c r="C9" s="1375"/>
      <c r="D9" s="1375"/>
      <c r="E9" s="1375"/>
      <c r="F9" s="1376"/>
      <c r="G9" s="775"/>
      <c r="H9" s="764">
        <f t="shared" ref="H9" si="0">SUM(H8)</f>
        <v>0</v>
      </c>
      <c r="I9" s="764">
        <f>SUM(I8)</f>
        <v>2000000</v>
      </c>
      <c r="J9" s="764">
        <f t="shared" ref="J9:K9" si="1">SUM(J8)</f>
        <v>0</v>
      </c>
      <c r="K9" s="764">
        <f t="shared" si="1"/>
        <v>0</v>
      </c>
      <c r="L9" s="764">
        <f>SUM(H9:K9)</f>
        <v>2000000</v>
      </c>
      <c r="M9" s="765"/>
      <c r="N9" s="203"/>
      <c r="O9" s="203"/>
      <c r="P9" s="204"/>
      <c r="Q9" s="204"/>
      <c r="R9" s="204"/>
      <c r="S9" s="204"/>
      <c r="T9" s="766"/>
      <c r="U9" s="208"/>
      <c r="V9" s="208"/>
      <c r="W9" s="208"/>
      <c r="X9" s="208"/>
    </row>
    <row r="10" spans="1:24">
      <c r="A10" s="748" t="s">
        <v>0</v>
      </c>
      <c r="B10" s="746" t="s">
        <v>1</v>
      </c>
      <c r="C10" s="1340" t="s">
        <v>18</v>
      </c>
      <c r="D10" s="1340"/>
      <c r="E10" s="1340"/>
      <c r="F10" s="1340"/>
      <c r="G10" s="748"/>
      <c r="H10" s="1341" t="s">
        <v>8</v>
      </c>
    </row>
    <row r="11" spans="1:24">
      <c r="A11" s="16"/>
      <c r="B11" s="747" t="s">
        <v>9</v>
      </c>
      <c r="C11" s="749" t="s">
        <v>2</v>
      </c>
      <c r="D11" s="749" t="s">
        <v>3</v>
      </c>
      <c r="E11" s="749" t="s">
        <v>4</v>
      </c>
      <c r="F11" s="749" t="s">
        <v>5</v>
      </c>
      <c r="G11" s="749" t="s">
        <v>173</v>
      </c>
      <c r="H11" s="1342"/>
    </row>
    <row r="12" spans="1:24">
      <c r="A12" s="18">
        <v>2561</v>
      </c>
      <c r="B12" s="19" t="s">
        <v>786</v>
      </c>
      <c r="C12" s="19"/>
      <c r="D12" s="19"/>
      <c r="E12" s="19"/>
      <c r="F12" s="19"/>
      <c r="G12" s="19"/>
      <c r="H12" s="19"/>
    </row>
    <row r="13" spans="1:24" ht="75">
      <c r="A13" s="22">
        <v>2562</v>
      </c>
      <c r="B13" s="806" t="s">
        <v>788</v>
      </c>
      <c r="C13" s="21"/>
      <c r="D13" s="21"/>
      <c r="E13" s="21"/>
      <c r="F13" s="21" t="s">
        <v>52</v>
      </c>
      <c r="G13" s="21" t="s">
        <v>52</v>
      </c>
      <c r="H13" s="21">
        <v>2</v>
      </c>
    </row>
    <row r="14" spans="1:24">
      <c r="A14" s="22">
        <v>2562</v>
      </c>
      <c r="B14" s="21" t="s">
        <v>787</v>
      </c>
      <c r="C14" s="21"/>
      <c r="D14" s="21"/>
      <c r="E14" s="21"/>
      <c r="F14" s="21"/>
      <c r="G14" s="21"/>
      <c r="H14" s="21"/>
    </row>
    <row r="15" spans="1:24">
      <c r="A15" s="22">
        <v>2564</v>
      </c>
      <c r="B15" s="21" t="s">
        <v>787</v>
      </c>
      <c r="C15" s="21"/>
      <c r="D15" s="21"/>
      <c r="E15" s="21"/>
      <c r="F15" s="21"/>
      <c r="G15" s="21"/>
      <c r="H15" s="21"/>
    </row>
    <row r="16" spans="1:24">
      <c r="A16" s="22">
        <v>2565</v>
      </c>
      <c r="B16" s="21" t="s">
        <v>787</v>
      </c>
      <c r="C16" s="21"/>
      <c r="D16" s="21"/>
      <c r="E16" s="21"/>
      <c r="F16" s="21"/>
      <c r="G16" s="21"/>
      <c r="H16" s="21"/>
    </row>
    <row r="17" spans="1:13">
      <c r="A17" s="25" t="s">
        <v>8</v>
      </c>
      <c r="B17" s="25"/>
      <c r="C17" s="25"/>
      <c r="D17" s="25"/>
      <c r="E17" s="25"/>
      <c r="F17" s="25"/>
      <c r="G17" s="25"/>
      <c r="H17" s="25">
        <v>2</v>
      </c>
    </row>
    <row r="18" spans="1:13">
      <c r="A18" s="1400" t="s">
        <v>909</v>
      </c>
      <c r="B18" s="1400"/>
      <c r="C18" s="1400"/>
      <c r="D18" s="1400"/>
      <c r="E18" s="1400"/>
      <c r="F18" s="1400"/>
      <c r="G18" s="1400"/>
      <c r="H18" s="1400"/>
      <c r="I18" s="57"/>
      <c r="J18" s="57"/>
      <c r="K18" s="57"/>
      <c r="L18" s="57"/>
      <c r="M18" s="57"/>
    </row>
    <row r="19" spans="1:13">
      <c r="A19" s="917" t="s">
        <v>0</v>
      </c>
      <c r="B19" s="918" t="s">
        <v>1</v>
      </c>
      <c r="C19" s="876" t="s">
        <v>158</v>
      </c>
      <c r="D19" s="876" t="s">
        <v>884</v>
      </c>
      <c r="E19" s="876" t="s">
        <v>885</v>
      </c>
      <c r="F19" s="876" t="s">
        <v>886</v>
      </c>
      <c r="G19" s="876" t="s">
        <v>887</v>
      </c>
      <c r="H19" s="1398" t="s">
        <v>8</v>
      </c>
      <c r="I19" s="881"/>
      <c r="J19" s="881"/>
      <c r="K19" s="881"/>
      <c r="L19" s="881"/>
      <c r="M19" s="881"/>
    </row>
    <row r="20" spans="1:13">
      <c r="A20" s="919"/>
      <c r="B20" s="951" t="s">
        <v>9</v>
      </c>
      <c r="C20" s="921" t="s">
        <v>2</v>
      </c>
      <c r="D20" s="921" t="s">
        <v>3</v>
      </c>
      <c r="E20" s="921" t="s">
        <v>5</v>
      </c>
      <c r="F20" s="921" t="s">
        <v>5</v>
      </c>
      <c r="G20" s="921" t="s">
        <v>5</v>
      </c>
      <c r="H20" s="1402"/>
      <c r="I20" s="881"/>
      <c r="J20" s="881"/>
      <c r="K20" s="881"/>
      <c r="L20" s="881"/>
      <c r="M20" s="881"/>
    </row>
    <row r="21" spans="1:13">
      <c r="A21" s="922" t="s">
        <v>910</v>
      </c>
      <c r="B21" s="878"/>
      <c r="C21" s="879">
        <v>850</v>
      </c>
      <c r="D21" s="879">
        <v>250</v>
      </c>
      <c r="E21" s="879">
        <v>137</v>
      </c>
      <c r="F21" s="879">
        <v>113</v>
      </c>
      <c r="G21" s="879">
        <v>90</v>
      </c>
      <c r="H21" s="876"/>
      <c r="I21" s="56"/>
      <c r="J21" s="56"/>
      <c r="K21" s="56"/>
      <c r="L21" s="56"/>
      <c r="M21" s="56"/>
    </row>
    <row r="22" spans="1:13">
      <c r="A22" s="923" t="s">
        <v>924</v>
      </c>
      <c r="B22" s="924"/>
      <c r="C22" s="925">
        <v>15</v>
      </c>
      <c r="D22" s="925">
        <v>5</v>
      </c>
      <c r="E22" s="925">
        <v>6</v>
      </c>
      <c r="F22" s="925">
        <v>3</v>
      </c>
      <c r="G22" s="925">
        <v>2</v>
      </c>
      <c r="H22" s="917">
        <f>SUM(C22:G22)</f>
        <v>31</v>
      </c>
      <c r="I22" s="56"/>
      <c r="J22" s="56"/>
      <c r="K22" s="56"/>
      <c r="L22" s="56"/>
      <c r="M22" s="56"/>
    </row>
    <row r="23" spans="1:13">
      <c r="A23" s="923" t="s">
        <v>925</v>
      </c>
      <c r="B23" s="924"/>
      <c r="C23" s="925"/>
      <c r="D23" s="925">
        <v>215</v>
      </c>
      <c r="E23" s="925">
        <v>58</v>
      </c>
      <c r="F23" s="925">
        <f>+'[1]1.IPD'!G31</f>
        <v>0</v>
      </c>
      <c r="G23" s="925">
        <f>+'[1]1.IPD'!H31</f>
        <v>0</v>
      </c>
      <c r="H23" s="917"/>
      <c r="I23" s="56"/>
      <c r="J23" s="56"/>
      <c r="K23" s="56"/>
      <c r="L23" s="56"/>
      <c r="M23" s="56"/>
    </row>
    <row r="24" spans="1:13">
      <c r="A24" s="923" t="s">
        <v>926</v>
      </c>
      <c r="B24" s="924"/>
      <c r="C24" s="925">
        <f>+C21/50</f>
        <v>17</v>
      </c>
      <c r="D24" s="925">
        <f>+(D21+D23)/50</f>
        <v>9.3000000000000007</v>
      </c>
      <c r="E24" s="925">
        <f t="shared" ref="E24:G24" si="2">+(E21+E23)/50</f>
        <v>3.9</v>
      </c>
      <c r="F24" s="925">
        <f t="shared" si="2"/>
        <v>2.2599999999999998</v>
      </c>
      <c r="G24" s="925">
        <f t="shared" si="2"/>
        <v>1.8</v>
      </c>
      <c r="H24" s="917"/>
      <c r="I24" s="56"/>
      <c r="J24" s="56"/>
      <c r="K24" s="56"/>
      <c r="L24" s="56"/>
      <c r="M24" s="56"/>
    </row>
    <row r="25" spans="1:13" ht="21">
      <c r="A25" s="470">
        <v>2561</v>
      </c>
      <c r="B25" s="952"/>
      <c r="C25" s="953" t="s">
        <v>927</v>
      </c>
      <c r="D25" s="470">
        <v>4</v>
      </c>
      <c r="E25" s="884"/>
      <c r="F25" s="884"/>
      <c r="G25" s="884">
        <v>1</v>
      </c>
      <c r="H25" s="878"/>
      <c r="I25" s="954" t="s">
        <v>928</v>
      </c>
      <c r="J25" s="56"/>
      <c r="K25" s="56"/>
      <c r="L25" s="56"/>
      <c r="M25" s="57"/>
    </row>
    <row r="26" spans="1:13">
      <c r="A26" s="470">
        <v>2562</v>
      </c>
      <c r="B26" s="470"/>
      <c r="C26" s="470"/>
      <c r="D26" s="470">
        <v>4</v>
      </c>
      <c r="E26" s="884"/>
      <c r="F26" s="884"/>
      <c r="G26" s="884">
        <v>1</v>
      </c>
      <c r="H26" s="878"/>
      <c r="I26" s="71"/>
      <c r="J26" s="71"/>
      <c r="K26" s="71"/>
      <c r="L26" s="71"/>
      <c r="M26" s="71"/>
    </row>
    <row r="27" spans="1:13">
      <c r="A27" s="470">
        <v>2563</v>
      </c>
      <c r="B27" s="470"/>
      <c r="C27" s="470"/>
      <c r="D27" s="470">
        <v>6</v>
      </c>
      <c r="E27" s="884"/>
      <c r="F27" s="884"/>
      <c r="G27" s="884"/>
      <c r="H27" s="878"/>
      <c r="I27" s="71"/>
      <c r="J27" s="71"/>
      <c r="K27" s="71"/>
      <c r="L27" s="71"/>
      <c r="M27" s="71"/>
    </row>
    <row r="28" spans="1:13">
      <c r="A28" s="470">
        <v>2564</v>
      </c>
      <c r="B28" s="470"/>
      <c r="C28" s="470"/>
      <c r="D28" s="470">
        <v>0</v>
      </c>
      <c r="E28" s="884"/>
      <c r="F28" s="884"/>
      <c r="G28" s="884"/>
      <c r="H28" s="878"/>
      <c r="I28" s="71"/>
      <c r="J28" s="71"/>
      <c r="K28" s="71"/>
      <c r="L28" s="71"/>
      <c r="M28" s="71"/>
    </row>
    <row r="29" spans="1:13">
      <c r="A29" s="470">
        <v>2565</v>
      </c>
      <c r="B29" s="470"/>
      <c r="C29" s="470"/>
      <c r="D29" s="470">
        <v>0</v>
      </c>
      <c r="E29" s="884"/>
      <c r="F29" s="884"/>
      <c r="G29" s="884"/>
      <c r="H29" s="878"/>
      <c r="I29" s="71"/>
      <c r="J29" s="71"/>
      <c r="K29" s="71"/>
      <c r="L29" s="71"/>
      <c r="M29" s="71"/>
    </row>
    <row r="30" spans="1:13">
      <c r="A30" s="470" t="s">
        <v>8</v>
      </c>
      <c r="B30" s="470"/>
      <c r="C30" s="470">
        <v>3</v>
      </c>
      <c r="D30" s="878">
        <f>SUM(D25:D29)</f>
        <v>14</v>
      </c>
      <c r="E30" s="884">
        <v>0</v>
      </c>
      <c r="F30" s="884">
        <v>0</v>
      </c>
      <c r="G30" s="884">
        <v>2</v>
      </c>
      <c r="H30" s="878"/>
      <c r="I30" s="71"/>
      <c r="J30" s="71"/>
      <c r="K30" s="71"/>
      <c r="L30" s="71"/>
      <c r="M30" s="71"/>
    </row>
    <row r="31" spans="1:13">
      <c r="A31" s="889"/>
      <c r="B31" s="889"/>
      <c r="C31" s="889"/>
      <c r="D31" s="955" t="s">
        <v>895</v>
      </c>
      <c r="E31" s="475"/>
      <c r="F31" s="475"/>
      <c r="G31" s="475"/>
      <c r="H31" s="888"/>
      <c r="I31" s="71"/>
      <c r="J31" s="71"/>
      <c r="K31" s="71"/>
      <c r="L31" s="71"/>
      <c r="M31" s="71"/>
    </row>
    <row r="32" spans="1:13">
      <c r="A32" s="1207" t="s">
        <v>1096</v>
      </c>
      <c r="B32" s="1209"/>
      <c r="C32" s="1208"/>
      <c r="D32" s="1208"/>
      <c r="E32" s="1208"/>
      <c r="F32" s="1208"/>
      <c r="G32" s="1208"/>
      <c r="H32" s="1208"/>
      <c r="I32" s="1208"/>
      <c r="J32" s="1208"/>
      <c r="K32" s="57"/>
      <c r="L32" s="57"/>
      <c r="M32" s="57"/>
    </row>
    <row r="33" spans="1:13">
      <c r="A33" s="1190" t="s">
        <v>0</v>
      </c>
      <c r="B33" s="1203" t="s">
        <v>1</v>
      </c>
      <c r="C33" s="1359" t="s">
        <v>1102</v>
      </c>
      <c r="D33" s="1359"/>
      <c r="E33" s="1359"/>
      <c r="F33" s="1359"/>
      <c r="G33" s="1359" t="s">
        <v>1098</v>
      </c>
      <c r="H33" s="1359"/>
      <c r="I33" s="1359"/>
      <c r="J33" s="1359"/>
      <c r="K33" s="57"/>
      <c r="L33" s="57"/>
      <c r="M33" s="57"/>
    </row>
    <row r="34" spans="1:13">
      <c r="A34" s="1191"/>
      <c r="B34" s="1204" t="s">
        <v>9</v>
      </c>
      <c r="C34" s="1192" t="s">
        <v>2</v>
      </c>
      <c r="D34" s="1192" t="s">
        <v>3</v>
      </c>
      <c r="E34" s="1192" t="s">
        <v>4</v>
      </c>
      <c r="F34" s="1192" t="s">
        <v>5</v>
      </c>
      <c r="G34" s="1192" t="s">
        <v>2</v>
      </c>
      <c r="H34" s="1192" t="s">
        <v>3</v>
      </c>
      <c r="I34" s="1192" t="s">
        <v>4</v>
      </c>
      <c r="J34" s="1192" t="s">
        <v>5</v>
      </c>
    </row>
    <row r="35" spans="1:13">
      <c r="A35" s="1193">
        <v>2561</v>
      </c>
      <c r="B35" s="1194">
        <v>0</v>
      </c>
      <c r="C35" s="1194">
        <v>0</v>
      </c>
      <c r="D35" s="1194"/>
      <c r="E35" s="1194"/>
      <c r="F35" s="1194"/>
      <c r="G35" s="1194"/>
      <c r="H35" s="1194"/>
      <c r="I35" s="1194">
        <v>0</v>
      </c>
      <c r="J35" s="1194"/>
    </row>
    <row r="36" spans="1:13">
      <c r="A36" s="1205">
        <v>2562</v>
      </c>
      <c r="B36" s="1206">
        <v>0</v>
      </c>
      <c r="C36" s="1206">
        <v>0</v>
      </c>
      <c r="D36" s="1206"/>
      <c r="E36" s="1206"/>
      <c r="F36" s="1206"/>
      <c r="G36" s="1206"/>
      <c r="H36" s="1206"/>
      <c r="I36" s="1206">
        <v>0</v>
      </c>
      <c r="J36" s="1206"/>
    </row>
    <row r="37" spans="1:13">
      <c r="A37" s="1205">
        <v>2563</v>
      </c>
      <c r="B37" s="1206">
        <v>0</v>
      </c>
      <c r="C37" s="1206">
        <v>0</v>
      </c>
      <c r="D37" s="1206"/>
      <c r="E37" s="1206"/>
      <c r="F37" s="1206"/>
      <c r="G37" s="1206"/>
      <c r="H37" s="1206"/>
      <c r="I37" s="1206">
        <v>0</v>
      </c>
      <c r="J37" s="1206"/>
    </row>
    <row r="38" spans="1:13">
      <c r="A38" s="1205">
        <v>2564</v>
      </c>
      <c r="B38" s="1206">
        <v>6</v>
      </c>
      <c r="C38" s="1206">
        <v>4</v>
      </c>
      <c r="D38" s="1206"/>
      <c r="E38" s="1206"/>
      <c r="F38" s="1206"/>
      <c r="G38" s="1206"/>
      <c r="H38" s="1206"/>
      <c r="I38" s="1206">
        <v>2</v>
      </c>
      <c r="J38" s="1206"/>
    </row>
    <row r="39" spans="1:13">
      <c r="A39" s="1205">
        <v>2565</v>
      </c>
      <c r="B39" s="1206">
        <v>6</v>
      </c>
      <c r="C39" s="1196">
        <v>4</v>
      </c>
      <c r="D39" s="1206"/>
      <c r="E39" s="1206"/>
      <c r="F39" s="1206"/>
      <c r="G39" s="1206"/>
      <c r="H39" s="1206"/>
      <c r="I39" s="1206">
        <v>2</v>
      </c>
      <c r="J39" s="1206"/>
    </row>
    <row r="40" spans="1:13">
      <c r="A40" s="1186" t="s">
        <v>8</v>
      </c>
      <c r="B40" s="1186">
        <f>SUM(C40:AH40)</f>
        <v>12</v>
      </c>
      <c r="C40" s="1186">
        <f>SUM(C35:C39)</f>
        <v>8</v>
      </c>
      <c r="D40" s="1186"/>
      <c r="E40" s="1186"/>
      <c r="F40" s="1186"/>
      <c r="G40" s="1186"/>
      <c r="H40" s="1186"/>
      <c r="I40" s="1186">
        <f>SUM(I35:I39)</f>
        <v>4</v>
      </c>
      <c r="J40" s="1186"/>
    </row>
  </sheetData>
  <mergeCells count="22"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U5:X5"/>
    <mergeCell ref="C10:F10"/>
    <mergeCell ref="H10:H11"/>
    <mergeCell ref="A9:F9"/>
    <mergeCell ref="C33:F33"/>
    <mergeCell ref="G33:J33"/>
    <mergeCell ref="H19:H20"/>
    <mergeCell ref="A18:H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opLeftCell="A10" zoomScale="140" zoomScaleNormal="140" workbookViewId="0">
      <selection activeCell="X14" sqref="X14"/>
    </sheetView>
  </sheetViews>
  <sheetFormatPr defaultColWidth="9" defaultRowHeight="18.75"/>
  <cols>
    <col min="1" max="1" width="6.5" style="8" customWidth="1"/>
    <col min="2" max="2" width="6.25" style="8" customWidth="1"/>
    <col min="3" max="17" width="3" style="8" customWidth="1"/>
    <col min="18" max="18" width="3.75" style="8" customWidth="1"/>
    <col min="19" max="42" width="3" style="8" customWidth="1"/>
    <col min="43" max="43" width="7.5" style="472" customWidth="1"/>
    <col min="44" max="44" width="17.5" style="8" customWidth="1"/>
    <col min="45" max="48" width="2.625" style="8" customWidth="1"/>
    <col min="49" max="57" width="2.75" style="8" customWidth="1"/>
    <col min="58" max="58" width="3.375" style="8" customWidth="1"/>
    <col min="59" max="16384" width="9" style="8"/>
  </cols>
  <sheetData>
    <row r="1" spans="1:44" ht="24.2" customHeight="1">
      <c r="A1" s="3" t="s">
        <v>14</v>
      </c>
      <c r="B1" s="3"/>
    </row>
    <row r="2" spans="1:44" ht="22.3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4" ht="28.35" customHeight="1">
      <c r="A3" s="14" t="s">
        <v>0</v>
      </c>
      <c r="B3" s="26" t="s">
        <v>1</v>
      </c>
      <c r="C3" s="1340" t="s">
        <v>17</v>
      </c>
      <c r="D3" s="1340"/>
      <c r="E3" s="1340"/>
      <c r="F3" s="1340"/>
      <c r="G3" s="1340"/>
      <c r="H3" s="1340" t="s">
        <v>18</v>
      </c>
      <c r="I3" s="1340"/>
      <c r="J3" s="1340"/>
      <c r="K3" s="1340"/>
      <c r="L3" s="1340"/>
      <c r="M3" s="1340" t="s">
        <v>19</v>
      </c>
      <c r="N3" s="1340"/>
      <c r="O3" s="1340"/>
      <c r="P3" s="1340"/>
      <c r="Q3" s="1340"/>
      <c r="R3" s="1340" t="s">
        <v>20</v>
      </c>
      <c r="S3" s="1340"/>
      <c r="T3" s="1340"/>
      <c r="U3" s="1340"/>
      <c r="V3" s="1340"/>
      <c r="W3" s="1340" t="s">
        <v>21</v>
      </c>
      <c r="X3" s="1340"/>
      <c r="Y3" s="1340"/>
      <c r="Z3" s="1340"/>
      <c r="AA3" s="1340"/>
      <c r="AB3" s="1340" t="s">
        <v>22</v>
      </c>
      <c r="AC3" s="1340"/>
      <c r="AD3" s="1340"/>
      <c r="AE3" s="1340"/>
      <c r="AF3" s="1340"/>
      <c r="AG3" s="1340" t="s">
        <v>23</v>
      </c>
      <c r="AH3" s="1340"/>
      <c r="AI3" s="1340"/>
      <c r="AJ3" s="1340"/>
      <c r="AK3" s="1340"/>
      <c r="AL3" s="1340" t="s">
        <v>24</v>
      </c>
      <c r="AM3" s="1340"/>
      <c r="AN3" s="1340"/>
      <c r="AO3" s="1340"/>
      <c r="AP3" s="1340"/>
      <c r="AQ3" s="1403" t="s">
        <v>8</v>
      </c>
    </row>
    <row r="4" spans="1:44" ht="26.25" customHeight="1">
      <c r="A4" s="16"/>
      <c r="B4" s="27" t="s">
        <v>16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2</v>
      </c>
      <c r="I4" s="28" t="s">
        <v>3</v>
      </c>
      <c r="J4" s="28" t="s">
        <v>4</v>
      </c>
      <c r="K4" s="28" t="s">
        <v>5</v>
      </c>
      <c r="L4" s="28" t="s">
        <v>6</v>
      </c>
      <c r="M4" s="28" t="s">
        <v>2</v>
      </c>
      <c r="N4" s="28" t="s">
        <v>3</v>
      </c>
      <c r="O4" s="28" t="s">
        <v>4</v>
      </c>
      <c r="P4" s="28" t="s">
        <v>5</v>
      </c>
      <c r="Q4" s="28" t="s">
        <v>6</v>
      </c>
      <c r="R4" s="28" t="s">
        <v>2</v>
      </c>
      <c r="S4" s="28" t="s">
        <v>3</v>
      </c>
      <c r="T4" s="28" t="s">
        <v>4</v>
      </c>
      <c r="U4" s="28" t="s">
        <v>5</v>
      </c>
      <c r="V4" s="28" t="s">
        <v>6</v>
      </c>
      <c r="W4" s="28" t="s">
        <v>2</v>
      </c>
      <c r="X4" s="28" t="s">
        <v>3</v>
      </c>
      <c r="Y4" s="28" t="s">
        <v>4</v>
      </c>
      <c r="Z4" s="28" t="s">
        <v>5</v>
      </c>
      <c r="AA4" s="28" t="s">
        <v>6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2</v>
      </c>
      <c r="AH4" s="28" t="s">
        <v>3</v>
      </c>
      <c r="AI4" s="28" t="s">
        <v>4</v>
      </c>
      <c r="AJ4" s="28" t="s">
        <v>5</v>
      </c>
      <c r="AK4" s="28" t="s">
        <v>6</v>
      </c>
      <c r="AL4" s="28" t="s">
        <v>2</v>
      </c>
      <c r="AM4" s="28" t="s">
        <v>3</v>
      </c>
      <c r="AN4" s="28" t="s">
        <v>4</v>
      </c>
      <c r="AO4" s="28" t="s">
        <v>5</v>
      </c>
      <c r="AP4" s="28" t="s">
        <v>6</v>
      </c>
      <c r="AQ4" s="1404"/>
    </row>
    <row r="5" spans="1:44" ht="43.35" customHeight="1">
      <c r="A5" s="18">
        <v>2561</v>
      </c>
      <c r="B5" s="29"/>
      <c r="C5" s="58">
        <v>32000000</v>
      </c>
      <c r="D5" s="64">
        <v>0</v>
      </c>
      <c r="E5" s="64">
        <v>0</v>
      </c>
      <c r="F5" s="64">
        <v>0</v>
      </c>
      <c r="G5" s="776">
        <v>18090600</v>
      </c>
      <c r="H5" s="58">
        <v>8400000</v>
      </c>
      <c r="I5" s="64">
        <v>0</v>
      </c>
      <c r="J5" s="64">
        <v>0</v>
      </c>
      <c r="K5" s="64">
        <v>0</v>
      </c>
      <c r="L5" s="58">
        <v>1400000</v>
      </c>
      <c r="M5" s="58">
        <v>479379800</v>
      </c>
      <c r="N5" s="64">
        <v>0</v>
      </c>
      <c r="O5" s="64">
        <v>0</v>
      </c>
      <c r="P5" s="58">
        <v>10000000</v>
      </c>
      <c r="Q5" s="58">
        <v>5000000</v>
      </c>
      <c r="R5" s="58">
        <v>8000000</v>
      </c>
      <c r="S5" s="462">
        <v>0</v>
      </c>
      <c r="T5" s="462">
        <v>0</v>
      </c>
      <c r="U5" s="462">
        <v>0</v>
      </c>
      <c r="V5" s="462">
        <v>0</v>
      </c>
      <c r="W5" s="64">
        <v>0</v>
      </c>
      <c r="X5" s="64">
        <v>0</v>
      </c>
      <c r="Y5" s="58">
        <v>105000000</v>
      </c>
      <c r="Z5" s="64">
        <v>0</v>
      </c>
      <c r="AA5" s="62">
        <v>14776300</v>
      </c>
      <c r="AB5" s="62">
        <v>10000000</v>
      </c>
      <c r="AC5" s="64">
        <v>0</v>
      </c>
      <c r="AD5" s="64">
        <v>0</v>
      </c>
      <c r="AE5" s="64">
        <v>0</v>
      </c>
      <c r="AF5" s="62">
        <v>13184700</v>
      </c>
      <c r="AG5" s="457">
        <v>0</v>
      </c>
      <c r="AH5" s="457">
        <v>0</v>
      </c>
      <c r="AI5" s="457">
        <v>0</v>
      </c>
      <c r="AJ5" s="457">
        <v>0</v>
      </c>
      <c r="AK5" s="457">
        <v>0</v>
      </c>
      <c r="AL5" s="457">
        <v>0</v>
      </c>
      <c r="AM5" s="62">
        <v>440000000</v>
      </c>
      <c r="AN5" s="457">
        <v>0</v>
      </c>
      <c r="AO5" s="457">
        <v>0</v>
      </c>
      <c r="AP5" s="457">
        <v>0</v>
      </c>
      <c r="AQ5" s="992">
        <f t="shared" ref="AQ5:AQ10" si="0">SUM(C5:AP5)</f>
        <v>1145231400</v>
      </c>
    </row>
    <row r="6" spans="1:44" ht="45.2" customHeight="1">
      <c r="A6" s="22">
        <v>2562</v>
      </c>
      <c r="B6" s="30"/>
      <c r="C6" s="64">
        <v>0</v>
      </c>
      <c r="D6" s="64">
        <v>0</v>
      </c>
      <c r="E6" s="64">
        <v>0</v>
      </c>
      <c r="F6" s="64">
        <v>0</v>
      </c>
      <c r="G6" s="58"/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58">
        <v>10000000</v>
      </c>
      <c r="O6" s="64">
        <v>0</v>
      </c>
      <c r="P6" s="58">
        <v>10000000</v>
      </c>
      <c r="Q6" s="64">
        <v>0</v>
      </c>
      <c r="R6" s="463">
        <v>0</v>
      </c>
      <c r="S6" s="462">
        <v>0</v>
      </c>
      <c r="T6" s="58">
        <v>10000000</v>
      </c>
      <c r="U6" s="462">
        <v>0</v>
      </c>
      <c r="V6" s="462">
        <v>0</v>
      </c>
      <c r="W6" s="64">
        <v>0</v>
      </c>
      <c r="X6" s="64">
        <v>0</v>
      </c>
      <c r="Y6" s="59">
        <v>19808200</v>
      </c>
      <c r="Z6" s="64">
        <v>0</v>
      </c>
      <c r="AA6" s="63">
        <v>10887500</v>
      </c>
      <c r="AB6" s="62">
        <v>10000000</v>
      </c>
      <c r="AC6" s="64">
        <v>0</v>
      </c>
      <c r="AD6" s="64">
        <v>0</v>
      </c>
      <c r="AE6" s="64">
        <v>0</v>
      </c>
      <c r="AF6" s="62">
        <v>177342600</v>
      </c>
      <c r="AG6" s="458">
        <v>0</v>
      </c>
      <c r="AH6" s="458">
        <v>0</v>
      </c>
      <c r="AI6" s="458">
        <v>0</v>
      </c>
      <c r="AJ6" s="458">
        <v>0</v>
      </c>
      <c r="AK6" s="458">
        <v>0</v>
      </c>
      <c r="AL6" s="457">
        <v>0</v>
      </c>
      <c r="AM6" s="457">
        <v>0</v>
      </c>
      <c r="AN6" s="457">
        <v>0</v>
      </c>
      <c r="AO6" s="457">
        <v>0</v>
      </c>
      <c r="AP6" s="457">
        <v>0</v>
      </c>
      <c r="AQ6" s="993">
        <f t="shared" si="0"/>
        <v>248038300</v>
      </c>
    </row>
    <row r="7" spans="1:44" ht="39.75" customHeight="1">
      <c r="A7" s="22">
        <v>2563</v>
      </c>
      <c r="B7" s="30"/>
      <c r="C7" s="64">
        <v>0</v>
      </c>
      <c r="D7" s="64">
        <v>0</v>
      </c>
      <c r="E7" s="64">
        <v>0</v>
      </c>
      <c r="F7" s="64">
        <v>0</v>
      </c>
      <c r="G7" s="58"/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58">
        <v>2000000</v>
      </c>
      <c r="S7" s="462">
        <v>0</v>
      </c>
      <c r="T7" s="462">
        <v>0</v>
      </c>
      <c r="U7" s="462">
        <v>0</v>
      </c>
      <c r="V7" s="58">
        <v>8000000</v>
      </c>
      <c r="W7" s="64">
        <v>0</v>
      </c>
      <c r="X7" s="64">
        <v>0</v>
      </c>
      <c r="Y7" s="64">
        <v>0</v>
      </c>
      <c r="Z7" s="64">
        <v>0</v>
      </c>
      <c r="AA7" s="63">
        <v>9044300</v>
      </c>
      <c r="AB7" s="62">
        <v>10000000</v>
      </c>
      <c r="AC7" s="64">
        <v>0</v>
      </c>
      <c r="AD7" s="64">
        <v>0</v>
      </c>
      <c r="AE7" s="64">
        <v>0</v>
      </c>
      <c r="AF7" s="64">
        <v>0</v>
      </c>
      <c r="AG7" s="458">
        <v>0</v>
      </c>
      <c r="AH7" s="458">
        <v>0</v>
      </c>
      <c r="AI7" s="458">
        <v>0</v>
      </c>
      <c r="AJ7" s="458">
        <v>0</v>
      </c>
      <c r="AK7" s="458">
        <v>0</v>
      </c>
      <c r="AL7" s="457">
        <v>0</v>
      </c>
      <c r="AM7" s="457">
        <v>0</v>
      </c>
      <c r="AN7" s="457">
        <v>0</v>
      </c>
      <c r="AO7" s="457">
        <v>0</v>
      </c>
      <c r="AP7" s="457">
        <v>0</v>
      </c>
      <c r="AQ7" s="993">
        <f t="shared" si="0"/>
        <v>29044300</v>
      </c>
    </row>
    <row r="8" spans="1:44" ht="42.6" customHeight="1">
      <c r="A8" s="22">
        <v>2564</v>
      </c>
      <c r="B8" s="30"/>
      <c r="C8" s="64">
        <v>0</v>
      </c>
      <c r="D8" s="64">
        <v>0</v>
      </c>
      <c r="E8" s="64">
        <v>0</v>
      </c>
      <c r="F8" s="64">
        <v>0</v>
      </c>
      <c r="G8" s="58">
        <v>14776300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463">
        <v>0</v>
      </c>
      <c r="S8" s="462">
        <v>0</v>
      </c>
      <c r="T8" s="462">
        <v>0</v>
      </c>
      <c r="U8" s="462">
        <v>0</v>
      </c>
      <c r="V8" s="58">
        <v>10000000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30"/>
      <c r="AC8" s="64">
        <v>0</v>
      </c>
      <c r="AD8" s="64">
        <v>0</v>
      </c>
      <c r="AE8" s="62">
        <v>173370100</v>
      </c>
      <c r="AF8" s="64">
        <v>0</v>
      </c>
      <c r="AG8" s="458">
        <v>0</v>
      </c>
      <c r="AH8" s="458">
        <v>0</v>
      </c>
      <c r="AI8" s="458">
        <v>0</v>
      </c>
      <c r="AJ8" s="458">
        <v>0</v>
      </c>
      <c r="AK8" s="458">
        <v>0</v>
      </c>
      <c r="AL8" s="457">
        <v>0</v>
      </c>
      <c r="AM8" s="457">
        <v>0</v>
      </c>
      <c r="AN8" s="457">
        <v>0</v>
      </c>
      <c r="AO8" s="457">
        <v>0</v>
      </c>
      <c r="AP8" s="457">
        <v>0</v>
      </c>
      <c r="AQ8" s="993">
        <f t="shared" si="0"/>
        <v>198146400</v>
      </c>
    </row>
    <row r="9" spans="1:44" ht="39.200000000000003" customHeight="1">
      <c r="A9" s="22">
        <v>2565</v>
      </c>
      <c r="B9" s="30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462">
        <v>0</v>
      </c>
      <c r="S9" s="462">
        <v>0</v>
      </c>
      <c r="T9" s="462">
        <v>0</v>
      </c>
      <c r="U9" s="462">
        <v>0</v>
      </c>
      <c r="V9" s="58">
        <v>10000000</v>
      </c>
      <c r="W9" s="64">
        <v>0</v>
      </c>
      <c r="X9" s="64">
        <v>0</v>
      </c>
      <c r="Y9" s="64">
        <v>0</v>
      </c>
      <c r="Z9" s="64">
        <v>0</v>
      </c>
      <c r="AA9" s="65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459">
        <v>0</v>
      </c>
      <c r="AH9" s="459">
        <v>0</v>
      </c>
      <c r="AI9" s="459">
        <v>0</v>
      </c>
      <c r="AJ9" s="459">
        <v>0</v>
      </c>
      <c r="AK9" s="459">
        <v>0</v>
      </c>
      <c r="AL9" s="457">
        <v>0</v>
      </c>
      <c r="AM9" s="457">
        <v>0</v>
      </c>
      <c r="AN9" s="457">
        <v>0</v>
      </c>
      <c r="AO9" s="457">
        <v>0</v>
      </c>
      <c r="AP9" s="457">
        <v>0</v>
      </c>
      <c r="AQ9" s="993">
        <f t="shared" si="0"/>
        <v>10000000</v>
      </c>
    </row>
    <row r="10" spans="1:44" ht="50.85" customHeight="1">
      <c r="A10" s="31" t="s">
        <v>8</v>
      </c>
      <c r="B10" s="31"/>
      <c r="C10" s="456">
        <f t="shared" ref="C10:AP10" si="1">SUM(C5:C9)</f>
        <v>32000000</v>
      </c>
      <c r="D10" s="456">
        <f t="shared" si="1"/>
        <v>0</v>
      </c>
      <c r="E10" s="456">
        <f t="shared" si="1"/>
        <v>0</v>
      </c>
      <c r="F10" s="456">
        <f t="shared" si="1"/>
        <v>0</v>
      </c>
      <c r="G10" s="456">
        <f t="shared" si="1"/>
        <v>32866900</v>
      </c>
      <c r="H10" s="456">
        <f t="shared" si="1"/>
        <v>8400000</v>
      </c>
      <c r="I10" s="456">
        <f t="shared" si="1"/>
        <v>0</v>
      </c>
      <c r="J10" s="456">
        <f t="shared" si="1"/>
        <v>0</v>
      </c>
      <c r="K10" s="456">
        <f t="shared" si="1"/>
        <v>0</v>
      </c>
      <c r="L10" s="456">
        <f t="shared" si="1"/>
        <v>1400000</v>
      </c>
      <c r="M10" s="456">
        <f t="shared" si="1"/>
        <v>479379800</v>
      </c>
      <c r="N10" s="456">
        <f t="shared" si="1"/>
        <v>10000000</v>
      </c>
      <c r="O10" s="456">
        <f t="shared" si="1"/>
        <v>0</v>
      </c>
      <c r="P10" s="456">
        <f t="shared" si="1"/>
        <v>20000000</v>
      </c>
      <c r="Q10" s="456">
        <f t="shared" si="1"/>
        <v>5000000</v>
      </c>
      <c r="R10" s="464">
        <f t="shared" si="1"/>
        <v>10000000</v>
      </c>
      <c r="S10" s="464">
        <f t="shared" si="1"/>
        <v>0</v>
      </c>
      <c r="T10" s="464">
        <f t="shared" si="1"/>
        <v>10000000</v>
      </c>
      <c r="U10" s="464">
        <f t="shared" si="1"/>
        <v>0</v>
      </c>
      <c r="V10" s="464">
        <f t="shared" si="1"/>
        <v>28000000</v>
      </c>
      <c r="W10" s="473">
        <f t="shared" si="1"/>
        <v>0</v>
      </c>
      <c r="X10" s="473">
        <f t="shared" si="1"/>
        <v>0</v>
      </c>
      <c r="Y10" s="60">
        <f t="shared" si="1"/>
        <v>124808200</v>
      </c>
      <c r="Z10" s="473">
        <f t="shared" si="1"/>
        <v>0</v>
      </c>
      <c r="AA10" s="990">
        <f t="shared" si="1"/>
        <v>34708100</v>
      </c>
      <c r="AB10" s="60">
        <f t="shared" si="1"/>
        <v>30000000</v>
      </c>
      <c r="AC10" s="60">
        <f t="shared" si="1"/>
        <v>0</v>
      </c>
      <c r="AD10" s="60">
        <f t="shared" si="1"/>
        <v>0</v>
      </c>
      <c r="AE10" s="60">
        <f t="shared" si="1"/>
        <v>173370100</v>
      </c>
      <c r="AF10" s="60">
        <f t="shared" si="1"/>
        <v>190527300</v>
      </c>
      <c r="AG10" s="460">
        <f t="shared" si="1"/>
        <v>0</v>
      </c>
      <c r="AH10" s="460">
        <f t="shared" si="1"/>
        <v>0</v>
      </c>
      <c r="AI10" s="460">
        <f t="shared" si="1"/>
        <v>0</v>
      </c>
      <c r="AJ10" s="460">
        <f t="shared" si="1"/>
        <v>0</v>
      </c>
      <c r="AK10" s="460">
        <f t="shared" si="1"/>
        <v>0</v>
      </c>
      <c r="AL10" s="460">
        <f t="shared" si="1"/>
        <v>0</v>
      </c>
      <c r="AM10" s="991">
        <f t="shared" si="1"/>
        <v>440000000</v>
      </c>
      <c r="AN10" s="460">
        <f t="shared" si="1"/>
        <v>0</v>
      </c>
      <c r="AO10" s="460">
        <f t="shared" si="1"/>
        <v>0</v>
      </c>
      <c r="AP10" s="460">
        <f t="shared" si="1"/>
        <v>0</v>
      </c>
      <c r="AQ10" s="994">
        <f t="shared" si="0"/>
        <v>1630460400</v>
      </c>
      <c r="AR10" s="66">
        <f>Y10+AA10</f>
        <v>159516300</v>
      </c>
    </row>
    <row r="12" spans="1:44">
      <c r="A12" s="475" t="s">
        <v>465</v>
      </c>
      <c r="B12" s="475"/>
      <c r="C12" s="475"/>
      <c r="D12" s="475"/>
      <c r="E12" s="475"/>
      <c r="F12" s="475"/>
      <c r="G12" s="475"/>
      <c r="H12" s="475"/>
      <c r="I12" s="475"/>
    </row>
    <row r="13" spans="1:44">
      <c r="A13" s="475"/>
      <c r="B13" s="475" t="s">
        <v>466</v>
      </c>
      <c r="C13" s="475"/>
      <c r="D13" s="475"/>
      <c r="E13" s="475"/>
      <c r="F13" s="475" t="s">
        <v>24</v>
      </c>
      <c r="G13" s="475"/>
      <c r="H13" s="475"/>
      <c r="I13" s="475"/>
    </row>
    <row r="14" spans="1:44">
      <c r="A14" s="475"/>
      <c r="B14" s="475" t="s">
        <v>467</v>
      </c>
      <c r="C14" s="475"/>
      <c r="D14" s="475"/>
      <c r="E14" s="475"/>
      <c r="F14" s="475"/>
      <c r="G14" s="475"/>
      <c r="H14" s="475"/>
      <c r="I14" s="475"/>
    </row>
    <row r="15" spans="1:44">
      <c r="A15" s="475" t="s">
        <v>1056</v>
      </c>
      <c r="B15" s="475"/>
      <c r="C15" s="475"/>
      <c r="D15" s="475"/>
      <c r="E15" s="475"/>
      <c r="F15" s="475"/>
      <c r="G15" s="475"/>
      <c r="H15" s="475"/>
      <c r="I15" s="475"/>
    </row>
    <row r="16" spans="1:44">
      <c r="A16" s="25" t="s">
        <v>37</v>
      </c>
      <c r="B16" s="1409" t="s">
        <v>929</v>
      </c>
      <c r="C16" s="1409"/>
      <c r="D16" s="1409"/>
      <c r="E16" s="1409"/>
      <c r="F16" s="1409"/>
      <c r="G16" s="1409"/>
      <c r="H16" s="1409"/>
      <c r="I16" s="1409" t="s">
        <v>1052</v>
      </c>
      <c r="J16" s="1409"/>
      <c r="K16" s="1409"/>
      <c r="L16" s="1409"/>
      <c r="M16" s="1409"/>
      <c r="N16" s="1409"/>
      <c r="O16" s="1409"/>
      <c r="P16" s="1409"/>
      <c r="Q16" s="1409" t="s">
        <v>1053</v>
      </c>
      <c r="R16" s="1409"/>
      <c r="S16" s="1409"/>
      <c r="T16" s="1409"/>
      <c r="U16" s="1409"/>
      <c r="V16" s="1409"/>
      <c r="W16" s="1409"/>
      <c r="X16" s="1409"/>
      <c r="Y16" s="1409" t="s">
        <v>43</v>
      </c>
      <c r="Z16" s="1409"/>
      <c r="AA16" s="1409"/>
      <c r="AB16" s="1409"/>
      <c r="AC16" s="1409"/>
      <c r="AD16" s="1409"/>
      <c r="AE16" s="1410"/>
      <c r="AF16" s="1411"/>
      <c r="AG16" s="1411"/>
      <c r="AH16" s="1411"/>
      <c r="AI16" s="1411"/>
    </row>
    <row r="17" spans="1:35">
      <c r="A17" s="25"/>
      <c r="B17" s="1409"/>
      <c r="C17" s="1409"/>
      <c r="D17" s="1409"/>
      <c r="E17" s="1409"/>
      <c r="F17" s="1409"/>
      <c r="G17" s="1409"/>
      <c r="H17" s="1409"/>
      <c r="I17" s="1408">
        <v>77740000</v>
      </c>
      <c r="J17" s="1408"/>
      <c r="K17" s="1408"/>
      <c r="L17" s="1408"/>
      <c r="M17" s="1408"/>
      <c r="N17" s="1408"/>
      <c r="O17" s="1408"/>
      <c r="P17" s="1408"/>
      <c r="Q17" s="1409"/>
      <c r="R17" s="1409"/>
      <c r="S17" s="1409"/>
      <c r="T17" s="1409"/>
      <c r="U17" s="1409"/>
      <c r="V17" s="1409"/>
      <c r="W17" s="1409"/>
      <c r="X17" s="1409"/>
      <c r="Y17" s="1405" t="s">
        <v>19</v>
      </c>
      <c r="Z17" s="1406"/>
      <c r="AA17" s="1406"/>
      <c r="AB17" s="1406"/>
      <c r="AC17" s="1406"/>
      <c r="AD17" s="1407"/>
      <c r="AE17" s="1410"/>
      <c r="AF17" s="1411"/>
      <c r="AG17" s="1411"/>
      <c r="AH17" s="1411"/>
      <c r="AI17" s="1411"/>
    </row>
    <row r="18" spans="1:35">
      <c r="A18" s="25"/>
      <c r="B18" s="1405" t="s">
        <v>1103</v>
      </c>
      <c r="C18" s="1406"/>
      <c r="D18" s="1406"/>
      <c r="E18" s="1406"/>
      <c r="F18" s="1406"/>
      <c r="G18" s="1406"/>
      <c r="H18" s="1407"/>
      <c r="I18" s="1408">
        <v>59820000</v>
      </c>
      <c r="J18" s="1408"/>
      <c r="K18" s="1408"/>
      <c r="L18" s="1408"/>
      <c r="M18" s="1408"/>
      <c r="N18" s="1408"/>
      <c r="O18" s="1408"/>
      <c r="P18" s="1408"/>
      <c r="Q18" s="1409"/>
      <c r="R18" s="1409"/>
      <c r="S18" s="1409"/>
      <c r="T18" s="1409"/>
      <c r="U18" s="1409"/>
      <c r="V18" s="1409"/>
      <c r="W18" s="1409"/>
      <c r="X18" s="1409"/>
      <c r="Y18" s="1405" t="s">
        <v>20</v>
      </c>
      <c r="Z18" s="1406"/>
      <c r="AA18" s="1406"/>
      <c r="AB18" s="1406"/>
      <c r="AC18" s="1406"/>
      <c r="AD18" s="1407"/>
      <c r="AE18" s="1410"/>
      <c r="AF18" s="1411"/>
      <c r="AG18" s="1411"/>
      <c r="AH18" s="1411"/>
      <c r="AI18" s="1411"/>
    </row>
    <row r="19" spans="1:35">
      <c r="A19" s="25"/>
      <c r="B19" s="1409"/>
      <c r="C19" s="1409"/>
      <c r="D19" s="1409"/>
      <c r="E19" s="1409"/>
      <c r="F19" s="1409"/>
      <c r="G19" s="1409"/>
      <c r="H19" s="1409"/>
      <c r="I19" s="1408">
        <v>56290000</v>
      </c>
      <c r="J19" s="1408"/>
      <c r="K19" s="1408"/>
      <c r="L19" s="1408"/>
      <c r="M19" s="1408"/>
      <c r="N19" s="1408"/>
      <c r="O19" s="1408"/>
      <c r="P19" s="1408"/>
      <c r="Q19" s="1409"/>
      <c r="R19" s="1409"/>
      <c r="S19" s="1409"/>
      <c r="T19" s="1409"/>
      <c r="U19" s="1409"/>
      <c r="V19" s="1409"/>
      <c r="W19" s="1409"/>
      <c r="X19" s="1409"/>
      <c r="Y19" s="1405" t="s">
        <v>21</v>
      </c>
      <c r="Z19" s="1406"/>
      <c r="AA19" s="1406"/>
      <c r="AB19" s="1406"/>
      <c r="AC19" s="1406"/>
      <c r="AD19" s="1407"/>
      <c r="AE19" s="1410"/>
      <c r="AF19" s="1411"/>
      <c r="AG19" s="1411"/>
      <c r="AH19" s="1411"/>
      <c r="AI19" s="1411"/>
    </row>
    <row r="20" spans="1:35">
      <c r="A20" s="25"/>
      <c r="B20" s="1409"/>
      <c r="C20" s="1409"/>
      <c r="D20" s="1409"/>
      <c r="E20" s="1409"/>
      <c r="F20" s="1409"/>
      <c r="G20" s="1409"/>
      <c r="H20" s="1409"/>
      <c r="I20" s="1408">
        <v>55670000</v>
      </c>
      <c r="J20" s="1408"/>
      <c r="K20" s="1408"/>
      <c r="L20" s="1408"/>
      <c r="M20" s="1408"/>
      <c r="N20" s="1408"/>
      <c r="O20" s="1408"/>
      <c r="P20" s="1408"/>
      <c r="Q20" s="1409"/>
      <c r="R20" s="1409"/>
      <c r="S20" s="1409"/>
      <c r="T20" s="1409"/>
      <c r="U20" s="1409"/>
      <c r="V20" s="1409"/>
      <c r="W20" s="1409"/>
      <c r="X20" s="1409"/>
      <c r="Y20" s="1405" t="s">
        <v>24</v>
      </c>
      <c r="Z20" s="1406"/>
      <c r="AA20" s="1406"/>
      <c r="AB20" s="1406"/>
      <c r="AC20" s="1406"/>
      <c r="AD20" s="1407"/>
      <c r="AE20" s="1410"/>
      <c r="AF20" s="1411"/>
      <c r="AG20" s="1411"/>
      <c r="AH20" s="1411"/>
      <c r="AI20" s="1411"/>
    </row>
    <row r="21" spans="1:35">
      <c r="A21" s="25"/>
      <c r="B21" s="1409"/>
      <c r="C21" s="1409"/>
      <c r="D21" s="1409"/>
      <c r="E21" s="1409"/>
      <c r="F21" s="1409"/>
      <c r="G21" s="1409"/>
      <c r="H21" s="1409"/>
      <c r="I21" s="1408">
        <v>53730000</v>
      </c>
      <c r="J21" s="1408"/>
      <c r="K21" s="1408"/>
      <c r="L21" s="1408"/>
      <c r="M21" s="1408"/>
      <c r="N21" s="1408"/>
      <c r="O21" s="1408"/>
      <c r="P21" s="1408"/>
      <c r="Q21" s="1409"/>
      <c r="R21" s="1409"/>
      <c r="S21" s="1409"/>
      <c r="T21" s="1409"/>
      <c r="U21" s="1409"/>
      <c r="V21" s="1409"/>
      <c r="W21" s="1409"/>
      <c r="X21" s="1409"/>
      <c r="Y21" s="1405" t="s">
        <v>22</v>
      </c>
      <c r="Z21" s="1406"/>
      <c r="AA21" s="1406"/>
      <c r="AB21" s="1406"/>
      <c r="AC21" s="1406"/>
      <c r="AD21" s="1407"/>
      <c r="AE21" s="1410"/>
      <c r="AF21" s="1411"/>
      <c r="AG21" s="1411"/>
      <c r="AH21" s="1411"/>
      <c r="AI21" s="1411"/>
    </row>
    <row r="22" spans="1:35">
      <c r="A22" s="25"/>
      <c r="B22" s="1409"/>
      <c r="C22" s="1409"/>
      <c r="D22" s="1409"/>
      <c r="E22" s="1409"/>
      <c r="F22" s="1409"/>
      <c r="G22" s="1409"/>
      <c r="H22" s="1409"/>
      <c r="I22" s="1408">
        <v>49040000</v>
      </c>
      <c r="J22" s="1408"/>
      <c r="K22" s="1408"/>
      <c r="L22" s="1408"/>
      <c r="M22" s="1408"/>
      <c r="N22" s="1408"/>
      <c r="O22" s="1408"/>
      <c r="P22" s="1408"/>
      <c r="Q22" s="1409"/>
      <c r="R22" s="1409"/>
      <c r="S22" s="1409"/>
      <c r="T22" s="1409"/>
      <c r="U22" s="1409"/>
      <c r="V22" s="1409"/>
      <c r="W22" s="1409"/>
      <c r="X22" s="1409"/>
      <c r="Y22" s="1405" t="s">
        <v>18</v>
      </c>
      <c r="Z22" s="1406"/>
      <c r="AA22" s="1406"/>
      <c r="AB22" s="1406"/>
      <c r="AC22" s="1406"/>
      <c r="AD22" s="1407"/>
      <c r="AE22" s="1410"/>
      <c r="AF22" s="1411"/>
      <c r="AG22" s="1411"/>
      <c r="AH22" s="1411"/>
      <c r="AI22" s="1411"/>
    </row>
    <row r="23" spans="1:35">
      <c r="A23" s="25"/>
      <c r="B23" s="1409"/>
      <c r="C23" s="1409"/>
      <c r="D23" s="1409"/>
      <c r="E23" s="1409"/>
      <c r="F23" s="1409"/>
      <c r="G23" s="1409"/>
      <c r="H23" s="1409"/>
      <c r="I23" s="1408">
        <v>42040000</v>
      </c>
      <c r="J23" s="1408"/>
      <c r="K23" s="1408"/>
      <c r="L23" s="1408"/>
      <c r="M23" s="1408"/>
      <c r="N23" s="1408"/>
      <c r="O23" s="1408"/>
      <c r="P23" s="1408"/>
      <c r="Q23" s="1409"/>
      <c r="R23" s="1409"/>
      <c r="S23" s="1409"/>
      <c r="T23" s="1409"/>
      <c r="U23" s="1409"/>
      <c r="V23" s="1409"/>
      <c r="W23" s="1409"/>
      <c r="X23" s="1409"/>
      <c r="Y23" s="1405" t="s">
        <v>23</v>
      </c>
      <c r="Z23" s="1406"/>
      <c r="AA23" s="1406"/>
      <c r="AB23" s="1406"/>
      <c r="AC23" s="1406"/>
      <c r="AD23" s="1407"/>
      <c r="AE23" s="1410"/>
      <c r="AF23" s="1411"/>
      <c r="AG23" s="1411"/>
      <c r="AH23" s="1411"/>
      <c r="AI23" s="1411"/>
    </row>
    <row r="24" spans="1:35">
      <c r="A24" s="25"/>
      <c r="B24" s="1409"/>
      <c r="C24" s="1409"/>
      <c r="D24" s="1409"/>
      <c r="E24" s="1409"/>
      <c r="F24" s="1409"/>
      <c r="G24" s="1409"/>
      <c r="H24" s="1409"/>
      <c r="I24" s="1408">
        <v>39660000</v>
      </c>
      <c r="J24" s="1408"/>
      <c r="K24" s="1408"/>
      <c r="L24" s="1408"/>
      <c r="M24" s="1408"/>
      <c r="N24" s="1408"/>
      <c r="O24" s="1408"/>
      <c r="P24" s="1408"/>
      <c r="Q24" s="1409"/>
      <c r="R24" s="1409"/>
      <c r="S24" s="1409"/>
      <c r="T24" s="1409"/>
      <c r="U24" s="1409"/>
      <c r="V24" s="1409"/>
      <c r="W24" s="1409"/>
      <c r="X24" s="1409"/>
      <c r="Y24" s="1405" t="s">
        <v>17</v>
      </c>
      <c r="Z24" s="1406"/>
      <c r="AA24" s="1406"/>
      <c r="AB24" s="1406"/>
      <c r="AC24" s="1406"/>
      <c r="AD24" s="1407"/>
      <c r="AE24" s="1410"/>
      <c r="AF24" s="1411"/>
      <c r="AG24" s="1411"/>
      <c r="AH24" s="1411"/>
      <c r="AI24" s="1411"/>
    </row>
    <row r="25" spans="1:35">
      <c r="A25" s="25"/>
      <c r="B25" s="1409"/>
      <c r="C25" s="1409"/>
      <c r="D25" s="1409"/>
      <c r="E25" s="1409"/>
      <c r="F25" s="1409"/>
      <c r="G25" s="1409"/>
      <c r="H25" s="1409"/>
      <c r="I25" s="1409"/>
      <c r="J25" s="1409"/>
      <c r="K25" s="1409"/>
      <c r="L25" s="1409"/>
      <c r="M25" s="1409"/>
      <c r="N25" s="1409"/>
      <c r="O25" s="1409"/>
      <c r="P25" s="1409"/>
      <c r="Q25" s="1409"/>
      <c r="R25" s="1409"/>
      <c r="S25" s="1409"/>
      <c r="T25" s="1409"/>
      <c r="U25" s="1409"/>
      <c r="V25" s="1409"/>
      <c r="W25" s="1409"/>
      <c r="X25" s="1409"/>
      <c r="Y25" s="1409"/>
      <c r="Z25" s="1409"/>
      <c r="AA25" s="1409"/>
      <c r="AB25" s="1409"/>
      <c r="AC25" s="1409"/>
      <c r="AD25" s="1409"/>
      <c r="AE25" s="1410"/>
      <c r="AF25" s="1411"/>
      <c r="AG25" s="1411"/>
      <c r="AH25" s="1411"/>
      <c r="AI25" s="1411"/>
    </row>
  </sheetData>
  <mergeCells count="59">
    <mergeCell ref="AE25:AI25"/>
    <mergeCell ref="AE23:AI23"/>
    <mergeCell ref="I24:P24"/>
    <mergeCell ref="Q24:X24"/>
    <mergeCell ref="Y24:AD24"/>
    <mergeCell ref="AE24:AI24"/>
    <mergeCell ref="I25:P25"/>
    <mergeCell ref="Q25:X25"/>
    <mergeCell ref="Y25:AD25"/>
    <mergeCell ref="AE21:AI21"/>
    <mergeCell ref="I22:P22"/>
    <mergeCell ref="Q22:X22"/>
    <mergeCell ref="Y22:AD22"/>
    <mergeCell ref="AE22:AI22"/>
    <mergeCell ref="AE19:AI19"/>
    <mergeCell ref="I20:P20"/>
    <mergeCell ref="Q20:X20"/>
    <mergeCell ref="Y20:AD20"/>
    <mergeCell ref="AE20:AI20"/>
    <mergeCell ref="AE17:AI17"/>
    <mergeCell ref="I18:P18"/>
    <mergeCell ref="Q18:X18"/>
    <mergeCell ref="Y18:AD18"/>
    <mergeCell ref="AE18:AI18"/>
    <mergeCell ref="B16:H16"/>
    <mergeCell ref="I16:P16"/>
    <mergeCell ref="Q16:X16"/>
    <mergeCell ref="Y16:AD16"/>
    <mergeCell ref="AE16:AI16"/>
    <mergeCell ref="B25:H25"/>
    <mergeCell ref="B24:H24"/>
    <mergeCell ref="I23:P23"/>
    <mergeCell ref="Q23:X23"/>
    <mergeCell ref="Y23:AD23"/>
    <mergeCell ref="B23:H23"/>
    <mergeCell ref="B22:H22"/>
    <mergeCell ref="I21:P21"/>
    <mergeCell ref="Q21:X21"/>
    <mergeCell ref="Y21:AD21"/>
    <mergeCell ref="B21:H21"/>
    <mergeCell ref="B20:H20"/>
    <mergeCell ref="I19:P19"/>
    <mergeCell ref="Q19:X19"/>
    <mergeCell ref="Y19:AD19"/>
    <mergeCell ref="B19:H19"/>
    <mergeCell ref="B18:H18"/>
    <mergeCell ref="I17:P17"/>
    <mergeCell ref="Q17:X17"/>
    <mergeCell ref="Y17:AD17"/>
    <mergeCell ref="B17:H17"/>
    <mergeCell ref="AB3:AF3"/>
    <mergeCell ref="AG3:AK3"/>
    <mergeCell ref="AL3:AP3"/>
    <mergeCell ref="AQ3:AQ4"/>
    <mergeCell ref="C3:G3"/>
    <mergeCell ref="H3:L3"/>
    <mergeCell ref="M3:Q3"/>
    <mergeCell ref="R3:V3"/>
    <mergeCell ref="W3:AA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34"/>
  <sheetViews>
    <sheetView topLeftCell="A31" workbookViewId="0">
      <selection activeCell="F49" sqref="F49"/>
    </sheetView>
  </sheetViews>
  <sheetFormatPr defaultColWidth="9" defaultRowHeight="18.75"/>
  <cols>
    <col min="1" max="1" width="7.5" style="57" customWidth="1"/>
    <col min="2" max="2" width="10.5" style="57" customWidth="1"/>
    <col min="3" max="3" width="10.75" style="57" customWidth="1"/>
    <col min="4" max="4" width="11.5" style="57" customWidth="1"/>
    <col min="5" max="5" width="9" style="57"/>
    <col min="6" max="6" width="24.625" style="57" customWidth="1"/>
    <col min="7" max="7" width="9.75" style="57" customWidth="1"/>
    <col min="8" max="8" width="9" style="57"/>
    <col min="9" max="9" width="20.5" style="57" customWidth="1"/>
    <col min="10" max="16384" width="9" style="57"/>
  </cols>
  <sheetData>
    <row r="1" spans="1:15" ht="37.5">
      <c r="A1" s="969" t="s">
        <v>37</v>
      </c>
      <c r="B1" s="969" t="s">
        <v>43</v>
      </c>
      <c r="C1" s="969" t="s">
        <v>945</v>
      </c>
      <c r="D1" s="969" t="s">
        <v>946</v>
      </c>
      <c r="E1" s="969" t="s">
        <v>947</v>
      </c>
      <c r="F1" s="970" t="s">
        <v>948</v>
      </c>
      <c r="G1" s="969" t="s">
        <v>949</v>
      </c>
      <c r="H1" s="969" t="s">
        <v>950</v>
      </c>
      <c r="I1" s="970" t="s">
        <v>951</v>
      </c>
    </row>
    <row r="2" spans="1:15">
      <c r="A2" s="218"/>
      <c r="B2" s="218" t="s">
        <v>17</v>
      </c>
      <c r="C2" s="971">
        <f>+[2]คำนวณOPD!F14</f>
        <v>654428</v>
      </c>
      <c r="D2" s="971">
        <f>+[2]คำนวณOPD!G14</f>
        <v>1248599</v>
      </c>
      <c r="E2" s="971">
        <v>114</v>
      </c>
      <c r="F2" s="972">
        <f>+D2/E2</f>
        <v>10952.622807017544</v>
      </c>
      <c r="G2" s="973">
        <v>105</v>
      </c>
      <c r="H2" s="973">
        <f>+G2+E2</f>
        <v>219</v>
      </c>
      <c r="I2" s="974">
        <f>+D2/H2</f>
        <v>5701.3652968036531</v>
      </c>
    </row>
    <row r="3" spans="1:15">
      <c r="A3" s="218"/>
      <c r="B3" s="218" t="s">
        <v>18</v>
      </c>
      <c r="C3" s="971">
        <f>+[2]คำนวณOPD!F26</f>
        <v>695478</v>
      </c>
      <c r="D3" s="971">
        <f>+[2]คำนวณOPD!G26</f>
        <v>1374745</v>
      </c>
      <c r="E3" s="218">
        <v>77</v>
      </c>
      <c r="F3" s="972">
        <f t="shared" ref="F3:F9" si="0">+D3/E3</f>
        <v>17853.83116883117</v>
      </c>
      <c r="G3" s="973">
        <v>118</v>
      </c>
      <c r="H3" s="973">
        <f t="shared" ref="H3:H9" si="1">+G3+E3</f>
        <v>195</v>
      </c>
      <c r="I3" s="974">
        <f t="shared" ref="I3:I9" si="2">+D3/H3</f>
        <v>7049.9743589743593</v>
      </c>
    </row>
    <row r="4" spans="1:15">
      <c r="A4" s="218"/>
      <c r="B4" s="218" t="s">
        <v>19</v>
      </c>
      <c r="C4" s="971">
        <f>+[2]คำนวณOPD!F39</f>
        <v>1623720</v>
      </c>
      <c r="D4" s="971">
        <f>+[2]คำนวณOPD!G39</f>
        <v>2805273</v>
      </c>
      <c r="E4" s="218">
        <v>133</v>
      </c>
      <c r="F4" s="972">
        <f t="shared" si="0"/>
        <v>21092.278195488721</v>
      </c>
      <c r="G4" s="973">
        <v>118</v>
      </c>
      <c r="H4" s="973">
        <f t="shared" si="1"/>
        <v>251</v>
      </c>
      <c r="I4" s="974">
        <f t="shared" si="2"/>
        <v>11176.386454183266</v>
      </c>
      <c r="N4" s="988"/>
      <c r="O4" s="989"/>
    </row>
    <row r="5" spans="1:15">
      <c r="A5" s="218"/>
      <c r="B5" s="218" t="s">
        <v>23</v>
      </c>
      <c r="C5" s="971">
        <f>+[2]คำนวณOPD!F47</f>
        <v>224730</v>
      </c>
      <c r="D5" s="971">
        <f>+[2]คำนวณOPD!G47</f>
        <v>562000</v>
      </c>
      <c r="E5" s="218">
        <v>27</v>
      </c>
      <c r="F5" s="972">
        <f t="shared" si="0"/>
        <v>20814.814814814814</v>
      </c>
      <c r="G5" s="973">
        <v>66</v>
      </c>
      <c r="H5" s="973">
        <f t="shared" si="1"/>
        <v>93</v>
      </c>
      <c r="I5" s="974">
        <f t="shared" si="2"/>
        <v>6043.010752688172</v>
      </c>
    </row>
    <row r="6" spans="1:15">
      <c r="A6" s="218"/>
      <c r="B6" s="218" t="s">
        <v>20</v>
      </c>
      <c r="C6" s="971">
        <f>+[2]คำนวณOPD!F55</f>
        <v>479314</v>
      </c>
      <c r="D6" s="971">
        <f>+[2]คำนวณOPD!G55</f>
        <v>1143811</v>
      </c>
      <c r="E6" s="218">
        <v>39</v>
      </c>
      <c r="F6" s="972">
        <f t="shared" si="0"/>
        <v>29328.48717948718</v>
      </c>
      <c r="G6" s="973">
        <v>94</v>
      </c>
      <c r="H6" s="973">
        <f t="shared" si="1"/>
        <v>133</v>
      </c>
      <c r="I6" s="974">
        <f t="shared" si="2"/>
        <v>8600.0827067669179</v>
      </c>
    </row>
    <row r="7" spans="1:15">
      <c r="A7" s="218"/>
      <c r="B7" s="218" t="s">
        <v>21</v>
      </c>
      <c r="C7" s="971">
        <f>+[2]คำนวณOPD!F65</f>
        <v>958026</v>
      </c>
      <c r="D7" s="971">
        <f>+[2]คำนวณOPD!G65</f>
        <v>1416238</v>
      </c>
      <c r="E7" s="218">
        <v>80</v>
      </c>
      <c r="F7" s="972">
        <f t="shared" si="0"/>
        <v>17702.974999999999</v>
      </c>
      <c r="G7" s="973">
        <v>95</v>
      </c>
      <c r="H7" s="973">
        <f t="shared" si="1"/>
        <v>175</v>
      </c>
      <c r="I7" s="974">
        <f t="shared" si="2"/>
        <v>8092.7885714285712</v>
      </c>
    </row>
    <row r="8" spans="1:15">
      <c r="A8" s="218"/>
      <c r="B8" s="218" t="s">
        <v>22</v>
      </c>
      <c r="C8" s="971">
        <f>+[2]คำนวณOPD!F72</f>
        <v>1261530</v>
      </c>
      <c r="D8" s="971">
        <f>+[2]คำนวณOPD!G72</f>
        <v>1297759</v>
      </c>
      <c r="E8" s="218">
        <v>94</v>
      </c>
      <c r="F8" s="972">
        <f t="shared" si="0"/>
        <v>13805.946808510638</v>
      </c>
      <c r="G8" s="973">
        <v>74</v>
      </c>
      <c r="H8" s="973">
        <f t="shared" si="1"/>
        <v>168</v>
      </c>
      <c r="I8" s="974">
        <f t="shared" si="2"/>
        <v>7724.7559523809523</v>
      </c>
    </row>
    <row r="9" spans="1:15">
      <c r="A9" s="218"/>
      <c r="B9" s="218" t="s">
        <v>24</v>
      </c>
      <c r="C9" s="971">
        <f>+[2]คำนวณOPD!F82</f>
        <v>552187</v>
      </c>
      <c r="D9" s="971">
        <f>+[2]คำนวณOPD!G82</f>
        <v>976369</v>
      </c>
      <c r="E9" s="218">
        <v>61</v>
      </c>
      <c r="F9" s="972">
        <f t="shared" si="0"/>
        <v>16006.049180327869</v>
      </c>
      <c r="G9" s="973">
        <v>61</v>
      </c>
      <c r="H9" s="973">
        <f t="shared" si="1"/>
        <v>122</v>
      </c>
      <c r="I9" s="974">
        <f t="shared" si="2"/>
        <v>8003.0245901639346</v>
      </c>
    </row>
    <row r="10" spans="1:15">
      <c r="A10" s="975"/>
      <c r="B10" s="975" t="s">
        <v>952</v>
      </c>
      <c r="C10" s="976">
        <f>SUM(C2:C9)</f>
        <v>6449413</v>
      </c>
      <c r="D10" s="976">
        <f>SUM(D2:D9)</f>
        <v>10824794</v>
      </c>
      <c r="E10" s="976">
        <f>SUM(E2:E9)</f>
        <v>625</v>
      </c>
      <c r="F10" s="977">
        <f>+D10/E10</f>
        <v>17319.670399999999</v>
      </c>
      <c r="G10" s="978">
        <f>SUM(G2:G9)</f>
        <v>731</v>
      </c>
      <c r="H10" s="979">
        <f>SUM(H2:H9)</f>
        <v>1356</v>
      </c>
      <c r="I10" s="980">
        <f>+D10/H10</f>
        <v>7982.8864306784662</v>
      </c>
    </row>
    <row r="13" spans="1:15" ht="56.25">
      <c r="D13" s="218"/>
      <c r="E13" s="218"/>
      <c r="F13" s="557" t="s">
        <v>953</v>
      </c>
      <c r="G13" s="557"/>
      <c r="H13" s="981"/>
      <c r="I13" s="218"/>
    </row>
    <row r="14" spans="1:15">
      <c r="A14" s="982" t="s">
        <v>954</v>
      </c>
      <c r="B14" s="983">
        <v>147557</v>
      </c>
      <c r="C14" s="914" t="s">
        <v>17</v>
      </c>
      <c r="D14" s="984">
        <f t="shared" ref="D14:D21" si="3">F2</f>
        <v>10952.622807017544</v>
      </c>
      <c r="E14" s="984"/>
      <c r="F14" s="984">
        <f>+D14*434/B14</f>
        <v>32.214251429926158</v>
      </c>
      <c r="G14" s="218"/>
      <c r="H14" s="218"/>
      <c r="I14" s="218"/>
    </row>
    <row r="15" spans="1:15">
      <c r="A15" s="982" t="s">
        <v>451</v>
      </c>
      <c r="B15" s="983">
        <v>147557</v>
      </c>
      <c r="C15" s="914" t="s">
        <v>18</v>
      </c>
      <c r="D15" s="984">
        <f t="shared" si="3"/>
        <v>17853.83116883117</v>
      </c>
      <c r="E15" s="984"/>
      <c r="F15" s="984">
        <f t="shared" ref="F15:F21" si="4">+D15*434/B15</f>
        <v>52.512335756844664</v>
      </c>
      <c r="G15" s="218"/>
      <c r="H15" s="218"/>
      <c r="I15" s="218"/>
    </row>
    <row r="16" spans="1:15">
      <c r="B16" s="983">
        <v>147557</v>
      </c>
      <c r="C16" s="914" t="s">
        <v>19</v>
      </c>
      <c r="D16" s="984">
        <f t="shared" si="3"/>
        <v>21092.278195488721</v>
      </c>
      <c r="E16" s="984"/>
      <c r="F16" s="984">
        <f t="shared" si="4"/>
        <v>62.037373603706399</v>
      </c>
      <c r="G16" s="218"/>
      <c r="H16" s="218"/>
      <c r="I16" s="218"/>
    </row>
    <row r="17" spans="1:9">
      <c r="B17" s="983">
        <v>147557</v>
      </c>
      <c r="C17" s="914" t="s">
        <v>23</v>
      </c>
      <c r="D17" s="984">
        <f t="shared" si="3"/>
        <v>20814.814814814814</v>
      </c>
      <c r="E17" s="984"/>
      <c r="F17" s="984">
        <f t="shared" si="4"/>
        <v>61.221288245421285</v>
      </c>
      <c r="G17" s="218"/>
      <c r="H17" s="218"/>
      <c r="I17" s="218"/>
    </row>
    <row r="18" spans="1:9">
      <c r="B18" s="983">
        <v>147557</v>
      </c>
      <c r="C18" s="914" t="s">
        <v>20</v>
      </c>
      <c r="D18" s="984">
        <f t="shared" si="3"/>
        <v>29328.48717948718</v>
      </c>
      <c r="E18" s="984"/>
      <c r="F18" s="984">
        <f t="shared" si="4"/>
        <v>86.262010178422145</v>
      </c>
      <c r="G18" s="218"/>
      <c r="H18" s="985"/>
      <c r="I18" s="218"/>
    </row>
    <row r="19" spans="1:9">
      <c r="B19" s="983">
        <v>147557</v>
      </c>
      <c r="C19" s="914" t="s">
        <v>21</v>
      </c>
      <c r="D19" s="984">
        <f t="shared" si="3"/>
        <v>17702.974999999999</v>
      </c>
      <c r="E19" s="984"/>
      <c r="F19" s="984">
        <f t="shared" si="4"/>
        <v>52.068632121824102</v>
      </c>
      <c r="G19" s="218"/>
      <c r="H19" s="218"/>
      <c r="I19" s="218"/>
    </row>
    <row r="20" spans="1:9">
      <c r="B20" s="983">
        <v>147557</v>
      </c>
      <c r="C20" s="914" t="s">
        <v>22</v>
      </c>
      <c r="D20" s="984">
        <f t="shared" si="3"/>
        <v>13805.946808510638</v>
      </c>
      <c r="E20" s="984"/>
      <c r="F20" s="984">
        <f t="shared" si="4"/>
        <v>40.606551467525207</v>
      </c>
      <c r="G20" s="218"/>
      <c r="H20" s="218"/>
      <c r="I20" s="218"/>
    </row>
    <row r="21" spans="1:9">
      <c r="B21" s="983">
        <v>147557</v>
      </c>
      <c r="C21" s="914" t="s">
        <v>24</v>
      </c>
      <c r="D21" s="984">
        <f t="shared" si="3"/>
        <v>16006.049180327869</v>
      </c>
      <c r="E21" s="984"/>
      <c r="F21" s="984">
        <f t="shared" si="4"/>
        <v>47.077572356867485</v>
      </c>
      <c r="G21" s="218"/>
      <c r="H21" s="218"/>
      <c r="I21" s="218"/>
    </row>
    <row r="22" spans="1:9">
      <c r="D22" s="986">
        <f>SUM(D14:D21)</f>
        <v>147557.00515447793</v>
      </c>
      <c r="F22" s="987">
        <f>SUM(F14:F21)</f>
        <v>434.00001516053743</v>
      </c>
    </row>
    <row r="25" spans="1:9" ht="56.25">
      <c r="D25" s="218"/>
      <c r="E25" s="218"/>
      <c r="F25" s="557" t="s">
        <v>955</v>
      </c>
      <c r="G25" s="557"/>
      <c r="H25" s="981"/>
      <c r="I25" s="218"/>
    </row>
    <row r="26" spans="1:9">
      <c r="A26" s="982" t="s">
        <v>954</v>
      </c>
      <c r="B26" s="983">
        <v>62391</v>
      </c>
      <c r="C26" s="914" t="s">
        <v>17</v>
      </c>
      <c r="D26" s="984">
        <f t="shared" ref="D26:D33" si="5">I2</f>
        <v>5701.3652968036531</v>
      </c>
      <c r="E26" s="984"/>
      <c r="F26" s="984">
        <f>+D26*434/62391</f>
        <v>39.659446696042465</v>
      </c>
      <c r="G26" s="218"/>
      <c r="H26" s="218"/>
      <c r="I26" s="218"/>
    </row>
    <row r="27" spans="1:9">
      <c r="A27" s="982" t="s">
        <v>956</v>
      </c>
      <c r="B27" s="983">
        <v>62391</v>
      </c>
      <c r="C27" s="914" t="s">
        <v>18</v>
      </c>
      <c r="D27" s="984">
        <f t="shared" si="5"/>
        <v>7049.9743589743593</v>
      </c>
      <c r="E27" s="984"/>
      <c r="F27" s="984">
        <f t="shared" ref="F27:F33" si="6">+D27*434/62391</f>
        <v>49.040548665590741</v>
      </c>
      <c r="G27" s="218"/>
      <c r="H27" s="218"/>
      <c r="I27" s="218"/>
    </row>
    <row r="28" spans="1:9">
      <c r="B28" s="983">
        <v>62391</v>
      </c>
      <c r="C28" s="914" t="s">
        <v>19</v>
      </c>
      <c r="D28" s="984">
        <f t="shared" si="5"/>
        <v>11176.386454183266</v>
      </c>
      <c r="E28" s="984"/>
      <c r="F28" s="984">
        <f t="shared" si="6"/>
        <v>77.744413795507967</v>
      </c>
      <c r="G28" s="218"/>
      <c r="H28" s="218"/>
      <c r="I28" s="218"/>
    </row>
    <row r="29" spans="1:9">
      <c r="B29" s="983">
        <v>62391</v>
      </c>
      <c r="C29" s="914" t="s">
        <v>23</v>
      </c>
      <c r="D29" s="984">
        <f t="shared" si="5"/>
        <v>6043.010752688172</v>
      </c>
      <c r="E29" s="984"/>
      <c r="F29" s="984">
        <f t="shared" si="6"/>
        <v>42.035977411271922</v>
      </c>
      <c r="G29" s="218"/>
      <c r="H29" s="218"/>
      <c r="I29" s="218"/>
    </row>
    <row r="30" spans="1:9">
      <c r="B30" s="983">
        <v>62391</v>
      </c>
      <c r="C30" s="914" t="s">
        <v>20</v>
      </c>
      <c r="D30" s="984">
        <f t="shared" si="5"/>
        <v>8600.0827067669179</v>
      </c>
      <c r="E30" s="984"/>
      <c r="F30" s="984">
        <f t="shared" si="6"/>
        <v>59.823306161735545</v>
      </c>
      <c r="G30" s="218"/>
      <c r="H30" s="218"/>
      <c r="I30" s="218"/>
    </row>
    <row r="31" spans="1:9">
      <c r="B31" s="983">
        <v>62391</v>
      </c>
      <c r="C31" s="914" t="s">
        <v>21</v>
      </c>
      <c r="D31" s="984">
        <f t="shared" si="5"/>
        <v>8092.7885714285712</v>
      </c>
      <c r="E31" s="984"/>
      <c r="F31" s="984">
        <f t="shared" si="6"/>
        <v>56.294501450529722</v>
      </c>
      <c r="G31" s="218"/>
      <c r="H31" s="218"/>
      <c r="I31" s="218"/>
    </row>
    <row r="32" spans="1:9">
      <c r="B32" s="983">
        <v>62391</v>
      </c>
      <c r="C32" s="914" t="s">
        <v>22</v>
      </c>
      <c r="D32" s="984">
        <f t="shared" si="5"/>
        <v>7724.7559523809523</v>
      </c>
      <c r="E32" s="984"/>
      <c r="F32" s="984">
        <f t="shared" si="6"/>
        <v>53.73441815860194</v>
      </c>
      <c r="G32" s="218"/>
      <c r="H32" s="218"/>
      <c r="I32" s="218"/>
    </row>
    <row r="33" spans="2:9">
      <c r="B33" s="983">
        <v>62391</v>
      </c>
      <c r="C33" s="914" t="s">
        <v>24</v>
      </c>
      <c r="D33" s="984">
        <f t="shared" si="5"/>
        <v>8003.0245901639346</v>
      </c>
      <c r="E33" s="984"/>
      <c r="F33" s="984">
        <f t="shared" si="6"/>
        <v>55.670091393488605</v>
      </c>
      <c r="G33" s="218"/>
      <c r="H33" s="218"/>
      <c r="I33" s="218"/>
    </row>
    <row r="34" spans="2:9">
      <c r="D34" s="986">
        <f>SUM(D26:D33)</f>
        <v>62391.388683389836</v>
      </c>
      <c r="F34" s="987">
        <f>SUM(F26:F33)</f>
        <v>434.00270373276885</v>
      </c>
      <c r="G34" s="218"/>
      <c r="H34" s="218"/>
      <c r="I34" s="2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7"/>
  <sheetViews>
    <sheetView topLeftCell="A31" workbookViewId="0">
      <selection activeCell="A39" sqref="A39"/>
    </sheetView>
  </sheetViews>
  <sheetFormatPr defaultColWidth="7" defaultRowHeight="18.75"/>
  <cols>
    <col min="1" max="1" width="10.375" style="141" customWidth="1"/>
    <col min="2" max="2" width="10.375" style="769" customWidth="1"/>
    <col min="3" max="3" width="27.625" style="141" customWidth="1"/>
    <col min="4" max="4" width="19.5" style="770" customWidth="1"/>
    <col min="5" max="5" width="12.625" style="770" customWidth="1"/>
    <col min="6" max="6" width="9.875" style="762" customWidth="1"/>
    <col min="7" max="7" width="11.625" style="762" customWidth="1"/>
    <col min="8" max="8" width="20.125" style="762" customWidth="1"/>
    <col min="9" max="9" width="10.5" style="762" customWidth="1"/>
    <col min="10" max="10" width="9.625" style="762" bestFit="1" customWidth="1"/>
    <col min="11" max="11" width="8.25" style="762" bestFit="1" customWidth="1"/>
    <col min="12" max="12" width="10.5" style="771" bestFit="1" customWidth="1"/>
    <col min="13" max="13" width="10.625" style="769" customWidth="1"/>
    <col min="14" max="14" width="6.125" style="769" customWidth="1"/>
    <col min="15" max="15" width="7.375" style="769" customWidth="1"/>
    <col min="16" max="16" width="6.75" style="769" bestFit="1" customWidth="1"/>
    <col min="17" max="17" width="5" style="769" bestFit="1" customWidth="1"/>
    <col min="18" max="18" width="10.625" style="769" bestFit="1" customWidth="1"/>
    <col min="19" max="19" width="10.625" style="769" customWidth="1"/>
    <col min="20" max="20" width="10.625" style="769" bestFit="1" customWidth="1"/>
    <col min="21" max="21" width="14.375" style="772" customWidth="1"/>
    <col min="22" max="22" width="13.375" style="772" customWidth="1"/>
    <col min="23" max="23" width="11.875" style="772" customWidth="1"/>
    <col min="24" max="24" width="14.25" style="772" customWidth="1"/>
    <col min="25" max="25" width="6" style="141" bestFit="1" customWidth="1"/>
    <col min="26" max="256" width="7" style="141"/>
    <col min="257" max="257" width="4" style="141" bestFit="1" customWidth="1"/>
    <col min="258" max="258" width="5" style="141" customWidth="1"/>
    <col min="259" max="259" width="27.625" style="141" customWidth="1"/>
    <col min="260" max="260" width="7.75" style="141" bestFit="1" customWidth="1"/>
    <col min="261" max="261" width="9.375" style="141" customWidth="1"/>
    <col min="262" max="262" width="7.125" style="141" customWidth="1"/>
    <col min="263" max="268" width="9.375" style="141" customWidth="1"/>
    <col min="269" max="269" width="10.375" style="141" bestFit="1" customWidth="1"/>
    <col min="270" max="270" width="6.125" style="141" customWidth="1"/>
    <col min="271" max="271" width="7.375" style="141" customWidth="1"/>
    <col min="272" max="272" width="6.75" style="141" bestFit="1" customWidth="1"/>
    <col min="273" max="273" width="5" style="141" bestFit="1" customWidth="1"/>
    <col min="274" max="274" width="10.625" style="141" bestFit="1" customWidth="1"/>
    <col min="275" max="275" width="10.625" style="141" customWidth="1"/>
    <col min="276" max="276" width="10.625" style="141" bestFit="1" customWidth="1"/>
    <col min="277" max="277" width="14.375" style="141" customWidth="1"/>
    <col min="278" max="278" width="13.375" style="141" customWidth="1"/>
    <col min="279" max="279" width="11.875" style="141" customWidth="1"/>
    <col min="280" max="280" width="14.25" style="141" customWidth="1"/>
    <col min="281" max="281" width="6" style="141" bestFit="1" customWidth="1"/>
    <col min="282" max="512" width="7" style="141"/>
    <col min="513" max="513" width="4" style="141" bestFit="1" customWidth="1"/>
    <col min="514" max="514" width="5" style="141" customWidth="1"/>
    <col min="515" max="515" width="27.625" style="141" customWidth="1"/>
    <col min="516" max="516" width="7.75" style="141" bestFit="1" customWidth="1"/>
    <col min="517" max="517" width="9.375" style="141" customWidth="1"/>
    <col min="518" max="518" width="7.125" style="141" customWidth="1"/>
    <col min="519" max="524" width="9.375" style="141" customWidth="1"/>
    <col min="525" max="525" width="10.375" style="141" bestFit="1" customWidth="1"/>
    <col min="526" max="526" width="6.125" style="141" customWidth="1"/>
    <col min="527" max="527" width="7.375" style="141" customWidth="1"/>
    <col min="528" max="528" width="6.75" style="141" bestFit="1" customWidth="1"/>
    <col min="529" max="529" width="5" style="141" bestFit="1" customWidth="1"/>
    <col min="530" max="530" width="10.625" style="141" bestFit="1" customWidth="1"/>
    <col min="531" max="531" width="10.625" style="141" customWidth="1"/>
    <col min="532" max="532" width="10.625" style="141" bestFit="1" customWidth="1"/>
    <col min="533" max="533" width="14.375" style="141" customWidth="1"/>
    <col min="534" max="534" width="13.375" style="141" customWidth="1"/>
    <col min="535" max="535" width="11.875" style="141" customWidth="1"/>
    <col min="536" max="536" width="14.25" style="141" customWidth="1"/>
    <col min="537" max="537" width="6" style="141" bestFit="1" customWidth="1"/>
    <col min="538" max="768" width="7" style="141"/>
    <col min="769" max="769" width="4" style="141" bestFit="1" customWidth="1"/>
    <col min="770" max="770" width="5" style="141" customWidth="1"/>
    <col min="771" max="771" width="27.625" style="141" customWidth="1"/>
    <col min="772" max="772" width="7.75" style="141" bestFit="1" customWidth="1"/>
    <col min="773" max="773" width="9.375" style="141" customWidth="1"/>
    <col min="774" max="774" width="7.125" style="141" customWidth="1"/>
    <col min="775" max="780" width="9.375" style="141" customWidth="1"/>
    <col min="781" max="781" width="10.375" style="141" bestFit="1" customWidth="1"/>
    <col min="782" max="782" width="6.125" style="141" customWidth="1"/>
    <col min="783" max="783" width="7.375" style="141" customWidth="1"/>
    <col min="784" max="784" width="6.75" style="141" bestFit="1" customWidth="1"/>
    <col min="785" max="785" width="5" style="141" bestFit="1" customWidth="1"/>
    <col min="786" max="786" width="10.625" style="141" bestFit="1" customWidth="1"/>
    <col min="787" max="787" width="10.625" style="141" customWidth="1"/>
    <col min="788" max="788" width="10.625" style="141" bestFit="1" customWidth="1"/>
    <col min="789" max="789" width="14.375" style="141" customWidth="1"/>
    <col min="790" max="790" width="13.375" style="141" customWidth="1"/>
    <col min="791" max="791" width="11.875" style="141" customWidth="1"/>
    <col min="792" max="792" width="14.25" style="141" customWidth="1"/>
    <col min="793" max="793" width="6" style="141" bestFit="1" customWidth="1"/>
    <col min="794" max="1024" width="7" style="141"/>
    <col min="1025" max="1025" width="4" style="141" bestFit="1" customWidth="1"/>
    <col min="1026" max="1026" width="5" style="141" customWidth="1"/>
    <col min="1027" max="1027" width="27.625" style="141" customWidth="1"/>
    <col min="1028" max="1028" width="7.75" style="141" bestFit="1" customWidth="1"/>
    <col min="1029" max="1029" width="9.375" style="141" customWidth="1"/>
    <col min="1030" max="1030" width="7.125" style="141" customWidth="1"/>
    <col min="1031" max="1036" width="9.375" style="141" customWidth="1"/>
    <col min="1037" max="1037" width="10.375" style="141" bestFit="1" customWidth="1"/>
    <col min="1038" max="1038" width="6.125" style="141" customWidth="1"/>
    <col min="1039" max="1039" width="7.375" style="141" customWidth="1"/>
    <col min="1040" max="1040" width="6.75" style="141" bestFit="1" customWidth="1"/>
    <col min="1041" max="1041" width="5" style="141" bestFit="1" customWidth="1"/>
    <col min="1042" max="1042" width="10.625" style="141" bestFit="1" customWidth="1"/>
    <col min="1043" max="1043" width="10.625" style="141" customWidth="1"/>
    <col min="1044" max="1044" width="10.625" style="141" bestFit="1" customWidth="1"/>
    <col min="1045" max="1045" width="14.375" style="141" customWidth="1"/>
    <col min="1046" max="1046" width="13.375" style="141" customWidth="1"/>
    <col min="1047" max="1047" width="11.875" style="141" customWidth="1"/>
    <col min="1048" max="1048" width="14.25" style="141" customWidth="1"/>
    <col min="1049" max="1049" width="6" style="141" bestFit="1" customWidth="1"/>
    <col min="1050" max="1280" width="7" style="141"/>
    <col min="1281" max="1281" width="4" style="141" bestFit="1" customWidth="1"/>
    <col min="1282" max="1282" width="5" style="141" customWidth="1"/>
    <col min="1283" max="1283" width="27.625" style="141" customWidth="1"/>
    <col min="1284" max="1284" width="7.75" style="141" bestFit="1" customWidth="1"/>
    <col min="1285" max="1285" width="9.375" style="141" customWidth="1"/>
    <col min="1286" max="1286" width="7.125" style="141" customWidth="1"/>
    <col min="1287" max="1292" width="9.375" style="141" customWidth="1"/>
    <col min="1293" max="1293" width="10.375" style="141" bestFit="1" customWidth="1"/>
    <col min="1294" max="1294" width="6.125" style="141" customWidth="1"/>
    <col min="1295" max="1295" width="7.375" style="141" customWidth="1"/>
    <col min="1296" max="1296" width="6.75" style="141" bestFit="1" customWidth="1"/>
    <col min="1297" max="1297" width="5" style="141" bestFit="1" customWidth="1"/>
    <col min="1298" max="1298" width="10.625" style="141" bestFit="1" customWidth="1"/>
    <col min="1299" max="1299" width="10.625" style="141" customWidth="1"/>
    <col min="1300" max="1300" width="10.625" style="141" bestFit="1" customWidth="1"/>
    <col min="1301" max="1301" width="14.375" style="141" customWidth="1"/>
    <col min="1302" max="1302" width="13.375" style="141" customWidth="1"/>
    <col min="1303" max="1303" width="11.875" style="141" customWidth="1"/>
    <col min="1304" max="1304" width="14.25" style="141" customWidth="1"/>
    <col min="1305" max="1305" width="6" style="141" bestFit="1" customWidth="1"/>
    <col min="1306" max="1536" width="7" style="141"/>
    <col min="1537" max="1537" width="4" style="141" bestFit="1" customWidth="1"/>
    <col min="1538" max="1538" width="5" style="141" customWidth="1"/>
    <col min="1539" max="1539" width="27.625" style="141" customWidth="1"/>
    <col min="1540" max="1540" width="7.75" style="141" bestFit="1" customWidth="1"/>
    <col min="1541" max="1541" width="9.375" style="141" customWidth="1"/>
    <col min="1542" max="1542" width="7.125" style="141" customWidth="1"/>
    <col min="1543" max="1548" width="9.375" style="141" customWidth="1"/>
    <col min="1549" max="1549" width="10.375" style="141" bestFit="1" customWidth="1"/>
    <col min="1550" max="1550" width="6.125" style="141" customWidth="1"/>
    <col min="1551" max="1551" width="7.375" style="141" customWidth="1"/>
    <col min="1552" max="1552" width="6.75" style="141" bestFit="1" customWidth="1"/>
    <col min="1553" max="1553" width="5" style="141" bestFit="1" customWidth="1"/>
    <col min="1554" max="1554" width="10.625" style="141" bestFit="1" customWidth="1"/>
    <col min="1555" max="1555" width="10.625" style="141" customWidth="1"/>
    <col min="1556" max="1556" width="10.625" style="141" bestFit="1" customWidth="1"/>
    <col min="1557" max="1557" width="14.375" style="141" customWidth="1"/>
    <col min="1558" max="1558" width="13.375" style="141" customWidth="1"/>
    <col min="1559" max="1559" width="11.875" style="141" customWidth="1"/>
    <col min="1560" max="1560" width="14.25" style="141" customWidth="1"/>
    <col min="1561" max="1561" width="6" style="141" bestFit="1" customWidth="1"/>
    <col min="1562" max="1792" width="7" style="141"/>
    <col min="1793" max="1793" width="4" style="141" bestFit="1" customWidth="1"/>
    <col min="1794" max="1794" width="5" style="141" customWidth="1"/>
    <col min="1795" max="1795" width="27.625" style="141" customWidth="1"/>
    <col min="1796" max="1796" width="7.75" style="141" bestFit="1" customWidth="1"/>
    <col min="1797" max="1797" width="9.375" style="141" customWidth="1"/>
    <col min="1798" max="1798" width="7.125" style="141" customWidth="1"/>
    <col min="1799" max="1804" width="9.375" style="141" customWidth="1"/>
    <col min="1805" max="1805" width="10.375" style="141" bestFit="1" customWidth="1"/>
    <col min="1806" max="1806" width="6.125" style="141" customWidth="1"/>
    <col min="1807" max="1807" width="7.375" style="141" customWidth="1"/>
    <col min="1808" max="1808" width="6.75" style="141" bestFit="1" customWidth="1"/>
    <col min="1809" max="1809" width="5" style="141" bestFit="1" customWidth="1"/>
    <col min="1810" max="1810" width="10.625" style="141" bestFit="1" customWidth="1"/>
    <col min="1811" max="1811" width="10.625" style="141" customWidth="1"/>
    <col min="1812" max="1812" width="10.625" style="141" bestFit="1" customWidth="1"/>
    <col min="1813" max="1813" width="14.375" style="141" customWidth="1"/>
    <col min="1814" max="1814" width="13.375" style="141" customWidth="1"/>
    <col min="1815" max="1815" width="11.875" style="141" customWidth="1"/>
    <col min="1816" max="1816" width="14.25" style="141" customWidth="1"/>
    <col min="1817" max="1817" width="6" style="141" bestFit="1" customWidth="1"/>
    <col min="1818" max="2048" width="7" style="141"/>
    <col min="2049" max="2049" width="4" style="141" bestFit="1" customWidth="1"/>
    <col min="2050" max="2050" width="5" style="141" customWidth="1"/>
    <col min="2051" max="2051" width="27.625" style="141" customWidth="1"/>
    <col min="2052" max="2052" width="7.75" style="141" bestFit="1" customWidth="1"/>
    <col min="2053" max="2053" width="9.375" style="141" customWidth="1"/>
    <col min="2054" max="2054" width="7.125" style="141" customWidth="1"/>
    <col min="2055" max="2060" width="9.375" style="141" customWidth="1"/>
    <col min="2061" max="2061" width="10.375" style="141" bestFit="1" customWidth="1"/>
    <col min="2062" max="2062" width="6.125" style="141" customWidth="1"/>
    <col min="2063" max="2063" width="7.375" style="141" customWidth="1"/>
    <col min="2064" max="2064" width="6.75" style="141" bestFit="1" customWidth="1"/>
    <col min="2065" max="2065" width="5" style="141" bestFit="1" customWidth="1"/>
    <col min="2066" max="2066" width="10.625" style="141" bestFit="1" customWidth="1"/>
    <col min="2067" max="2067" width="10.625" style="141" customWidth="1"/>
    <col min="2068" max="2068" width="10.625" style="141" bestFit="1" customWidth="1"/>
    <col min="2069" max="2069" width="14.375" style="141" customWidth="1"/>
    <col min="2070" max="2070" width="13.375" style="141" customWidth="1"/>
    <col min="2071" max="2071" width="11.875" style="141" customWidth="1"/>
    <col min="2072" max="2072" width="14.25" style="141" customWidth="1"/>
    <col min="2073" max="2073" width="6" style="141" bestFit="1" customWidth="1"/>
    <col min="2074" max="2304" width="7" style="141"/>
    <col min="2305" max="2305" width="4" style="141" bestFit="1" customWidth="1"/>
    <col min="2306" max="2306" width="5" style="141" customWidth="1"/>
    <col min="2307" max="2307" width="27.625" style="141" customWidth="1"/>
    <col min="2308" max="2308" width="7.75" style="141" bestFit="1" customWidth="1"/>
    <col min="2309" max="2309" width="9.375" style="141" customWidth="1"/>
    <col min="2310" max="2310" width="7.125" style="141" customWidth="1"/>
    <col min="2311" max="2316" width="9.375" style="141" customWidth="1"/>
    <col min="2317" max="2317" width="10.375" style="141" bestFit="1" customWidth="1"/>
    <col min="2318" max="2318" width="6.125" style="141" customWidth="1"/>
    <col min="2319" max="2319" width="7.375" style="141" customWidth="1"/>
    <col min="2320" max="2320" width="6.75" style="141" bestFit="1" customWidth="1"/>
    <col min="2321" max="2321" width="5" style="141" bestFit="1" customWidth="1"/>
    <col min="2322" max="2322" width="10.625" style="141" bestFit="1" customWidth="1"/>
    <col min="2323" max="2323" width="10.625" style="141" customWidth="1"/>
    <col min="2324" max="2324" width="10.625" style="141" bestFit="1" customWidth="1"/>
    <col min="2325" max="2325" width="14.375" style="141" customWidth="1"/>
    <col min="2326" max="2326" width="13.375" style="141" customWidth="1"/>
    <col min="2327" max="2327" width="11.875" style="141" customWidth="1"/>
    <col min="2328" max="2328" width="14.25" style="141" customWidth="1"/>
    <col min="2329" max="2329" width="6" style="141" bestFit="1" customWidth="1"/>
    <col min="2330" max="2560" width="7" style="141"/>
    <col min="2561" max="2561" width="4" style="141" bestFit="1" customWidth="1"/>
    <col min="2562" max="2562" width="5" style="141" customWidth="1"/>
    <col min="2563" max="2563" width="27.625" style="141" customWidth="1"/>
    <col min="2564" max="2564" width="7.75" style="141" bestFit="1" customWidth="1"/>
    <col min="2565" max="2565" width="9.375" style="141" customWidth="1"/>
    <col min="2566" max="2566" width="7.125" style="141" customWidth="1"/>
    <col min="2567" max="2572" width="9.375" style="141" customWidth="1"/>
    <col min="2573" max="2573" width="10.375" style="141" bestFit="1" customWidth="1"/>
    <col min="2574" max="2574" width="6.125" style="141" customWidth="1"/>
    <col min="2575" max="2575" width="7.375" style="141" customWidth="1"/>
    <col min="2576" max="2576" width="6.75" style="141" bestFit="1" customWidth="1"/>
    <col min="2577" max="2577" width="5" style="141" bestFit="1" customWidth="1"/>
    <col min="2578" max="2578" width="10.625" style="141" bestFit="1" customWidth="1"/>
    <col min="2579" max="2579" width="10.625" style="141" customWidth="1"/>
    <col min="2580" max="2580" width="10.625" style="141" bestFit="1" customWidth="1"/>
    <col min="2581" max="2581" width="14.375" style="141" customWidth="1"/>
    <col min="2582" max="2582" width="13.375" style="141" customWidth="1"/>
    <col min="2583" max="2583" width="11.875" style="141" customWidth="1"/>
    <col min="2584" max="2584" width="14.25" style="141" customWidth="1"/>
    <col min="2585" max="2585" width="6" style="141" bestFit="1" customWidth="1"/>
    <col min="2586" max="2816" width="7" style="141"/>
    <col min="2817" max="2817" width="4" style="141" bestFit="1" customWidth="1"/>
    <col min="2818" max="2818" width="5" style="141" customWidth="1"/>
    <col min="2819" max="2819" width="27.625" style="141" customWidth="1"/>
    <col min="2820" max="2820" width="7.75" style="141" bestFit="1" customWidth="1"/>
    <col min="2821" max="2821" width="9.375" style="141" customWidth="1"/>
    <col min="2822" max="2822" width="7.125" style="141" customWidth="1"/>
    <col min="2823" max="2828" width="9.375" style="141" customWidth="1"/>
    <col min="2829" max="2829" width="10.375" style="141" bestFit="1" customWidth="1"/>
    <col min="2830" max="2830" width="6.125" style="141" customWidth="1"/>
    <col min="2831" max="2831" width="7.375" style="141" customWidth="1"/>
    <col min="2832" max="2832" width="6.75" style="141" bestFit="1" customWidth="1"/>
    <col min="2833" max="2833" width="5" style="141" bestFit="1" customWidth="1"/>
    <col min="2834" max="2834" width="10.625" style="141" bestFit="1" customWidth="1"/>
    <col min="2835" max="2835" width="10.625" style="141" customWidth="1"/>
    <col min="2836" max="2836" width="10.625" style="141" bestFit="1" customWidth="1"/>
    <col min="2837" max="2837" width="14.375" style="141" customWidth="1"/>
    <col min="2838" max="2838" width="13.375" style="141" customWidth="1"/>
    <col min="2839" max="2839" width="11.875" style="141" customWidth="1"/>
    <col min="2840" max="2840" width="14.25" style="141" customWidth="1"/>
    <col min="2841" max="2841" width="6" style="141" bestFit="1" customWidth="1"/>
    <col min="2842" max="3072" width="7" style="141"/>
    <col min="3073" max="3073" width="4" style="141" bestFit="1" customWidth="1"/>
    <col min="3074" max="3074" width="5" style="141" customWidth="1"/>
    <col min="3075" max="3075" width="27.625" style="141" customWidth="1"/>
    <col min="3076" max="3076" width="7.75" style="141" bestFit="1" customWidth="1"/>
    <col min="3077" max="3077" width="9.375" style="141" customWidth="1"/>
    <col min="3078" max="3078" width="7.125" style="141" customWidth="1"/>
    <col min="3079" max="3084" width="9.375" style="141" customWidth="1"/>
    <col min="3085" max="3085" width="10.375" style="141" bestFit="1" customWidth="1"/>
    <col min="3086" max="3086" width="6.125" style="141" customWidth="1"/>
    <col min="3087" max="3087" width="7.375" style="141" customWidth="1"/>
    <col min="3088" max="3088" width="6.75" style="141" bestFit="1" customWidth="1"/>
    <col min="3089" max="3089" width="5" style="141" bestFit="1" customWidth="1"/>
    <col min="3090" max="3090" width="10.625" style="141" bestFit="1" customWidth="1"/>
    <col min="3091" max="3091" width="10.625" style="141" customWidth="1"/>
    <col min="3092" max="3092" width="10.625" style="141" bestFit="1" customWidth="1"/>
    <col min="3093" max="3093" width="14.375" style="141" customWidth="1"/>
    <col min="3094" max="3094" width="13.375" style="141" customWidth="1"/>
    <col min="3095" max="3095" width="11.875" style="141" customWidth="1"/>
    <col min="3096" max="3096" width="14.25" style="141" customWidth="1"/>
    <col min="3097" max="3097" width="6" style="141" bestFit="1" customWidth="1"/>
    <col min="3098" max="3328" width="7" style="141"/>
    <col min="3329" max="3329" width="4" style="141" bestFit="1" customWidth="1"/>
    <col min="3330" max="3330" width="5" style="141" customWidth="1"/>
    <col min="3331" max="3331" width="27.625" style="141" customWidth="1"/>
    <col min="3332" max="3332" width="7.75" style="141" bestFit="1" customWidth="1"/>
    <col min="3333" max="3333" width="9.375" style="141" customWidth="1"/>
    <col min="3334" max="3334" width="7.125" style="141" customWidth="1"/>
    <col min="3335" max="3340" width="9.375" style="141" customWidth="1"/>
    <col min="3341" max="3341" width="10.375" style="141" bestFit="1" customWidth="1"/>
    <col min="3342" max="3342" width="6.125" style="141" customWidth="1"/>
    <col min="3343" max="3343" width="7.375" style="141" customWidth="1"/>
    <col min="3344" max="3344" width="6.75" style="141" bestFit="1" customWidth="1"/>
    <col min="3345" max="3345" width="5" style="141" bestFit="1" customWidth="1"/>
    <col min="3346" max="3346" width="10.625" style="141" bestFit="1" customWidth="1"/>
    <col min="3347" max="3347" width="10.625" style="141" customWidth="1"/>
    <col min="3348" max="3348" width="10.625" style="141" bestFit="1" customWidth="1"/>
    <col min="3349" max="3349" width="14.375" style="141" customWidth="1"/>
    <col min="3350" max="3350" width="13.375" style="141" customWidth="1"/>
    <col min="3351" max="3351" width="11.875" style="141" customWidth="1"/>
    <col min="3352" max="3352" width="14.25" style="141" customWidth="1"/>
    <col min="3353" max="3353" width="6" style="141" bestFit="1" customWidth="1"/>
    <col min="3354" max="3584" width="7" style="141"/>
    <col min="3585" max="3585" width="4" style="141" bestFit="1" customWidth="1"/>
    <col min="3586" max="3586" width="5" style="141" customWidth="1"/>
    <col min="3587" max="3587" width="27.625" style="141" customWidth="1"/>
    <col min="3588" max="3588" width="7.75" style="141" bestFit="1" customWidth="1"/>
    <col min="3589" max="3589" width="9.375" style="141" customWidth="1"/>
    <col min="3590" max="3590" width="7.125" style="141" customWidth="1"/>
    <col min="3591" max="3596" width="9.375" style="141" customWidth="1"/>
    <col min="3597" max="3597" width="10.375" style="141" bestFit="1" customWidth="1"/>
    <col min="3598" max="3598" width="6.125" style="141" customWidth="1"/>
    <col min="3599" max="3599" width="7.375" style="141" customWidth="1"/>
    <col min="3600" max="3600" width="6.75" style="141" bestFit="1" customWidth="1"/>
    <col min="3601" max="3601" width="5" style="141" bestFit="1" customWidth="1"/>
    <col min="3602" max="3602" width="10.625" style="141" bestFit="1" customWidth="1"/>
    <col min="3603" max="3603" width="10.625" style="141" customWidth="1"/>
    <col min="3604" max="3604" width="10.625" style="141" bestFit="1" customWidth="1"/>
    <col min="3605" max="3605" width="14.375" style="141" customWidth="1"/>
    <col min="3606" max="3606" width="13.375" style="141" customWidth="1"/>
    <col min="3607" max="3607" width="11.875" style="141" customWidth="1"/>
    <col min="3608" max="3608" width="14.25" style="141" customWidth="1"/>
    <col min="3609" max="3609" width="6" style="141" bestFit="1" customWidth="1"/>
    <col min="3610" max="3840" width="7" style="141"/>
    <col min="3841" max="3841" width="4" style="141" bestFit="1" customWidth="1"/>
    <col min="3842" max="3842" width="5" style="141" customWidth="1"/>
    <col min="3843" max="3843" width="27.625" style="141" customWidth="1"/>
    <col min="3844" max="3844" width="7.75" style="141" bestFit="1" customWidth="1"/>
    <col min="3845" max="3845" width="9.375" style="141" customWidth="1"/>
    <col min="3846" max="3846" width="7.125" style="141" customWidth="1"/>
    <col min="3847" max="3852" width="9.375" style="141" customWidth="1"/>
    <col min="3853" max="3853" width="10.375" style="141" bestFit="1" customWidth="1"/>
    <col min="3854" max="3854" width="6.125" style="141" customWidth="1"/>
    <col min="3855" max="3855" width="7.375" style="141" customWidth="1"/>
    <col min="3856" max="3856" width="6.75" style="141" bestFit="1" customWidth="1"/>
    <col min="3857" max="3857" width="5" style="141" bestFit="1" customWidth="1"/>
    <col min="3858" max="3858" width="10.625" style="141" bestFit="1" customWidth="1"/>
    <col min="3859" max="3859" width="10.625" style="141" customWidth="1"/>
    <col min="3860" max="3860" width="10.625" style="141" bestFit="1" customWidth="1"/>
    <col min="3861" max="3861" width="14.375" style="141" customWidth="1"/>
    <col min="3862" max="3862" width="13.375" style="141" customWidth="1"/>
    <col min="3863" max="3863" width="11.875" style="141" customWidth="1"/>
    <col min="3864" max="3864" width="14.25" style="141" customWidth="1"/>
    <col min="3865" max="3865" width="6" style="141" bestFit="1" customWidth="1"/>
    <col min="3866" max="4096" width="7" style="141"/>
    <col min="4097" max="4097" width="4" style="141" bestFit="1" customWidth="1"/>
    <col min="4098" max="4098" width="5" style="141" customWidth="1"/>
    <col min="4099" max="4099" width="27.625" style="141" customWidth="1"/>
    <col min="4100" max="4100" width="7.75" style="141" bestFit="1" customWidth="1"/>
    <col min="4101" max="4101" width="9.375" style="141" customWidth="1"/>
    <col min="4102" max="4102" width="7.125" style="141" customWidth="1"/>
    <col min="4103" max="4108" width="9.375" style="141" customWidth="1"/>
    <col min="4109" max="4109" width="10.375" style="141" bestFit="1" customWidth="1"/>
    <col min="4110" max="4110" width="6.125" style="141" customWidth="1"/>
    <col min="4111" max="4111" width="7.375" style="141" customWidth="1"/>
    <col min="4112" max="4112" width="6.75" style="141" bestFit="1" customWidth="1"/>
    <col min="4113" max="4113" width="5" style="141" bestFit="1" customWidth="1"/>
    <col min="4114" max="4114" width="10.625" style="141" bestFit="1" customWidth="1"/>
    <col min="4115" max="4115" width="10.625" style="141" customWidth="1"/>
    <col min="4116" max="4116" width="10.625" style="141" bestFit="1" customWidth="1"/>
    <col min="4117" max="4117" width="14.375" style="141" customWidth="1"/>
    <col min="4118" max="4118" width="13.375" style="141" customWidth="1"/>
    <col min="4119" max="4119" width="11.875" style="141" customWidth="1"/>
    <col min="4120" max="4120" width="14.25" style="141" customWidth="1"/>
    <col min="4121" max="4121" width="6" style="141" bestFit="1" customWidth="1"/>
    <col min="4122" max="4352" width="7" style="141"/>
    <col min="4353" max="4353" width="4" style="141" bestFit="1" customWidth="1"/>
    <col min="4354" max="4354" width="5" style="141" customWidth="1"/>
    <col min="4355" max="4355" width="27.625" style="141" customWidth="1"/>
    <col min="4356" max="4356" width="7.75" style="141" bestFit="1" customWidth="1"/>
    <col min="4357" max="4357" width="9.375" style="141" customWidth="1"/>
    <col min="4358" max="4358" width="7.125" style="141" customWidth="1"/>
    <col min="4359" max="4364" width="9.375" style="141" customWidth="1"/>
    <col min="4365" max="4365" width="10.375" style="141" bestFit="1" customWidth="1"/>
    <col min="4366" max="4366" width="6.125" style="141" customWidth="1"/>
    <col min="4367" max="4367" width="7.375" style="141" customWidth="1"/>
    <col min="4368" max="4368" width="6.75" style="141" bestFit="1" customWidth="1"/>
    <col min="4369" max="4369" width="5" style="141" bestFit="1" customWidth="1"/>
    <col min="4370" max="4370" width="10.625" style="141" bestFit="1" customWidth="1"/>
    <col min="4371" max="4371" width="10.625" style="141" customWidth="1"/>
    <col min="4372" max="4372" width="10.625" style="141" bestFit="1" customWidth="1"/>
    <col min="4373" max="4373" width="14.375" style="141" customWidth="1"/>
    <col min="4374" max="4374" width="13.375" style="141" customWidth="1"/>
    <col min="4375" max="4375" width="11.875" style="141" customWidth="1"/>
    <col min="4376" max="4376" width="14.25" style="141" customWidth="1"/>
    <col min="4377" max="4377" width="6" style="141" bestFit="1" customWidth="1"/>
    <col min="4378" max="4608" width="7" style="141"/>
    <col min="4609" max="4609" width="4" style="141" bestFit="1" customWidth="1"/>
    <col min="4610" max="4610" width="5" style="141" customWidth="1"/>
    <col min="4611" max="4611" width="27.625" style="141" customWidth="1"/>
    <col min="4612" max="4612" width="7.75" style="141" bestFit="1" customWidth="1"/>
    <col min="4613" max="4613" width="9.375" style="141" customWidth="1"/>
    <col min="4614" max="4614" width="7.125" style="141" customWidth="1"/>
    <col min="4615" max="4620" width="9.375" style="141" customWidth="1"/>
    <col min="4621" max="4621" width="10.375" style="141" bestFit="1" customWidth="1"/>
    <col min="4622" max="4622" width="6.125" style="141" customWidth="1"/>
    <col min="4623" max="4623" width="7.375" style="141" customWidth="1"/>
    <col min="4624" max="4624" width="6.75" style="141" bestFit="1" customWidth="1"/>
    <col min="4625" max="4625" width="5" style="141" bestFit="1" customWidth="1"/>
    <col min="4626" max="4626" width="10.625" style="141" bestFit="1" customWidth="1"/>
    <col min="4627" max="4627" width="10.625" style="141" customWidth="1"/>
    <col min="4628" max="4628" width="10.625" style="141" bestFit="1" customWidth="1"/>
    <col min="4629" max="4629" width="14.375" style="141" customWidth="1"/>
    <col min="4630" max="4630" width="13.375" style="141" customWidth="1"/>
    <col min="4631" max="4631" width="11.875" style="141" customWidth="1"/>
    <col min="4632" max="4632" width="14.25" style="141" customWidth="1"/>
    <col min="4633" max="4633" width="6" style="141" bestFit="1" customWidth="1"/>
    <col min="4634" max="4864" width="7" style="141"/>
    <col min="4865" max="4865" width="4" style="141" bestFit="1" customWidth="1"/>
    <col min="4866" max="4866" width="5" style="141" customWidth="1"/>
    <col min="4867" max="4867" width="27.625" style="141" customWidth="1"/>
    <col min="4868" max="4868" width="7.75" style="141" bestFit="1" customWidth="1"/>
    <col min="4869" max="4869" width="9.375" style="141" customWidth="1"/>
    <col min="4870" max="4870" width="7.125" style="141" customWidth="1"/>
    <col min="4871" max="4876" width="9.375" style="141" customWidth="1"/>
    <col min="4877" max="4877" width="10.375" style="141" bestFit="1" customWidth="1"/>
    <col min="4878" max="4878" width="6.125" style="141" customWidth="1"/>
    <col min="4879" max="4879" width="7.375" style="141" customWidth="1"/>
    <col min="4880" max="4880" width="6.75" style="141" bestFit="1" customWidth="1"/>
    <col min="4881" max="4881" width="5" style="141" bestFit="1" customWidth="1"/>
    <col min="4882" max="4882" width="10.625" style="141" bestFit="1" customWidth="1"/>
    <col min="4883" max="4883" width="10.625" style="141" customWidth="1"/>
    <col min="4884" max="4884" width="10.625" style="141" bestFit="1" customWidth="1"/>
    <col min="4885" max="4885" width="14.375" style="141" customWidth="1"/>
    <col min="4886" max="4886" width="13.375" style="141" customWidth="1"/>
    <col min="4887" max="4887" width="11.875" style="141" customWidth="1"/>
    <col min="4888" max="4888" width="14.25" style="141" customWidth="1"/>
    <col min="4889" max="4889" width="6" style="141" bestFit="1" customWidth="1"/>
    <col min="4890" max="5120" width="7" style="141"/>
    <col min="5121" max="5121" width="4" style="141" bestFit="1" customWidth="1"/>
    <col min="5122" max="5122" width="5" style="141" customWidth="1"/>
    <col min="5123" max="5123" width="27.625" style="141" customWidth="1"/>
    <col min="5124" max="5124" width="7.75" style="141" bestFit="1" customWidth="1"/>
    <col min="5125" max="5125" width="9.375" style="141" customWidth="1"/>
    <col min="5126" max="5126" width="7.125" style="141" customWidth="1"/>
    <col min="5127" max="5132" width="9.375" style="141" customWidth="1"/>
    <col min="5133" max="5133" width="10.375" style="141" bestFit="1" customWidth="1"/>
    <col min="5134" max="5134" width="6.125" style="141" customWidth="1"/>
    <col min="5135" max="5135" width="7.375" style="141" customWidth="1"/>
    <col min="5136" max="5136" width="6.75" style="141" bestFit="1" customWidth="1"/>
    <col min="5137" max="5137" width="5" style="141" bestFit="1" customWidth="1"/>
    <col min="5138" max="5138" width="10.625" style="141" bestFit="1" customWidth="1"/>
    <col min="5139" max="5139" width="10.625" style="141" customWidth="1"/>
    <col min="5140" max="5140" width="10.625" style="141" bestFit="1" customWidth="1"/>
    <col min="5141" max="5141" width="14.375" style="141" customWidth="1"/>
    <col min="5142" max="5142" width="13.375" style="141" customWidth="1"/>
    <col min="5143" max="5143" width="11.875" style="141" customWidth="1"/>
    <col min="5144" max="5144" width="14.25" style="141" customWidth="1"/>
    <col min="5145" max="5145" width="6" style="141" bestFit="1" customWidth="1"/>
    <col min="5146" max="5376" width="7" style="141"/>
    <col min="5377" max="5377" width="4" style="141" bestFit="1" customWidth="1"/>
    <col min="5378" max="5378" width="5" style="141" customWidth="1"/>
    <col min="5379" max="5379" width="27.625" style="141" customWidth="1"/>
    <col min="5380" max="5380" width="7.75" style="141" bestFit="1" customWidth="1"/>
    <col min="5381" max="5381" width="9.375" style="141" customWidth="1"/>
    <col min="5382" max="5382" width="7.125" style="141" customWidth="1"/>
    <col min="5383" max="5388" width="9.375" style="141" customWidth="1"/>
    <col min="5389" max="5389" width="10.375" style="141" bestFit="1" customWidth="1"/>
    <col min="5390" max="5390" width="6.125" style="141" customWidth="1"/>
    <col min="5391" max="5391" width="7.375" style="141" customWidth="1"/>
    <col min="5392" max="5392" width="6.75" style="141" bestFit="1" customWidth="1"/>
    <col min="5393" max="5393" width="5" style="141" bestFit="1" customWidth="1"/>
    <col min="5394" max="5394" width="10.625" style="141" bestFit="1" customWidth="1"/>
    <col min="5395" max="5395" width="10.625" style="141" customWidth="1"/>
    <col min="5396" max="5396" width="10.625" style="141" bestFit="1" customWidth="1"/>
    <col min="5397" max="5397" width="14.375" style="141" customWidth="1"/>
    <col min="5398" max="5398" width="13.375" style="141" customWidth="1"/>
    <col min="5399" max="5399" width="11.875" style="141" customWidth="1"/>
    <col min="5400" max="5400" width="14.25" style="141" customWidth="1"/>
    <col min="5401" max="5401" width="6" style="141" bestFit="1" customWidth="1"/>
    <col min="5402" max="5632" width="7" style="141"/>
    <col min="5633" max="5633" width="4" style="141" bestFit="1" customWidth="1"/>
    <col min="5634" max="5634" width="5" style="141" customWidth="1"/>
    <col min="5635" max="5635" width="27.625" style="141" customWidth="1"/>
    <col min="5636" max="5636" width="7.75" style="141" bestFit="1" customWidth="1"/>
    <col min="5637" max="5637" width="9.375" style="141" customWidth="1"/>
    <col min="5638" max="5638" width="7.125" style="141" customWidth="1"/>
    <col min="5639" max="5644" width="9.375" style="141" customWidth="1"/>
    <col min="5645" max="5645" width="10.375" style="141" bestFit="1" customWidth="1"/>
    <col min="5646" max="5646" width="6.125" style="141" customWidth="1"/>
    <col min="5647" max="5647" width="7.375" style="141" customWidth="1"/>
    <col min="5648" max="5648" width="6.75" style="141" bestFit="1" customWidth="1"/>
    <col min="5649" max="5649" width="5" style="141" bestFit="1" customWidth="1"/>
    <col min="5650" max="5650" width="10.625" style="141" bestFit="1" customWidth="1"/>
    <col min="5651" max="5651" width="10.625" style="141" customWidth="1"/>
    <col min="5652" max="5652" width="10.625" style="141" bestFit="1" customWidth="1"/>
    <col min="5653" max="5653" width="14.375" style="141" customWidth="1"/>
    <col min="5654" max="5654" width="13.375" style="141" customWidth="1"/>
    <col min="5655" max="5655" width="11.875" style="141" customWidth="1"/>
    <col min="5656" max="5656" width="14.25" style="141" customWidth="1"/>
    <col min="5657" max="5657" width="6" style="141" bestFit="1" customWidth="1"/>
    <col min="5658" max="5888" width="7" style="141"/>
    <col min="5889" max="5889" width="4" style="141" bestFit="1" customWidth="1"/>
    <col min="5890" max="5890" width="5" style="141" customWidth="1"/>
    <col min="5891" max="5891" width="27.625" style="141" customWidth="1"/>
    <col min="5892" max="5892" width="7.75" style="141" bestFit="1" customWidth="1"/>
    <col min="5893" max="5893" width="9.375" style="141" customWidth="1"/>
    <col min="5894" max="5894" width="7.125" style="141" customWidth="1"/>
    <col min="5895" max="5900" width="9.375" style="141" customWidth="1"/>
    <col min="5901" max="5901" width="10.375" style="141" bestFit="1" customWidth="1"/>
    <col min="5902" max="5902" width="6.125" style="141" customWidth="1"/>
    <col min="5903" max="5903" width="7.375" style="141" customWidth="1"/>
    <col min="5904" max="5904" width="6.75" style="141" bestFit="1" customWidth="1"/>
    <col min="5905" max="5905" width="5" style="141" bestFit="1" customWidth="1"/>
    <col min="5906" max="5906" width="10.625" style="141" bestFit="1" customWidth="1"/>
    <col min="5907" max="5907" width="10.625" style="141" customWidth="1"/>
    <col min="5908" max="5908" width="10.625" style="141" bestFit="1" customWidth="1"/>
    <col min="5909" max="5909" width="14.375" style="141" customWidth="1"/>
    <col min="5910" max="5910" width="13.375" style="141" customWidth="1"/>
    <col min="5911" max="5911" width="11.875" style="141" customWidth="1"/>
    <col min="5912" max="5912" width="14.25" style="141" customWidth="1"/>
    <col min="5913" max="5913" width="6" style="141" bestFit="1" customWidth="1"/>
    <col min="5914" max="6144" width="7" style="141"/>
    <col min="6145" max="6145" width="4" style="141" bestFit="1" customWidth="1"/>
    <col min="6146" max="6146" width="5" style="141" customWidth="1"/>
    <col min="6147" max="6147" width="27.625" style="141" customWidth="1"/>
    <col min="6148" max="6148" width="7.75" style="141" bestFit="1" customWidth="1"/>
    <col min="6149" max="6149" width="9.375" style="141" customWidth="1"/>
    <col min="6150" max="6150" width="7.125" style="141" customWidth="1"/>
    <col min="6151" max="6156" width="9.375" style="141" customWidth="1"/>
    <col min="6157" max="6157" width="10.375" style="141" bestFit="1" customWidth="1"/>
    <col min="6158" max="6158" width="6.125" style="141" customWidth="1"/>
    <col min="6159" max="6159" width="7.375" style="141" customWidth="1"/>
    <col min="6160" max="6160" width="6.75" style="141" bestFit="1" customWidth="1"/>
    <col min="6161" max="6161" width="5" style="141" bestFit="1" customWidth="1"/>
    <col min="6162" max="6162" width="10.625" style="141" bestFit="1" customWidth="1"/>
    <col min="6163" max="6163" width="10.625" style="141" customWidth="1"/>
    <col min="6164" max="6164" width="10.625" style="141" bestFit="1" customWidth="1"/>
    <col min="6165" max="6165" width="14.375" style="141" customWidth="1"/>
    <col min="6166" max="6166" width="13.375" style="141" customWidth="1"/>
    <col min="6167" max="6167" width="11.875" style="141" customWidth="1"/>
    <col min="6168" max="6168" width="14.25" style="141" customWidth="1"/>
    <col min="6169" max="6169" width="6" style="141" bestFit="1" customWidth="1"/>
    <col min="6170" max="6400" width="7" style="141"/>
    <col min="6401" max="6401" width="4" style="141" bestFit="1" customWidth="1"/>
    <col min="6402" max="6402" width="5" style="141" customWidth="1"/>
    <col min="6403" max="6403" width="27.625" style="141" customWidth="1"/>
    <col min="6404" max="6404" width="7.75" style="141" bestFit="1" customWidth="1"/>
    <col min="6405" max="6405" width="9.375" style="141" customWidth="1"/>
    <col min="6406" max="6406" width="7.125" style="141" customWidth="1"/>
    <col min="6407" max="6412" width="9.375" style="141" customWidth="1"/>
    <col min="6413" max="6413" width="10.375" style="141" bestFit="1" customWidth="1"/>
    <col min="6414" max="6414" width="6.125" style="141" customWidth="1"/>
    <col min="6415" max="6415" width="7.375" style="141" customWidth="1"/>
    <col min="6416" max="6416" width="6.75" style="141" bestFit="1" customWidth="1"/>
    <col min="6417" max="6417" width="5" style="141" bestFit="1" customWidth="1"/>
    <col min="6418" max="6418" width="10.625" style="141" bestFit="1" customWidth="1"/>
    <col min="6419" max="6419" width="10.625" style="141" customWidth="1"/>
    <col min="6420" max="6420" width="10.625" style="141" bestFit="1" customWidth="1"/>
    <col min="6421" max="6421" width="14.375" style="141" customWidth="1"/>
    <col min="6422" max="6422" width="13.375" style="141" customWidth="1"/>
    <col min="6423" max="6423" width="11.875" style="141" customWidth="1"/>
    <col min="6424" max="6424" width="14.25" style="141" customWidth="1"/>
    <col min="6425" max="6425" width="6" style="141" bestFit="1" customWidth="1"/>
    <col min="6426" max="6656" width="7" style="141"/>
    <col min="6657" max="6657" width="4" style="141" bestFit="1" customWidth="1"/>
    <col min="6658" max="6658" width="5" style="141" customWidth="1"/>
    <col min="6659" max="6659" width="27.625" style="141" customWidth="1"/>
    <col min="6660" max="6660" width="7.75" style="141" bestFit="1" customWidth="1"/>
    <col min="6661" max="6661" width="9.375" style="141" customWidth="1"/>
    <col min="6662" max="6662" width="7.125" style="141" customWidth="1"/>
    <col min="6663" max="6668" width="9.375" style="141" customWidth="1"/>
    <col min="6669" max="6669" width="10.375" style="141" bestFit="1" customWidth="1"/>
    <col min="6670" max="6670" width="6.125" style="141" customWidth="1"/>
    <col min="6671" max="6671" width="7.375" style="141" customWidth="1"/>
    <col min="6672" max="6672" width="6.75" style="141" bestFit="1" customWidth="1"/>
    <col min="6673" max="6673" width="5" style="141" bestFit="1" customWidth="1"/>
    <col min="6674" max="6674" width="10.625" style="141" bestFit="1" customWidth="1"/>
    <col min="6675" max="6675" width="10.625" style="141" customWidth="1"/>
    <col min="6676" max="6676" width="10.625" style="141" bestFit="1" customWidth="1"/>
    <col min="6677" max="6677" width="14.375" style="141" customWidth="1"/>
    <col min="6678" max="6678" width="13.375" style="141" customWidth="1"/>
    <col min="6679" max="6679" width="11.875" style="141" customWidth="1"/>
    <col min="6680" max="6680" width="14.25" style="141" customWidth="1"/>
    <col min="6681" max="6681" width="6" style="141" bestFit="1" customWidth="1"/>
    <col min="6682" max="6912" width="7" style="141"/>
    <col min="6913" max="6913" width="4" style="141" bestFit="1" customWidth="1"/>
    <col min="6914" max="6914" width="5" style="141" customWidth="1"/>
    <col min="6915" max="6915" width="27.625" style="141" customWidth="1"/>
    <col min="6916" max="6916" width="7.75" style="141" bestFit="1" customWidth="1"/>
    <col min="6917" max="6917" width="9.375" style="141" customWidth="1"/>
    <col min="6918" max="6918" width="7.125" style="141" customWidth="1"/>
    <col min="6919" max="6924" width="9.375" style="141" customWidth="1"/>
    <col min="6925" max="6925" width="10.375" style="141" bestFit="1" customWidth="1"/>
    <col min="6926" max="6926" width="6.125" style="141" customWidth="1"/>
    <col min="6927" max="6927" width="7.375" style="141" customWidth="1"/>
    <col min="6928" max="6928" width="6.75" style="141" bestFit="1" customWidth="1"/>
    <col min="6929" max="6929" width="5" style="141" bestFit="1" customWidth="1"/>
    <col min="6930" max="6930" width="10.625" style="141" bestFit="1" customWidth="1"/>
    <col min="6931" max="6931" width="10.625" style="141" customWidth="1"/>
    <col min="6932" max="6932" width="10.625" style="141" bestFit="1" customWidth="1"/>
    <col min="6933" max="6933" width="14.375" style="141" customWidth="1"/>
    <col min="6934" max="6934" width="13.375" style="141" customWidth="1"/>
    <col min="6935" max="6935" width="11.875" style="141" customWidth="1"/>
    <col min="6936" max="6936" width="14.25" style="141" customWidth="1"/>
    <col min="6937" max="6937" width="6" style="141" bestFit="1" customWidth="1"/>
    <col min="6938" max="7168" width="7" style="141"/>
    <col min="7169" max="7169" width="4" style="141" bestFit="1" customWidth="1"/>
    <col min="7170" max="7170" width="5" style="141" customWidth="1"/>
    <col min="7171" max="7171" width="27.625" style="141" customWidth="1"/>
    <col min="7172" max="7172" width="7.75" style="141" bestFit="1" customWidth="1"/>
    <col min="7173" max="7173" width="9.375" style="141" customWidth="1"/>
    <col min="7174" max="7174" width="7.125" style="141" customWidth="1"/>
    <col min="7175" max="7180" width="9.375" style="141" customWidth="1"/>
    <col min="7181" max="7181" width="10.375" style="141" bestFit="1" customWidth="1"/>
    <col min="7182" max="7182" width="6.125" style="141" customWidth="1"/>
    <col min="7183" max="7183" width="7.375" style="141" customWidth="1"/>
    <col min="7184" max="7184" width="6.75" style="141" bestFit="1" customWidth="1"/>
    <col min="7185" max="7185" width="5" style="141" bestFit="1" customWidth="1"/>
    <col min="7186" max="7186" width="10.625" style="141" bestFit="1" customWidth="1"/>
    <col min="7187" max="7187" width="10.625" style="141" customWidth="1"/>
    <col min="7188" max="7188" width="10.625" style="141" bestFit="1" customWidth="1"/>
    <col min="7189" max="7189" width="14.375" style="141" customWidth="1"/>
    <col min="7190" max="7190" width="13.375" style="141" customWidth="1"/>
    <col min="7191" max="7191" width="11.875" style="141" customWidth="1"/>
    <col min="7192" max="7192" width="14.25" style="141" customWidth="1"/>
    <col min="7193" max="7193" width="6" style="141" bestFit="1" customWidth="1"/>
    <col min="7194" max="7424" width="7" style="141"/>
    <col min="7425" max="7425" width="4" style="141" bestFit="1" customWidth="1"/>
    <col min="7426" max="7426" width="5" style="141" customWidth="1"/>
    <col min="7427" max="7427" width="27.625" style="141" customWidth="1"/>
    <col min="7428" max="7428" width="7.75" style="141" bestFit="1" customWidth="1"/>
    <col min="7429" max="7429" width="9.375" style="141" customWidth="1"/>
    <col min="7430" max="7430" width="7.125" style="141" customWidth="1"/>
    <col min="7431" max="7436" width="9.375" style="141" customWidth="1"/>
    <col min="7437" max="7437" width="10.375" style="141" bestFit="1" customWidth="1"/>
    <col min="7438" max="7438" width="6.125" style="141" customWidth="1"/>
    <col min="7439" max="7439" width="7.375" style="141" customWidth="1"/>
    <col min="7440" max="7440" width="6.75" style="141" bestFit="1" customWidth="1"/>
    <col min="7441" max="7441" width="5" style="141" bestFit="1" customWidth="1"/>
    <col min="7442" max="7442" width="10.625" style="141" bestFit="1" customWidth="1"/>
    <col min="7443" max="7443" width="10.625" style="141" customWidth="1"/>
    <col min="7444" max="7444" width="10.625" style="141" bestFit="1" customWidth="1"/>
    <col min="7445" max="7445" width="14.375" style="141" customWidth="1"/>
    <col min="7446" max="7446" width="13.375" style="141" customWidth="1"/>
    <col min="7447" max="7447" width="11.875" style="141" customWidth="1"/>
    <col min="7448" max="7448" width="14.25" style="141" customWidth="1"/>
    <col min="7449" max="7449" width="6" style="141" bestFit="1" customWidth="1"/>
    <col min="7450" max="7680" width="7" style="141"/>
    <col min="7681" max="7681" width="4" style="141" bestFit="1" customWidth="1"/>
    <col min="7682" max="7682" width="5" style="141" customWidth="1"/>
    <col min="7683" max="7683" width="27.625" style="141" customWidth="1"/>
    <col min="7684" max="7684" width="7.75" style="141" bestFit="1" customWidth="1"/>
    <col min="7685" max="7685" width="9.375" style="141" customWidth="1"/>
    <col min="7686" max="7686" width="7.125" style="141" customWidth="1"/>
    <col min="7687" max="7692" width="9.375" style="141" customWidth="1"/>
    <col min="7693" max="7693" width="10.375" style="141" bestFit="1" customWidth="1"/>
    <col min="7694" max="7694" width="6.125" style="141" customWidth="1"/>
    <col min="7695" max="7695" width="7.375" style="141" customWidth="1"/>
    <col min="7696" max="7696" width="6.75" style="141" bestFit="1" customWidth="1"/>
    <col min="7697" max="7697" width="5" style="141" bestFit="1" customWidth="1"/>
    <col min="7698" max="7698" width="10.625" style="141" bestFit="1" customWidth="1"/>
    <col min="7699" max="7699" width="10.625" style="141" customWidth="1"/>
    <col min="7700" max="7700" width="10.625" style="141" bestFit="1" customWidth="1"/>
    <col min="7701" max="7701" width="14.375" style="141" customWidth="1"/>
    <col min="7702" max="7702" width="13.375" style="141" customWidth="1"/>
    <col min="7703" max="7703" width="11.875" style="141" customWidth="1"/>
    <col min="7704" max="7704" width="14.25" style="141" customWidth="1"/>
    <col min="7705" max="7705" width="6" style="141" bestFit="1" customWidth="1"/>
    <col min="7706" max="7936" width="7" style="141"/>
    <col min="7937" max="7937" width="4" style="141" bestFit="1" customWidth="1"/>
    <col min="7938" max="7938" width="5" style="141" customWidth="1"/>
    <col min="7939" max="7939" width="27.625" style="141" customWidth="1"/>
    <col min="7940" max="7940" width="7.75" style="141" bestFit="1" customWidth="1"/>
    <col min="7941" max="7941" width="9.375" style="141" customWidth="1"/>
    <col min="7942" max="7942" width="7.125" style="141" customWidth="1"/>
    <col min="7943" max="7948" width="9.375" style="141" customWidth="1"/>
    <col min="7949" max="7949" width="10.375" style="141" bestFit="1" customWidth="1"/>
    <col min="7950" max="7950" width="6.125" style="141" customWidth="1"/>
    <col min="7951" max="7951" width="7.375" style="141" customWidth="1"/>
    <col min="7952" max="7952" width="6.75" style="141" bestFit="1" customWidth="1"/>
    <col min="7953" max="7953" width="5" style="141" bestFit="1" customWidth="1"/>
    <col min="7954" max="7954" width="10.625" style="141" bestFit="1" customWidth="1"/>
    <col min="7955" max="7955" width="10.625" style="141" customWidth="1"/>
    <col min="7956" max="7956" width="10.625" style="141" bestFit="1" customWidth="1"/>
    <col min="7957" max="7957" width="14.375" style="141" customWidth="1"/>
    <col min="7958" max="7958" width="13.375" style="141" customWidth="1"/>
    <col min="7959" max="7959" width="11.875" style="141" customWidth="1"/>
    <col min="7960" max="7960" width="14.25" style="141" customWidth="1"/>
    <col min="7961" max="7961" width="6" style="141" bestFit="1" customWidth="1"/>
    <col min="7962" max="8192" width="7" style="141"/>
    <col min="8193" max="8193" width="4" style="141" bestFit="1" customWidth="1"/>
    <col min="8194" max="8194" width="5" style="141" customWidth="1"/>
    <col min="8195" max="8195" width="27.625" style="141" customWidth="1"/>
    <col min="8196" max="8196" width="7.75" style="141" bestFit="1" customWidth="1"/>
    <col min="8197" max="8197" width="9.375" style="141" customWidth="1"/>
    <col min="8198" max="8198" width="7.125" style="141" customWidth="1"/>
    <col min="8199" max="8204" width="9.375" style="141" customWidth="1"/>
    <col min="8205" max="8205" width="10.375" style="141" bestFit="1" customWidth="1"/>
    <col min="8206" max="8206" width="6.125" style="141" customWidth="1"/>
    <col min="8207" max="8207" width="7.375" style="141" customWidth="1"/>
    <col min="8208" max="8208" width="6.75" style="141" bestFit="1" customWidth="1"/>
    <col min="8209" max="8209" width="5" style="141" bestFit="1" customWidth="1"/>
    <col min="8210" max="8210" width="10.625" style="141" bestFit="1" customWidth="1"/>
    <col min="8211" max="8211" width="10.625" style="141" customWidth="1"/>
    <col min="8212" max="8212" width="10.625" style="141" bestFit="1" customWidth="1"/>
    <col min="8213" max="8213" width="14.375" style="141" customWidth="1"/>
    <col min="8214" max="8214" width="13.375" style="141" customWidth="1"/>
    <col min="8215" max="8215" width="11.875" style="141" customWidth="1"/>
    <col min="8216" max="8216" width="14.25" style="141" customWidth="1"/>
    <col min="8217" max="8217" width="6" style="141" bestFit="1" customWidth="1"/>
    <col min="8218" max="8448" width="7" style="141"/>
    <col min="8449" max="8449" width="4" style="141" bestFit="1" customWidth="1"/>
    <col min="8450" max="8450" width="5" style="141" customWidth="1"/>
    <col min="8451" max="8451" width="27.625" style="141" customWidth="1"/>
    <col min="8452" max="8452" width="7.75" style="141" bestFit="1" customWidth="1"/>
    <col min="8453" max="8453" width="9.375" style="141" customWidth="1"/>
    <col min="8454" max="8454" width="7.125" style="141" customWidth="1"/>
    <col min="8455" max="8460" width="9.375" style="141" customWidth="1"/>
    <col min="8461" max="8461" width="10.375" style="141" bestFit="1" customWidth="1"/>
    <col min="8462" max="8462" width="6.125" style="141" customWidth="1"/>
    <col min="8463" max="8463" width="7.375" style="141" customWidth="1"/>
    <col min="8464" max="8464" width="6.75" style="141" bestFit="1" customWidth="1"/>
    <col min="8465" max="8465" width="5" style="141" bestFit="1" customWidth="1"/>
    <col min="8466" max="8466" width="10.625" style="141" bestFit="1" customWidth="1"/>
    <col min="8467" max="8467" width="10.625" style="141" customWidth="1"/>
    <col min="8468" max="8468" width="10.625" style="141" bestFit="1" customWidth="1"/>
    <col min="8469" max="8469" width="14.375" style="141" customWidth="1"/>
    <col min="8470" max="8470" width="13.375" style="141" customWidth="1"/>
    <col min="8471" max="8471" width="11.875" style="141" customWidth="1"/>
    <col min="8472" max="8472" width="14.25" style="141" customWidth="1"/>
    <col min="8473" max="8473" width="6" style="141" bestFit="1" customWidth="1"/>
    <col min="8474" max="8704" width="7" style="141"/>
    <col min="8705" max="8705" width="4" style="141" bestFit="1" customWidth="1"/>
    <col min="8706" max="8706" width="5" style="141" customWidth="1"/>
    <col min="8707" max="8707" width="27.625" style="141" customWidth="1"/>
    <col min="8708" max="8708" width="7.75" style="141" bestFit="1" customWidth="1"/>
    <col min="8709" max="8709" width="9.375" style="141" customWidth="1"/>
    <col min="8710" max="8710" width="7.125" style="141" customWidth="1"/>
    <col min="8711" max="8716" width="9.375" style="141" customWidth="1"/>
    <col min="8717" max="8717" width="10.375" style="141" bestFit="1" customWidth="1"/>
    <col min="8718" max="8718" width="6.125" style="141" customWidth="1"/>
    <col min="8719" max="8719" width="7.375" style="141" customWidth="1"/>
    <col min="8720" max="8720" width="6.75" style="141" bestFit="1" customWidth="1"/>
    <col min="8721" max="8721" width="5" style="141" bestFit="1" customWidth="1"/>
    <col min="8722" max="8722" width="10.625" style="141" bestFit="1" customWidth="1"/>
    <col min="8723" max="8723" width="10.625" style="141" customWidth="1"/>
    <col min="8724" max="8724" width="10.625" style="141" bestFit="1" customWidth="1"/>
    <col min="8725" max="8725" width="14.375" style="141" customWidth="1"/>
    <col min="8726" max="8726" width="13.375" style="141" customWidth="1"/>
    <col min="8727" max="8727" width="11.875" style="141" customWidth="1"/>
    <col min="8728" max="8728" width="14.25" style="141" customWidth="1"/>
    <col min="8729" max="8729" width="6" style="141" bestFit="1" customWidth="1"/>
    <col min="8730" max="8960" width="7" style="141"/>
    <col min="8961" max="8961" width="4" style="141" bestFit="1" customWidth="1"/>
    <col min="8962" max="8962" width="5" style="141" customWidth="1"/>
    <col min="8963" max="8963" width="27.625" style="141" customWidth="1"/>
    <col min="8964" max="8964" width="7.75" style="141" bestFit="1" customWidth="1"/>
    <col min="8965" max="8965" width="9.375" style="141" customWidth="1"/>
    <col min="8966" max="8966" width="7.125" style="141" customWidth="1"/>
    <col min="8967" max="8972" width="9.375" style="141" customWidth="1"/>
    <col min="8973" max="8973" width="10.375" style="141" bestFit="1" customWidth="1"/>
    <col min="8974" max="8974" width="6.125" style="141" customWidth="1"/>
    <col min="8975" max="8975" width="7.375" style="141" customWidth="1"/>
    <col min="8976" max="8976" width="6.75" style="141" bestFit="1" customWidth="1"/>
    <col min="8977" max="8977" width="5" style="141" bestFit="1" customWidth="1"/>
    <col min="8978" max="8978" width="10.625" style="141" bestFit="1" customWidth="1"/>
    <col min="8979" max="8979" width="10.625" style="141" customWidth="1"/>
    <col min="8980" max="8980" width="10.625" style="141" bestFit="1" customWidth="1"/>
    <col min="8981" max="8981" width="14.375" style="141" customWidth="1"/>
    <col min="8982" max="8982" width="13.375" style="141" customWidth="1"/>
    <col min="8983" max="8983" width="11.875" style="141" customWidth="1"/>
    <col min="8984" max="8984" width="14.25" style="141" customWidth="1"/>
    <col min="8985" max="8985" width="6" style="141" bestFit="1" customWidth="1"/>
    <col min="8986" max="9216" width="7" style="141"/>
    <col min="9217" max="9217" width="4" style="141" bestFit="1" customWidth="1"/>
    <col min="9218" max="9218" width="5" style="141" customWidth="1"/>
    <col min="9219" max="9219" width="27.625" style="141" customWidth="1"/>
    <col min="9220" max="9220" width="7.75" style="141" bestFit="1" customWidth="1"/>
    <col min="9221" max="9221" width="9.375" style="141" customWidth="1"/>
    <col min="9222" max="9222" width="7.125" style="141" customWidth="1"/>
    <col min="9223" max="9228" width="9.375" style="141" customWidth="1"/>
    <col min="9229" max="9229" width="10.375" style="141" bestFit="1" customWidth="1"/>
    <col min="9230" max="9230" width="6.125" style="141" customWidth="1"/>
    <col min="9231" max="9231" width="7.375" style="141" customWidth="1"/>
    <col min="9232" max="9232" width="6.75" style="141" bestFit="1" customWidth="1"/>
    <col min="9233" max="9233" width="5" style="141" bestFit="1" customWidth="1"/>
    <col min="9234" max="9234" width="10.625" style="141" bestFit="1" customWidth="1"/>
    <col min="9235" max="9235" width="10.625" style="141" customWidth="1"/>
    <col min="9236" max="9236" width="10.625" style="141" bestFit="1" customWidth="1"/>
    <col min="9237" max="9237" width="14.375" style="141" customWidth="1"/>
    <col min="9238" max="9238" width="13.375" style="141" customWidth="1"/>
    <col min="9239" max="9239" width="11.875" style="141" customWidth="1"/>
    <col min="9240" max="9240" width="14.25" style="141" customWidth="1"/>
    <col min="9241" max="9241" width="6" style="141" bestFit="1" customWidth="1"/>
    <col min="9242" max="9472" width="7" style="141"/>
    <col min="9473" max="9473" width="4" style="141" bestFit="1" customWidth="1"/>
    <col min="9474" max="9474" width="5" style="141" customWidth="1"/>
    <col min="9475" max="9475" width="27.625" style="141" customWidth="1"/>
    <col min="9476" max="9476" width="7.75" style="141" bestFit="1" customWidth="1"/>
    <col min="9477" max="9477" width="9.375" style="141" customWidth="1"/>
    <col min="9478" max="9478" width="7.125" style="141" customWidth="1"/>
    <col min="9479" max="9484" width="9.375" style="141" customWidth="1"/>
    <col min="9485" max="9485" width="10.375" style="141" bestFit="1" customWidth="1"/>
    <col min="9486" max="9486" width="6.125" style="141" customWidth="1"/>
    <col min="9487" max="9487" width="7.375" style="141" customWidth="1"/>
    <col min="9488" max="9488" width="6.75" style="141" bestFit="1" customWidth="1"/>
    <col min="9489" max="9489" width="5" style="141" bestFit="1" customWidth="1"/>
    <col min="9490" max="9490" width="10.625" style="141" bestFit="1" customWidth="1"/>
    <col min="9491" max="9491" width="10.625" style="141" customWidth="1"/>
    <col min="9492" max="9492" width="10.625" style="141" bestFit="1" customWidth="1"/>
    <col min="9493" max="9493" width="14.375" style="141" customWidth="1"/>
    <col min="9494" max="9494" width="13.375" style="141" customWidth="1"/>
    <col min="9495" max="9495" width="11.875" style="141" customWidth="1"/>
    <col min="9496" max="9496" width="14.25" style="141" customWidth="1"/>
    <col min="9497" max="9497" width="6" style="141" bestFit="1" customWidth="1"/>
    <col min="9498" max="9728" width="7" style="141"/>
    <col min="9729" max="9729" width="4" style="141" bestFit="1" customWidth="1"/>
    <col min="9730" max="9730" width="5" style="141" customWidth="1"/>
    <col min="9731" max="9731" width="27.625" style="141" customWidth="1"/>
    <col min="9732" max="9732" width="7.75" style="141" bestFit="1" customWidth="1"/>
    <col min="9733" max="9733" width="9.375" style="141" customWidth="1"/>
    <col min="9734" max="9734" width="7.125" style="141" customWidth="1"/>
    <col min="9735" max="9740" width="9.375" style="141" customWidth="1"/>
    <col min="9741" max="9741" width="10.375" style="141" bestFit="1" customWidth="1"/>
    <col min="9742" max="9742" width="6.125" style="141" customWidth="1"/>
    <col min="9743" max="9743" width="7.375" style="141" customWidth="1"/>
    <col min="9744" max="9744" width="6.75" style="141" bestFit="1" customWidth="1"/>
    <col min="9745" max="9745" width="5" style="141" bestFit="1" customWidth="1"/>
    <col min="9746" max="9746" width="10.625" style="141" bestFit="1" customWidth="1"/>
    <col min="9747" max="9747" width="10.625" style="141" customWidth="1"/>
    <col min="9748" max="9748" width="10.625" style="141" bestFit="1" customWidth="1"/>
    <col min="9749" max="9749" width="14.375" style="141" customWidth="1"/>
    <col min="9750" max="9750" width="13.375" style="141" customWidth="1"/>
    <col min="9751" max="9751" width="11.875" style="141" customWidth="1"/>
    <col min="9752" max="9752" width="14.25" style="141" customWidth="1"/>
    <col min="9753" max="9753" width="6" style="141" bestFit="1" customWidth="1"/>
    <col min="9754" max="9984" width="7" style="141"/>
    <col min="9985" max="9985" width="4" style="141" bestFit="1" customWidth="1"/>
    <col min="9986" max="9986" width="5" style="141" customWidth="1"/>
    <col min="9987" max="9987" width="27.625" style="141" customWidth="1"/>
    <col min="9988" max="9988" width="7.75" style="141" bestFit="1" customWidth="1"/>
    <col min="9989" max="9989" width="9.375" style="141" customWidth="1"/>
    <col min="9990" max="9990" width="7.125" style="141" customWidth="1"/>
    <col min="9991" max="9996" width="9.375" style="141" customWidth="1"/>
    <col min="9997" max="9997" width="10.375" style="141" bestFit="1" customWidth="1"/>
    <col min="9998" max="9998" width="6.125" style="141" customWidth="1"/>
    <col min="9999" max="9999" width="7.375" style="141" customWidth="1"/>
    <col min="10000" max="10000" width="6.75" style="141" bestFit="1" customWidth="1"/>
    <col min="10001" max="10001" width="5" style="141" bestFit="1" customWidth="1"/>
    <col min="10002" max="10002" width="10.625" style="141" bestFit="1" customWidth="1"/>
    <col min="10003" max="10003" width="10.625" style="141" customWidth="1"/>
    <col min="10004" max="10004" width="10.625" style="141" bestFit="1" customWidth="1"/>
    <col min="10005" max="10005" width="14.375" style="141" customWidth="1"/>
    <col min="10006" max="10006" width="13.375" style="141" customWidth="1"/>
    <col min="10007" max="10007" width="11.875" style="141" customWidth="1"/>
    <col min="10008" max="10008" width="14.25" style="141" customWidth="1"/>
    <col min="10009" max="10009" width="6" style="141" bestFit="1" customWidth="1"/>
    <col min="10010" max="10240" width="7" style="141"/>
    <col min="10241" max="10241" width="4" style="141" bestFit="1" customWidth="1"/>
    <col min="10242" max="10242" width="5" style="141" customWidth="1"/>
    <col min="10243" max="10243" width="27.625" style="141" customWidth="1"/>
    <col min="10244" max="10244" width="7.75" style="141" bestFit="1" customWidth="1"/>
    <col min="10245" max="10245" width="9.375" style="141" customWidth="1"/>
    <col min="10246" max="10246" width="7.125" style="141" customWidth="1"/>
    <col min="10247" max="10252" width="9.375" style="141" customWidth="1"/>
    <col min="10253" max="10253" width="10.375" style="141" bestFit="1" customWidth="1"/>
    <col min="10254" max="10254" width="6.125" style="141" customWidth="1"/>
    <col min="10255" max="10255" width="7.375" style="141" customWidth="1"/>
    <col min="10256" max="10256" width="6.75" style="141" bestFit="1" customWidth="1"/>
    <col min="10257" max="10257" width="5" style="141" bestFit="1" customWidth="1"/>
    <col min="10258" max="10258" width="10.625" style="141" bestFit="1" customWidth="1"/>
    <col min="10259" max="10259" width="10.625" style="141" customWidth="1"/>
    <col min="10260" max="10260" width="10.625" style="141" bestFit="1" customWidth="1"/>
    <col min="10261" max="10261" width="14.375" style="141" customWidth="1"/>
    <col min="10262" max="10262" width="13.375" style="141" customWidth="1"/>
    <col min="10263" max="10263" width="11.875" style="141" customWidth="1"/>
    <col min="10264" max="10264" width="14.25" style="141" customWidth="1"/>
    <col min="10265" max="10265" width="6" style="141" bestFit="1" customWidth="1"/>
    <col min="10266" max="10496" width="7" style="141"/>
    <col min="10497" max="10497" width="4" style="141" bestFit="1" customWidth="1"/>
    <col min="10498" max="10498" width="5" style="141" customWidth="1"/>
    <col min="10499" max="10499" width="27.625" style="141" customWidth="1"/>
    <col min="10500" max="10500" width="7.75" style="141" bestFit="1" customWidth="1"/>
    <col min="10501" max="10501" width="9.375" style="141" customWidth="1"/>
    <col min="10502" max="10502" width="7.125" style="141" customWidth="1"/>
    <col min="10503" max="10508" width="9.375" style="141" customWidth="1"/>
    <col min="10509" max="10509" width="10.375" style="141" bestFit="1" customWidth="1"/>
    <col min="10510" max="10510" width="6.125" style="141" customWidth="1"/>
    <col min="10511" max="10511" width="7.375" style="141" customWidth="1"/>
    <col min="10512" max="10512" width="6.75" style="141" bestFit="1" customWidth="1"/>
    <col min="10513" max="10513" width="5" style="141" bestFit="1" customWidth="1"/>
    <col min="10514" max="10514" width="10.625" style="141" bestFit="1" customWidth="1"/>
    <col min="10515" max="10515" width="10.625" style="141" customWidth="1"/>
    <col min="10516" max="10516" width="10.625" style="141" bestFit="1" customWidth="1"/>
    <col min="10517" max="10517" width="14.375" style="141" customWidth="1"/>
    <col min="10518" max="10518" width="13.375" style="141" customWidth="1"/>
    <col min="10519" max="10519" width="11.875" style="141" customWidth="1"/>
    <col min="10520" max="10520" width="14.25" style="141" customWidth="1"/>
    <col min="10521" max="10521" width="6" style="141" bestFit="1" customWidth="1"/>
    <col min="10522" max="10752" width="7" style="141"/>
    <col min="10753" max="10753" width="4" style="141" bestFit="1" customWidth="1"/>
    <col min="10754" max="10754" width="5" style="141" customWidth="1"/>
    <col min="10755" max="10755" width="27.625" style="141" customWidth="1"/>
    <col min="10756" max="10756" width="7.75" style="141" bestFit="1" customWidth="1"/>
    <col min="10757" max="10757" width="9.375" style="141" customWidth="1"/>
    <col min="10758" max="10758" width="7.125" style="141" customWidth="1"/>
    <col min="10759" max="10764" width="9.375" style="141" customWidth="1"/>
    <col min="10765" max="10765" width="10.375" style="141" bestFit="1" customWidth="1"/>
    <col min="10766" max="10766" width="6.125" style="141" customWidth="1"/>
    <col min="10767" max="10767" width="7.375" style="141" customWidth="1"/>
    <col min="10768" max="10768" width="6.75" style="141" bestFit="1" customWidth="1"/>
    <col min="10769" max="10769" width="5" style="141" bestFit="1" customWidth="1"/>
    <col min="10770" max="10770" width="10.625" style="141" bestFit="1" customWidth="1"/>
    <col min="10771" max="10771" width="10.625" style="141" customWidth="1"/>
    <col min="10772" max="10772" width="10.625" style="141" bestFit="1" customWidth="1"/>
    <col min="10773" max="10773" width="14.375" style="141" customWidth="1"/>
    <col min="10774" max="10774" width="13.375" style="141" customWidth="1"/>
    <col min="10775" max="10775" width="11.875" style="141" customWidth="1"/>
    <col min="10776" max="10776" width="14.25" style="141" customWidth="1"/>
    <col min="10777" max="10777" width="6" style="141" bestFit="1" customWidth="1"/>
    <col min="10778" max="11008" width="7" style="141"/>
    <col min="11009" max="11009" width="4" style="141" bestFit="1" customWidth="1"/>
    <col min="11010" max="11010" width="5" style="141" customWidth="1"/>
    <col min="11011" max="11011" width="27.625" style="141" customWidth="1"/>
    <col min="11012" max="11012" width="7.75" style="141" bestFit="1" customWidth="1"/>
    <col min="11013" max="11013" width="9.375" style="141" customWidth="1"/>
    <col min="11014" max="11014" width="7.125" style="141" customWidth="1"/>
    <col min="11015" max="11020" width="9.375" style="141" customWidth="1"/>
    <col min="11021" max="11021" width="10.375" style="141" bestFit="1" customWidth="1"/>
    <col min="11022" max="11022" width="6.125" style="141" customWidth="1"/>
    <col min="11023" max="11023" width="7.375" style="141" customWidth="1"/>
    <col min="11024" max="11024" width="6.75" style="141" bestFit="1" customWidth="1"/>
    <col min="11025" max="11025" width="5" style="141" bestFit="1" customWidth="1"/>
    <col min="11026" max="11026" width="10.625" style="141" bestFit="1" customWidth="1"/>
    <col min="11027" max="11027" width="10.625" style="141" customWidth="1"/>
    <col min="11028" max="11028" width="10.625" style="141" bestFit="1" customWidth="1"/>
    <col min="11029" max="11029" width="14.375" style="141" customWidth="1"/>
    <col min="11030" max="11030" width="13.375" style="141" customWidth="1"/>
    <col min="11031" max="11031" width="11.875" style="141" customWidth="1"/>
    <col min="11032" max="11032" width="14.25" style="141" customWidth="1"/>
    <col min="11033" max="11033" width="6" style="141" bestFit="1" customWidth="1"/>
    <col min="11034" max="11264" width="7" style="141"/>
    <col min="11265" max="11265" width="4" style="141" bestFit="1" customWidth="1"/>
    <col min="11266" max="11266" width="5" style="141" customWidth="1"/>
    <col min="11267" max="11267" width="27.625" style="141" customWidth="1"/>
    <col min="11268" max="11268" width="7.75" style="141" bestFit="1" customWidth="1"/>
    <col min="11269" max="11269" width="9.375" style="141" customWidth="1"/>
    <col min="11270" max="11270" width="7.125" style="141" customWidth="1"/>
    <col min="11271" max="11276" width="9.375" style="141" customWidth="1"/>
    <col min="11277" max="11277" width="10.375" style="141" bestFit="1" customWidth="1"/>
    <col min="11278" max="11278" width="6.125" style="141" customWidth="1"/>
    <col min="11279" max="11279" width="7.375" style="141" customWidth="1"/>
    <col min="11280" max="11280" width="6.75" style="141" bestFit="1" customWidth="1"/>
    <col min="11281" max="11281" width="5" style="141" bestFit="1" customWidth="1"/>
    <col min="11282" max="11282" width="10.625" style="141" bestFit="1" customWidth="1"/>
    <col min="11283" max="11283" width="10.625" style="141" customWidth="1"/>
    <col min="11284" max="11284" width="10.625" style="141" bestFit="1" customWidth="1"/>
    <col min="11285" max="11285" width="14.375" style="141" customWidth="1"/>
    <col min="11286" max="11286" width="13.375" style="141" customWidth="1"/>
    <col min="11287" max="11287" width="11.875" style="141" customWidth="1"/>
    <col min="11288" max="11288" width="14.25" style="141" customWidth="1"/>
    <col min="11289" max="11289" width="6" style="141" bestFit="1" customWidth="1"/>
    <col min="11290" max="11520" width="7" style="141"/>
    <col min="11521" max="11521" width="4" style="141" bestFit="1" customWidth="1"/>
    <col min="11522" max="11522" width="5" style="141" customWidth="1"/>
    <col min="11523" max="11523" width="27.625" style="141" customWidth="1"/>
    <col min="11524" max="11524" width="7.75" style="141" bestFit="1" customWidth="1"/>
    <col min="11525" max="11525" width="9.375" style="141" customWidth="1"/>
    <col min="11526" max="11526" width="7.125" style="141" customWidth="1"/>
    <col min="11527" max="11532" width="9.375" style="141" customWidth="1"/>
    <col min="11533" max="11533" width="10.375" style="141" bestFit="1" customWidth="1"/>
    <col min="11534" max="11534" width="6.125" style="141" customWidth="1"/>
    <col min="11535" max="11535" width="7.375" style="141" customWidth="1"/>
    <col min="11536" max="11536" width="6.75" style="141" bestFit="1" customWidth="1"/>
    <col min="11537" max="11537" width="5" style="141" bestFit="1" customWidth="1"/>
    <col min="11538" max="11538" width="10.625" style="141" bestFit="1" customWidth="1"/>
    <col min="11539" max="11539" width="10.625" style="141" customWidth="1"/>
    <col min="11540" max="11540" width="10.625" style="141" bestFit="1" customWidth="1"/>
    <col min="11541" max="11541" width="14.375" style="141" customWidth="1"/>
    <col min="11542" max="11542" width="13.375" style="141" customWidth="1"/>
    <col min="11543" max="11543" width="11.875" style="141" customWidth="1"/>
    <col min="11544" max="11544" width="14.25" style="141" customWidth="1"/>
    <col min="11545" max="11545" width="6" style="141" bestFit="1" customWidth="1"/>
    <col min="11546" max="11776" width="7" style="141"/>
    <col min="11777" max="11777" width="4" style="141" bestFit="1" customWidth="1"/>
    <col min="11778" max="11778" width="5" style="141" customWidth="1"/>
    <col min="11779" max="11779" width="27.625" style="141" customWidth="1"/>
    <col min="11780" max="11780" width="7.75" style="141" bestFit="1" customWidth="1"/>
    <col min="11781" max="11781" width="9.375" style="141" customWidth="1"/>
    <col min="11782" max="11782" width="7.125" style="141" customWidth="1"/>
    <col min="11783" max="11788" width="9.375" style="141" customWidth="1"/>
    <col min="11789" max="11789" width="10.375" style="141" bestFit="1" customWidth="1"/>
    <col min="11790" max="11790" width="6.125" style="141" customWidth="1"/>
    <col min="11791" max="11791" width="7.375" style="141" customWidth="1"/>
    <col min="11792" max="11792" width="6.75" style="141" bestFit="1" customWidth="1"/>
    <col min="11793" max="11793" width="5" style="141" bestFit="1" customWidth="1"/>
    <col min="11794" max="11794" width="10.625" style="141" bestFit="1" customWidth="1"/>
    <col min="11795" max="11795" width="10.625" style="141" customWidth="1"/>
    <col min="11796" max="11796" width="10.625" style="141" bestFit="1" customWidth="1"/>
    <col min="11797" max="11797" width="14.375" style="141" customWidth="1"/>
    <col min="11798" max="11798" width="13.375" style="141" customWidth="1"/>
    <col min="11799" max="11799" width="11.875" style="141" customWidth="1"/>
    <col min="11800" max="11800" width="14.25" style="141" customWidth="1"/>
    <col min="11801" max="11801" width="6" style="141" bestFit="1" customWidth="1"/>
    <col min="11802" max="12032" width="7" style="141"/>
    <col min="12033" max="12033" width="4" style="141" bestFit="1" customWidth="1"/>
    <col min="12034" max="12034" width="5" style="141" customWidth="1"/>
    <col min="12035" max="12035" width="27.625" style="141" customWidth="1"/>
    <col min="12036" max="12036" width="7.75" style="141" bestFit="1" customWidth="1"/>
    <col min="12037" max="12037" width="9.375" style="141" customWidth="1"/>
    <col min="12038" max="12038" width="7.125" style="141" customWidth="1"/>
    <col min="12039" max="12044" width="9.375" style="141" customWidth="1"/>
    <col min="12045" max="12045" width="10.375" style="141" bestFit="1" customWidth="1"/>
    <col min="12046" max="12046" width="6.125" style="141" customWidth="1"/>
    <col min="12047" max="12047" width="7.375" style="141" customWidth="1"/>
    <col min="12048" max="12048" width="6.75" style="141" bestFit="1" customWidth="1"/>
    <col min="12049" max="12049" width="5" style="141" bestFit="1" customWidth="1"/>
    <col min="12050" max="12050" width="10.625" style="141" bestFit="1" customWidth="1"/>
    <col min="12051" max="12051" width="10.625" style="141" customWidth="1"/>
    <col min="12052" max="12052" width="10.625" style="141" bestFit="1" customWidth="1"/>
    <col min="12053" max="12053" width="14.375" style="141" customWidth="1"/>
    <col min="12054" max="12054" width="13.375" style="141" customWidth="1"/>
    <col min="12055" max="12055" width="11.875" style="141" customWidth="1"/>
    <col min="12056" max="12056" width="14.25" style="141" customWidth="1"/>
    <col min="12057" max="12057" width="6" style="141" bestFit="1" customWidth="1"/>
    <col min="12058" max="12288" width="7" style="141"/>
    <col min="12289" max="12289" width="4" style="141" bestFit="1" customWidth="1"/>
    <col min="12290" max="12290" width="5" style="141" customWidth="1"/>
    <col min="12291" max="12291" width="27.625" style="141" customWidth="1"/>
    <col min="12292" max="12292" width="7.75" style="141" bestFit="1" customWidth="1"/>
    <col min="12293" max="12293" width="9.375" style="141" customWidth="1"/>
    <col min="12294" max="12294" width="7.125" style="141" customWidth="1"/>
    <col min="12295" max="12300" width="9.375" style="141" customWidth="1"/>
    <col min="12301" max="12301" width="10.375" style="141" bestFit="1" customWidth="1"/>
    <col min="12302" max="12302" width="6.125" style="141" customWidth="1"/>
    <col min="12303" max="12303" width="7.375" style="141" customWidth="1"/>
    <col min="12304" max="12304" width="6.75" style="141" bestFit="1" customWidth="1"/>
    <col min="12305" max="12305" width="5" style="141" bestFit="1" customWidth="1"/>
    <col min="12306" max="12306" width="10.625" style="141" bestFit="1" customWidth="1"/>
    <col min="12307" max="12307" width="10.625" style="141" customWidth="1"/>
    <col min="12308" max="12308" width="10.625" style="141" bestFit="1" customWidth="1"/>
    <col min="12309" max="12309" width="14.375" style="141" customWidth="1"/>
    <col min="12310" max="12310" width="13.375" style="141" customWidth="1"/>
    <col min="12311" max="12311" width="11.875" style="141" customWidth="1"/>
    <col min="12312" max="12312" width="14.25" style="141" customWidth="1"/>
    <col min="12313" max="12313" width="6" style="141" bestFit="1" customWidth="1"/>
    <col min="12314" max="12544" width="7" style="141"/>
    <col min="12545" max="12545" width="4" style="141" bestFit="1" customWidth="1"/>
    <col min="12546" max="12546" width="5" style="141" customWidth="1"/>
    <col min="12547" max="12547" width="27.625" style="141" customWidth="1"/>
    <col min="12548" max="12548" width="7.75" style="141" bestFit="1" customWidth="1"/>
    <col min="12549" max="12549" width="9.375" style="141" customWidth="1"/>
    <col min="12550" max="12550" width="7.125" style="141" customWidth="1"/>
    <col min="12551" max="12556" width="9.375" style="141" customWidth="1"/>
    <col min="12557" max="12557" width="10.375" style="141" bestFit="1" customWidth="1"/>
    <col min="12558" max="12558" width="6.125" style="141" customWidth="1"/>
    <col min="12559" max="12559" width="7.375" style="141" customWidth="1"/>
    <col min="12560" max="12560" width="6.75" style="141" bestFit="1" customWidth="1"/>
    <col min="12561" max="12561" width="5" style="141" bestFit="1" customWidth="1"/>
    <col min="12562" max="12562" width="10.625" style="141" bestFit="1" customWidth="1"/>
    <col min="12563" max="12563" width="10.625" style="141" customWidth="1"/>
    <col min="12564" max="12564" width="10.625" style="141" bestFit="1" customWidth="1"/>
    <col min="12565" max="12565" width="14.375" style="141" customWidth="1"/>
    <col min="12566" max="12566" width="13.375" style="141" customWidth="1"/>
    <col min="12567" max="12567" width="11.875" style="141" customWidth="1"/>
    <col min="12568" max="12568" width="14.25" style="141" customWidth="1"/>
    <col min="12569" max="12569" width="6" style="141" bestFit="1" customWidth="1"/>
    <col min="12570" max="12800" width="7" style="141"/>
    <col min="12801" max="12801" width="4" style="141" bestFit="1" customWidth="1"/>
    <col min="12802" max="12802" width="5" style="141" customWidth="1"/>
    <col min="12803" max="12803" width="27.625" style="141" customWidth="1"/>
    <col min="12804" max="12804" width="7.75" style="141" bestFit="1" customWidth="1"/>
    <col min="12805" max="12805" width="9.375" style="141" customWidth="1"/>
    <col min="12806" max="12806" width="7.125" style="141" customWidth="1"/>
    <col min="12807" max="12812" width="9.375" style="141" customWidth="1"/>
    <col min="12813" max="12813" width="10.375" style="141" bestFit="1" customWidth="1"/>
    <col min="12814" max="12814" width="6.125" style="141" customWidth="1"/>
    <col min="12815" max="12815" width="7.375" style="141" customWidth="1"/>
    <col min="12816" max="12816" width="6.75" style="141" bestFit="1" customWidth="1"/>
    <col min="12817" max="12817" width="5" style="141" bestFit="1" customWidth="1"/>
    <col min="12818" max="12818" width="10.625" style="141" bestFit="1" customWidth="1"/>
    <col min="12819" max="12819" width="10.625" style="141" customWidth="1"/>
    <col min="12820" max="12820" width="10.625" style="141" bestFit="1" customWidth="1"/>
    <col min="12821" max="12821" width="14.375" style="141" customWidth="1"/>
    <col min="12822" max="12822" width="13.375" style="141" customWidth="1"/>
    <col min="12823" max="12823" width="11.875" style="141" customWidth="1"/>
    <col min="12824" max="12824" width="14.25" style="141" customWidth="1"/>
    <col min="12825" max="12825" width="6" style="141" bestFit="1" customWidth="1"/>
    <col min="12826" max="13056" width="7" style="141"/>
    <col min="13057" max="13057" width="4" style="141" bestFit="1" customWidth="1"/>
    <col min="13058" max="13058" width="5" style="141" customWidth="1"/>
    <col min="13059" max="13059" width="27.625" style="141" customWidth="1"/>
    <col min="13060" max="13060" width="7.75" style="141" bestFit="1" customWidth="1"/>
    <col min="13061" max="13061" width="9.375" style="141" customWidth="1"/>
    <col min="13062" max="13062" width="7.125" style="141" customWidth="1"/>
    <col min="13063" max="13068" width="9.375" style="141" customWidth="1"/>
    <col min="13069" max="13069" width="10.375" style="141" bestFit="1" customWidth="1"/>
    <col min="13070" max="13070" width="6.125" style="141" customWidth="1"/>
    <col min="13071" max="13071" width="7.375" style="141" customWidth="1"/>
    <col min="13072" max="13072" width="6.75" style="141" bestFit="1" customWidth="1"/>
    <col min="13073" max="13073" width="5" style="141" bestFit="1" customWidth="1"/>
    <col min="13074" max="13074" width="10.625" style="141" bestFit="1" customWidth="1"/>
    <col min="13075" max="13075" width="10.625" style="141" customWidth="1"/>
    <col min="13076" max="13076" width="10.625" style="141" bestFit="1" customWidth="1"/>
    <col min="13077" max="13077" width="14.375" style="141" customWidth="1"/>
    <col min="13078" max="13078" width="13.375" style="141" customWidth="1"/>
    <col min="13079" max="13079" width="11.875" style="141" customWidth="1"/>
    <col min="13080" max="13080" width="14.25" style="141" customWidth="1"/>
    <col min="13081" max="13081" width="6" style="141" bestFit="1" customWidth="1"/>
    <col min="13082" max="13312" width="7" style="141"/>
    <col min="13313" max="13313" width="4" style="141" bestFit="1" customWidth="1"/>
    <col min="13314" max="13314" width="5" style="141" customWidth="1"/>
    <col min="13315" max="13315" width="27.625" style="141" customWidth="1"/>
    <col min="13316" max="13316" width="7.75" style="141" bestFit="1" customWidth="1"/>
    <col min="13317" max="13317" width="9.375" style="141" customWidth="1"/>
    <col min="13318" max="13318" width="7.125" style="141" customWidth="1"/>
    <col min="13319" max="13324" width="9.375" style="141" customWidth="1"/>
    <col min="13325" max="13325" width="10.375" style="141" bestFit="1" customWidth="1"/>
    <col min="13326" max="13326" width="6.125" style="141" customWidth="1"/>
    <col min="13327" max="13327" width="7.375" style="141" customWidth="1"/>
    <col min="13328" max="13328" width="6.75" style="141" bestFit="1" customWidth="1"/>
    <col min="13329" max="13329" width="5" style="141" bestFit="1" customWidth="1"/>
    <col min="13330" max="13330" width="10.625" style="141" bestFit="1" customWidth="1"/>
    <col min="13331" max="13331" width="10.625" style="141" customWidth="1"/>
    <col min="13332" max="13332" width="10.625" style="141" bestFit="1" customWidth="1"/>
    <col min="13333" max="13333" width="14.375" style="141" customWidth="1"/>
    <col min="13334" max="13334" width="13.375" style="141" customWidth="1"/>
    <col min="13335" max="13335" width="11.875" style="141" customWidth="1"/>
    <col min="13336" max="13336" width="14.25" style="141" customWidth="1"/>
    <col min="13337" max="13337" width="6" style="141" bestFit="1" customWidth="1"/>
    <col min="13338" max="13568" width="7" style="141"/>
    <col min="13569" max="13569" width="4" style="141" bestFit="1" customWidth="1"/>
    <col min="13570" max="13570" width="5" style="141" customWidth="1"/>
    <col min="13571" max="13571" width="27.625" style="141" customWidth="1"/>
    <col min="13572" max="13572" width="7.75" style="141" bestFit="1" customWidth="1"/>
    <col min="13573" max="13573" width="9.375" style="141" customWidth="1"/>
    <col min="13574" max="13574" width="7.125" style="141" customWidth="1"/>
    <col min="13575" max="13580" width="9.375" style="141" customWidth="1"/>
    <col min="13581" max="13581" width="10.375" style="141" bestFit="1" customWidth="1"/>
    <col min="13582" max="13582" width="6.125" style="141" customWidth="1"/>
    <col min="13583" max="13583" width="7.375" style="141" customWidth="1"/>
    <col min="13584" max="13584" width="6.75" style="141" bestFit="1" customWidth="1"/>
    <col min="13585" max="13585" width="5" style="141" bestFit="1" customWidth="1"/>
    <col min="13586" max="13586" width="10.625" style="141" bestFit="1" customWidth="1"/>
    <col min="13587" max="13587" width="10.625" style="141" customWidth="1"/>
    <col min="13588" max="13588" width="10.625" style="141" bestFit="1" customWidth="1"/>
    <col min="13589" max="13589" width="14.375" style="141" customWidth="1"/>
    <col min="13590" max="13590" width="13.375" style="141" customWidth="1"/>
    <col min="13591" max="13591" width="11.875" style="141" customWidth="1"/>
    <col min="13592" max="13592" width="14.25" style="141" customWidth="1"/>
    <col min="13593" max="13593" width="6" style="141" bestFit="1" customWidth="1"/>
    <col min="13594" max="13824" width="7" style="141"/>
    <col min="13825" max="13825" width="4" style="141" bestFit="1" customWidth="1"/>
    <col min="13826" max="13826" width="5" style="141" customWidth="1"/>
    <col min="13827" max="13827" width="27.625" style="141" customWidth="1"/>
    <col min="13828" max="13828" width="7.75" style="141" bestFit="1" customWidth="1"/>
    <col min="13829" max="13829" width="9.375" style="141" customWidth="1"/>
    <col min="13830" max="13830" width="7.125" style="141" customWidth="1"/>
    <col min="13831" max="13836" width="9.375" style="141" customWidth="1"/>
    <col min="13837" max="13837" width="10.375" style="141" bestFit="1" customWidth="1"/>
    <col min="13838" max="13838" width="6.125" style="141" customWidth="1"/>
    <col min="13839" max="13839" width="7.375" style="141" customWidth="1"/>
    <col min="13840" max="13840" width="6.75" style="141" bestFit="1" customWidth="1"/>
    <col min="13841" max="13841" width="5" style="141" bestFit="1" customWidth="1"/>
    <col min="13842" max="13842" width="10.625" style="141" bestFit="1" customWidth="1"/>
    <col min="13843" max="13843" width="10.625" style="141" customWidth="1"/>
    <col min="13844" max="13844" width="10.625" style="141" bestFit="1" customWidth="1"/>
    <col min="13845" max="13845" width="14.375" style="141" customWidth="1"/>
    <col min="13846" max="13846" width="13.375" style="141" customWidth="1"/>
    <col min="13847" max="13847" width="11.875" style="141" customWidth="1"/>
    <col min="13848" max="13848" width="14.25" style="141" customWidth="1"/>
    <col min="13849" max="13849" width="6" style="141" bestFit="1" customWidth="1"/>
    <col min="13850" max="14080" width="7" style="141"/>
    <col min="14081" max="14081" width="4" style="141" bestFit="1" customWidth="1"/>
    <col min="14082" max="14082" width="5" style="141" customWidth="1"/>
    <col min="14083" max="14083" width="27.625" style="141" customWidth="1"/>
    <col min="14084" max="14084" width="7.75" style="141" bestFit="1" customWidth="1"/>
    <col min="14085" max="14085" width="9.375" style="141" customWidth="1"/>
    <col min="14086" max="14086" width="7.125" style="141" customWidth="1"/>
    <col min="14087" max="14092" width="9.375" style="141" customWidth="1"/>
    <col min="14093" max="14093" width="10.375" style="141" bestFit="1" customWidth="1"/>
    <col min="14094" max="14094" width="6.125" style="141" customWidth="1"/>
    <col min="14095" max="14095" width="7.375" style="141" customWidth="1"/>
    <col min="14096" max="14096" width="6.75" style="141" bestFit="1" customWidth="1"/>
    <col min="14097" max="14097" width="5" style="141" bestFit="1" customWidth="1"/>
    <col min="14098" max="14098" width="10.625" style="141" bestFit="1" customWidth="1"/>
    <col min="14099" max="14099" width="10.625" style="141" customWidth="1"/>
    <col min="14100" max="14100" width="10.625" style="141" bestFit="1" customWidth="1"/>
    <col min="14101" max="14101" width="14.375" style="141" customWidth="1"/>
    <col min="14102" max="14102" width="13.375" style="141" customWidth="1"/>
    <col min="14103" max="14103" width="11.875" style="141" customWidth="1"/>
    <col min="14104" max="14104" width="14.25" style="141" customWidth="1"/>
    <col min="14105" max="14105" width="6" style="141" bestFit="1" customWidth="1"/>
    <col min="14106" max="14336" width="7" style="141"/>
    <col min="14337" max="14337" width="4" style="141" bestFit="1" customWidth="1"/>
    <col min="14338" max="14338" width="5" style="141" customWidth="1"/>
    <col min="14339" max="14339" width="27.625" style="141" customWidth="1"/>
    <col min="14340" max="14340" width="7.75" style="141" bestFit="1" customWidth="1"/>
    <col min="14341" max="14341" width="9.375" style="141" customWidth="1"/>
    <col min="14342" max="14342" width="7.125" style="141" customWidth="1"/>
    <col min="14343" max="14348" width="9.375" style="141" customWidth="1"/>
    <col min="14349" max="14349" width="10.375" style="141" bestFit="1" customWidth="1"/>
    <col min="14350" max="14350" width="6.125" style="141" customWidth="1"/>
    <col min="14351" max="14351" width="7.375" style="141" customWidth="1"/>
    <col min="14352" max="14352" width="6.75" style="141" bestFit="1" customWidth="1"/>
    <col min="14353" max="14353" width="5" style="141" bestFit="1" customWidth="1"/>
    <col min="14354" max="14354" width="10.625" style="141" bestFit="1" customWidth="1"/>
    <col min="14355" max="14355" width="10.625" style="141" customWidth="1"/>
    <col min="14356" max="14356" width="10.625" style="141" bestFit="1" customWidth="1"/>
    <col min="14357" max="14357" width="14.375" style="141" customWidth="1"/>
    <col min="14358" max="14358" width="13.375" style="141" customWidth="1"/>
    <col min="14359" max="14359" width="11.875" style="141" customWidth="1"/>
    <col min="14360" max="14360" width="14.25" style="141" customWidth="1"/>
    <col min="14361" max="14361" width="6" style="141" bestFit="1" customWidth="1"/>
    <col min="14362" max="14592" width="7" style="141"/>
    <col min="14593" max="14593" width="4" style="141" bestFit="1" customWidth="1"/>
    <col min="14594" max="14594" width="5" style="141" customWidth="1"/>
    <col min="14595" max="14595" width="27.625" style="141" customWidth="1"/>
    <col min="14596" max="14596" width="7.75" style="141" bestFit="1" customWidth="1"/>
    <col min="14597" max="14597" width="9.375" style="141" customWidth="1"/>
    <col min="14598" max="14598" width="7.125" style="141" customWidth="1"/>
    <col min="14599" max="14604" width="9.375" style="141" customWidth="1"/>
    <col min="14605" max="14605" width="10.375" style="141" bestFit="1" customWidth="1"/>
    <col min="14606" max="14606" width="6.125" style="141" customWidth="1"/>
    <col min="14607" max="14607" width="7.375" style="141" customWidth="1"/>
    <col min="14608" max="14608" width="6.75" style="141" bestFit="1" customWidth="1"/>
    <col min="14609" max="14609" width="5" style="141" bestFit="1" customWidth="1"/>
    <col min="14610" max="14610" width="10.625" style="141" bestFit="1" customWidth="1"/>
    <col min="14611" max="14611" width="10.625" style="141" customWidth="1"/>
    <col min="14612" max="14612" width="10.625" style="141" bestFit="1" customWidth="1"/>
    <col min="14613" max="14613" width="14.375" style="141" customWidth="1"/>
    <col min="14614" max="14614" width="13.375" style="141" customWidth="1"/>
    <col min="14615" max="14615" width="11.875" style="141" customWidth="1"/>
    <col min="14616" max="14616" width="14.25" style="141" customWidth="1"/>
    <col min="14617" max="14617" width="6" style="141" bestFit="1" customWidth="1"/>
    <col min="14618" max="14848" width="7" style="141"/>
    <col min="14849" max="14849" width="4" style="141" bestFit="1" customWidth="1"/>
    <col min="14850" max="14850" width="5" style="141" customWidth="1"/>
    <col min="14851" max="14851" width="27.625" style="141" customWidth="1"/>
    <col min="14852" max="14852" width="7.75" style="141" bestFit="1" customWidth="1"/>
    <col min="14853" max="14853" width="9.375" style="141" customWidth="1"/>
    <col min="14854" max="14854" width="7.125" style="141" customWidth="1"/>
    <col min="14855" max="14860" width="9.375" style="141" customWidth="1"/>
    <col min="14861" max="14861" width="10.375" style="141" bestFit="1" customWidth="1"/>
    <col min="14862" max="14862" width="6.125" style="141" customWidth="1"/>
    <col min="14863" max="14863" width="7.375" style="141" customWidth="1"/>
    <col min="14864" max="14864" width="6.75" style="141" bestFit="1" customWidth="1"/>
    <col min="14865" max="14865" width="5" style="141" bestFit="1" customWidth="1"/>
    <col min="14866" max="14866" width="10.625" style="141" bestFit="1" customWidth="1"/>
    <col min="14867" max="14867" width="10.625" style="141" customWidth="1"/>
    <col min="14868" max="14868" width="10.625" style="141" bestFit="1" customWidth="1"/>
    <col min="14869" max="14869" width="14.375" style="141" customWidth="1"/>
    <col min="14870" max="14870" width="13.375" style="141" customWidth="1"/>
    <col min="14871" max="14871" width="11.875" style="141" customWidth="1"/>
    <col min="14872" max="14872" width="14.25" style="141" customWidth="1"/>
    <col min="14873" max="14873" width="6" style="141" bestFit="1" customWidth="1"/>
    <col min="14874" max="15104" width="7" style="141"/>
    <col min="15105" max="15105" width="4" style="141" bestFit="1" customWidth="1"/>
    <col min="15106" max="15106" width="5" style="141" customWidth="1"/>
    <col min="15107" max="15107" width="27.625" style="141" customWidth="1"/>
    <col min="15108" max="15108" width="7.75" style="141" bestFit="1" customWidth="1"/>
    <col min="15109" max="15109" width="9.375" style="141" customWidth="1"/>
    <col min="15110" max="15110" width="7.125" style="141" customWidth="1"/>
    <col min="15111" max="15116" width="9.375" style="141" customWidth="1"/>
    <col min="15117" max="15117" width="10.375" style="141" bestFit="1" customWidth="1"/>
    <col min="15118" max="15118" width="6.125" style="141" customWidth="1"/>
    <col min="15119" max="15119" width="7.375" style="141" customWidth="1"/>
    <col min="15120" max="15120" width="6.75" style="141" bestFit="1" customWidth="1"/>
    <col min="15121" max="15121" width="5" style="141" bestFit="1" customWidth="1"/>
    <col min="15122" max="15122" width="10.625" style="141" bestFit="1" customWidth="1"/>
    <col min="15123" max="15123" width="10.625" style="141" customWidth="1"/>
    <col min="15124" max="15124" width="10.625" style="141" bestFit="1" customWidth="1"/>
    <col min="15125" max="15125" width="14.375" style="141" customWidth="1"/>
    <col min="15126" max="15126" width="13.375" style="141" customWidth="1"/>
    <col min="15127" max="15127" width="11.875" style="141" customWidth="1"/>
    <col min="15128" max="15128" width="14.25" style="141" customWidth="1"/>
    <col min="15129" max="15129" width="6" style="141" bestFit="1" customWidth="1"/>
    <col min="15130" max="15360" width="7" style="141"/>
    <col min="15361" max="15361" width="4" style="141" bestFit="1" customWidth="1"/>
    <col min="15362" max="15362" width="5" style="141" customWidth="1"/>
    <col min="15363" max="15363" width="27.625" style="141" customWidth="1"/>
    <col min="15364" max="15364" width="7.75" style="141" bestFit="1" customWidth="1"/>
    <col min="15365" max="15365" width="9.375" style="141" customWidth="1"/>
    <col min="15366" max="15366" width="7.125" style="141" customWidth="1"/>
    <col min="15367" max="15372" width="9.375" style="141" customWidth="1"/>
    <col min="15373" max="15373" width="10.375" style="141" bestFit="1" customWidth="1"/>
    <col min="15374" max="15374" width="6.125" style="141" customWidth="1"/>
    <col min="15375" max="15375" width="7.375" style="141" customWidth="1"/>
    <col min="15376" max="15376" width="6.75" style="141" bestFit="1" customWidth="1"/>
    <col min="15377" max="15377" width="5" style="141" bestFit="1" customWidth="1"/>
    <col min="15378" max="15378" width="10.625" style="141" bestFit="1" customWidth="1"/>
    <col min="15379" max="15379" width="10.625" style="141" customWidth="1"/>
    <col min="15380" max="15380" width="10.625" style="141" bestFit="1" customWidth="1"/>
    <col min="15381" max="15381" width="14.375" style="141" customWidth="1"/>
    <col min="15382" max="15382" width="13.375" style="141" customWidth="1"/>
    <col min="15383" max="15383" width="11.875" style="141" customWidth="1"/>
    <col min="15384" max="15384" width="14.25" style="141" customWidth="1"/>
    <col min="15385" max="15385" width="6" style="141" bestFit="1" customWidth="1"/>
    <col min="15386" max="15616" width="7" style="141"/>
    <col min="15617" max="15617" width="4" style="141" bestFit="1" customWidth="1"/>
    <col min="15618" max="15618" width="5" style="141" customWidth="1"/>
    <col min="15619" max="15619" width="27.625" style="141" customWidth="1"/>
    <col min="15620" max="15620" width="7.75" style="141" bestFit="1" customWidth="1"/>
    <col min="15621" max="15621" width="9.375" style="141" customWidth="1"/>
    <col min="15622" max="15622" width="7.125" style="141" customWidth="1"/>
    <col min="15623" max="15628" width="9.375" style="141" customWidth="1"/>
    <col min="15629" max="15629" width="10.375" style="141" bestFit="1" customWidth="1"/>
    <col min="15630" max="15630" width="6.125" style="141" customWidth="1"/>
    <col min="15631" max="15631" width="7.375" style="141" customWidth="1"/>
    <col min="15632" max="15632" width="6.75" style="141" bestFit="1" customWidth="1"/>
    <col min="15633" max="15633" width="5" style="141" bestFit="1" customWidth="1"/>
    <col min="15634" max="15634" width="10.625" style="141" bestFit="1" customWidth="1"/>
    <col min="15635" max="15635" width="10.625" style="141" customWidth="1"/>
    <col min="15636" max="15636" width="10.625" style="141" bestFit="1" customWidth="1"/>
    <col min="15637" max="15637" width="14.375" style="141" customWidth="1"/>
    <col min="15638" max="15638" width="13.375" style="141" customWidth="1"/>
    <col min="15639" max="15639" width="11.875" style="141" customWidth="1"/>
    <col min="15640" max="15640" width="14.25" style="141" customWidth="1"/>
    <col min="15641" max="15641" width="6" style="141" bestFit="1" customWidth="1"/>
    <col min="15642" max="15872" width="7" style="141"/>
    <col min="15873" max="15873" width="4" style="141" bestFit="1" customWidth="1"/>
    <col min="15874" max="15874" width="5" style="141" customWidth="1"/>
    <col min="15875" max="15875" width="27.625" style="141" customWidth="1"/>
    <col min="15876" max="15876" width="7.75" style="141" bestFit="1" customWidth="1"/>
    <col min="15877" max="15877" width="9.375" style="141" customWidth="1"/>
    <col min="15878" max="15878" width="7.125" style="141" customWidth="1"/>
    <col min="15879" max="15884" width="9.375" style="141" customWidth="1"/>
    <col min="15885" max="15885" width="10.375" style="141" bestFit="1" customWidth="1"/>
    <col min="15886" max="15886" width="6.125" style="141" customWidth="1"/>
    <col min="15887" max="15887" width="7.375" style="141" customWidth="1"/>
    <col min="15888" max="15888" width="6.75" style="141" bestFit="1" customWidth="1"/>
    <col min="15889" max="15889" width="5" style="141" bestFit="1" customWidth="1"/>
    <col min="15890" max="15890" width="10.625" style="141" bestFit="1" customWidth="1"/>
    <col min="15891" max="15891" width="10.625" style="141" customWidth="1"/>
    <col min="15892" max="15892" width="10.625" style="141" bestFit="1" customWidth="1"/>
    <col min="15893" max="15893" width="14.375" style="141" customWidth="1"/>
    <col min="15894" max="15894" width="13.375" style="141" customWidth="1"/>
    <col min="15895" max="15895" width="11.875" style="141" customWidth="1"/>
    <col min="15896" max="15896" width="14.25" style="141" customWidth="1"/>
    <col min="15897" max="15897" width="6" style="141" bestFit="1" customWidth="1"/>
    <col min="15898" max="16128" width="7" style="141"/>
    <col min="16129" max="16129" width="4" style="141" bestFit="1" customWidth="1"/>
    <col min="16130" max="16130" width="5" style="141" customWidth="1"/>
    <col min="16131" max="16131" width="27.625" style="141" customWidth="1"/>
    <col min="16132" max="16132" width="7.75" style="141" bestFit="1" customWidth="1"/>
    <col min="16133" max="16133" width="9.375" style="141" customWidth="1"/>
    <col min="16134" max="16134" width="7.125" style="141" customWidth="1"/>
    <col min="16135" max="16140" width="9.375" style="141" customWidth="1"/>
    <col min="16141" max="16141" width="10.375" style="141" bestFit="1" customWidth="1"/>
    <col min="16142" max="16142" width="6.125" style="141" customWidth="1"/>
    <col min="16143" max="16143" width="7.375" style="141" customWidth="1"/>
    <col min="16144" max="16144" width="6.75" style="141" bestFit="1" customWidth="1"/>
    <col min="16145" max="16145" width="5" style="141" bestFit="1" customWidth="1"/>
    <col min="16146" max="16146" width="10.625" style="141" bestFit="1" customWidth="1"/>
    <col min="16147" max="16147" width="10.625" style="141" customWidth="1"/>
    <col min="16148" max="16148" width="10.625" style="141" bestFit="1" customWidth="1"/>
    <col min="16149" max="16149" width="14.375" style="141" customWidth="1"/>
    <col min="16150" max="16150" width="13.375" style="141" customWidth="1"/>
    <col min="16151" max="16151" width="11.875" style="141" customWidth="1"/>
    <col min="16152" max="16152" width="14.25" style="141" customWidth="1"/>
    <col min="16153" max="16153" width="6" style="141" bestFit="1" customWidth="1"/>
    <col min="16154" max="16384" width="7" style="141"/>
  </cols>
  <sheetData>
    <row r="1" spans="1:24">
      <c r="A1" s="1360" t="s">
        <v>131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0"/>
      <c r="N1" s="1360"/>
      <c r="O1" s="1360"/>
      <c r="P1" s="1360"/>
      <c r="Q1" s="1360"/>
      <c r="R1" s="1360"/>
      <c r="S1" s="1360"/>
      <c r="T1" s="1360"/>
      <c r="U1" s="1360"/>
      <c r="V1" s="1360"/>
      <c r="W1" s="1360"/>
      <c r="X1" s="1360"/>
    </row>
    <row r="2" spans="1:24">
      <c r="A2" s="1360" t="s">
        <v>709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750"/>
      <c r="T2" s="750"/>
      <c r="U2" s="750"/>
      <c r="V2" s="116" t="s">
        <v>710</v>
      </c>
      <c r="W2" s="116"/>
      <c r="X2" s="116"/>
    </row>
    <row r="3" spans="1:24">
      <c r="A3" s="1361" t="s">
        <v>711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41"/>
      <c r="W3" s="141"/>
      <c r="X3" s="141"/>
    </row>
    <row r="4" spans="1:24">
      <c r="A4" s="751"/>
      <c r="B4" s="751"/>
      <c r="C4" s="119" t="s">
        <v>134</v>
      </c>
      <c r="D4" s="752"/>
      <c r="E4" s="752"/>
      <c r="F4" s="751"/>
      <c r="G4" s="751"/>
      <c r="H4" s="751"/>
      <c r="I4" s="751"/>
      <c r="J4" s="751"/>
      <c r="K4" s="751"/>
      <c r="L4" s="753"/>
      <c r="M4" s="751"/>
      <c r="N4" s="751"/>
      <c r="O4" s="751"/>
      <c r="P4" s="751"/>
      <c r="Q4" s="751"/>
      <c r="R4" s="751"/>
      <c r="S4" s="751"/>
      <c r="T4" s="751"/>
      <c r="U4" s="751"/>
      <c r="V4" s="122" t="s">
        <v>135</v>
      </c>
      <c r="W4" s="122"/>
      <c r="X4" s="122"/>
    </row>
    <row r="5" spans="1:24" ht="56.25">
      <c r="A5" s="1362" t="s">
        <v>136</v>
      </c>
      <c r="B5" s="1364" t="s">
        <v>712</v>
      </c>
      <c r="C5" s="754" t="s">
        <v>713</v>
      </c>
      <c r="D5" s="1366" t="s">
        <v>714</v>
      </c>
      <c r="E5" s="1366" t="s">
        <v>715</v>
      </c>
      <c r="F5" s="1368" t="s">
        <v>716</v>
      </c>
      <c r="G5" s="1368" t="s">
        <v>717</v>
      </c>
      <c r="H5" s="1368" t="s">
        <v>718</v>
      </c>
      <c r="I5" s="1368" t="s">
        <v>719</v>
      </c>
      <c r="J5" s="1368" t="s">
        <v>720</v>
      </c>
      <c r="K5" s="1368" t="s">
        <v>721</v>
      </c>
      <c r="L5" s="1364" t="s">
        <v>722</v>
      </c>
      <c r="M5" s="754" t="s">
        <v>145</v>
      </c>
      <c r="N5" s="754" t="s">
        <v>146</v>
      </c>
      <c r="O5" s="754" t="s">
        <v>147</v>
      </c>
      <c r="P5" s="754" t="s">
        <v>43</v>
      </c>
      <c r="Q5" s="754" t="s">
        <v>148</v>
      </c>
      <c r="R5" s="754" t="s">
        <v>723</v>
      </c>
      <c r="S5" s="754" t="s">
        <v>724</v>
      </c>
      <c r="T5" s="754" t="s">
        <v>725</v>
      </c>
      <c r="U5" s="1370" t="s">
        <v>726</v>
      </c>
      <c r="V5" s="1371"/>
      <c r="W5" s="1371"/>
      <c r="X5" s="1372"/>
    </row>
    <row r="6" spans="1:24" ht="37.5">
      <c r="A6" s="1363"/>
      <c r="B6" s="1365"/>
      <c r="C6" s="755"/>
      <c r="D6" s="1367"/>
      <c r="E6" s="1367"/>
      <c r="F6" s="1369"/>
      <c r="G6" s="1369"/>
      <c r="H6" s="1369"/>
      <c r="I6" s="1369"/>
      <c r="J6" s="1369"/>
      <c r="K6" s="1369"/>
      <c r="L6" s="1365"/>
      <c r="M6" s="755"/>
      <c r="N6" s="755"/>
      <c r="O6" s="755"/>
      <c r="P6" s="755"/>
      <c r="Q6" s="755"/>
      <c r="R6" s="755"/>
      <c r="S6" s="755"/>
      <c r="T6" s="755"/>
      <c r="U6" s="755" t="s">
        <v>727</v>
      </c>
      <c r="V6" s="124" t="s">
        <v>152</v>
      </c>
      <c r="W6" s="124" t="s">
        <v>153</v>
      </c>
      <c r="X6" s="124" t="s">
        <v>728</v>
      </c>
    </row>
    <row r="7" spans="1:24" s="809" customFormat="1">
      <c r="A7" s="131"/>
      <c r="B7" s="807"/>
      <c r="C7" s="140" t="s">
        <v>789</v>
      </c>
      <c r="D7" s="134"/>
      <c r="E7" s="808"/>
      <c r="F7" s="807"/>
      <c r="G7" s="808"/>
      <c r="H7" s="808"/>
      <c r="I7" s="807"/>
      <c r="J7" s="808"/>
      <c r="K7" s="807"/>
      <c r="L7" s="808"/>
      <c r="M7" s="787"/>
      <c r="N7" s="788"/>
      <c r="O7" s="788"/>
      <c r="P7" s="789"/>
      <c r="Q7" s="789"/>
      <c r="R7" s="789"/>
      <c r="S7" s="789"/>
      <c r="T7" s="789"/>
      <c r="U7" s="140"/>
      <c r="V7" s="140"/>
      <c r="W7" s="140"/>
      <c r="X7" s="140"/>
    </row>
    <row r="8" spans="1:24" s="809" customFormat="1" ht="75">
      <c r="A8" s="131">
        <v>6</v>
      </c>
      <c r="B8" s="807">
        <v>1</v>
      </c>
      <c r="C8" s="140" t="s">
        <v>790</v>
      </c>
      <c r="D8" s="134">
        <v>9637</v>
      </c>
      <c r="E8" s="808">
        <v>13000000</v>
      </c>
      <c r="F8" s="807">
        <v>1</v>
      </c>
      <c r="G8" s="808">
        <v>13000000</v>
      </c>
      <c r="H8" s="808"/>
      <c r="I8" s="807"/>
      <c r="J8" s="808"/>
      <c r="K8" s="807"/>
      <c r="L8" s="810">
        <f t="shared" ref="L8:L10" si="0">SUM(G8:K8)</f>
        <v>13000000</v>
      </c>
      <c r="M8" s="787" t="s">
        <v>187</v>
      </c>
      <c r="N8" s="788" t="s">
        <v>188</v>
      </c>
      <c r="O8" s="788" t="s">
        <v>189</v>
      </c>
      <c r="P8" s="789" t="s">
        <v>17</v>
      </c>
      <c r="Q8" s="789" t="s">
        <v>173</v>
      </c>
      <c r="R8" s="789" t="s">
        <v>791</v>
      </c>
      <c r="S8" s="789">
        <v>30</v>
      </c>
      <c r="T8" s="811">
        <v>73.150000000000006</v>
      </c>
      <c r="U8" s="140"/>
      <c r="V8" s="140"/>
      <c r="W8" s="140"/>
      <c r="X8" s="140"/>
    </row>
    <row r="9" spans="1:24" s="809" customFormat="1" ht="75">
      <c r="A9" s="131">
        <v>6</v>
      </c>
      <c r="B9" s="807">
        <v>2</v>
      </c>
      <c r="C9" s="140" t="s">
        <v>792</v>
      </c>
      <c r="D9" s="812">
        <v>9567</v>
      </c>
      <c r="E9" s="756">
        <v>5090600</v>
      </c>
      <c r="F9" s="807">
        <v>1</v>
      </c>
      <c r="G9" s="756">
        <v>5090600</v>
      </c>
      <c r="H9" s="808"/>
      <c r="I9" s="807"/>
      <c r="J9" s="808"/>
      <c r="K9" s="807"/>
      <c r="L9" s="810">
        <f t="shared" si="0"/>
        <v>5090600</v>
      </c>
      <c r="M9" s="763" t="s">
        <v>229</v>
      </c>
      <c r="N9" s="134" t="s">
        <v>212</v>
      </c>
      <c r="O9" s="813" t="s">
        <v>230</v>
      </c>
      <c r="P9" s="789" t="s">
        <v>17</v>
      </c>
      <c r="Q9" s="789" t="s">
        <v>173</v>
      </c>
      <c r="R9" s="789" t="s">
        <v>791</v>
      </c>
      <c r="S9" s="139">
        <v>30</v>
      </c>
      <c r="T9" s="761">
        <v>93.04</v>
      </c>
      <c r="U9" s="140" t="s">
        <v>793</v>
      </c>
      <c r="V9" s="140"/>
      <c r="W9" s="140"/>
      <c r="X9" s="140"/>
    </row>
    <row r="10" spans="1:24" s="809" customFormat="1" ht="75">
      <c r="A10" s="131">
        <v>6</v>
      </c>
      <c r="B10" s="807">
        <v>5</v>
      </c>
      <c r="C10" s="140" t="s">
        <v>794</v>
      </c>
      <c r="D10" s="134" t="s">
        <v>795</v>
      </c>
      <c r="E10" s="758">
        <v>14776300</v>
      </c>
      <c r="F10" s="807">
        <v>1</v>
      </c>
      <c r="G10" s="182"/>
      <c r="H10" s="758">
        <v>14776300</v>
      </c>
      <c r="I10" s="814"/>
      <c r="J10" s="814"/>
      <c r="K10" s="807"/>
      <c r="L10" s="810">
        <f t="shared" si="0"/>
        <v>14776300</v>
      </c>
      <c r="M10" s="787" t="s">
        <v>208</v>
      </c>
      <c r="N10" s="788" t="s">
        <v>209</v>
      </c>
      <c r="O10" s="788" t="s">
        <v>210</v>
      </c>
      <c r="P10" s="789" t="s">
        <v>17</v>
      </c>
      <c r="Q10" s="789" t="s">
        <v>173</v>
      </c>
      <c r="R10" s="789" t="s">
        <v>791</v>
      </c>
      <c r="S10" s="789">
        <v>30</v>
      </c>
      <c r="T10" s="811">
        <v>67.53</v>
      </c>
      <c r="U10" s="140"/>
      <c r="V10" s="170" t="s">
        <v>796</v>
      </c>
      <c r="W10" s="140"/>
      <c r="X10" s="140"/>
    </row>
    <row r="11" spans="1:24" s="809" customFormat="1" ht="75">
      <c r="A11" s="131">
        <v>6</v>
      </c>
      <c r="B11" s="807">
        <v>7</v>
      </c>
      <c r="C11" s="140" t="s">
        <v>794</v>
      </c>
      <c r="D11" s="134" t="s">
        <v>795</v>
      </c>
      <c r="E11" s="758">
        <v>14776300</v>
      </c>
      <c r="F11" s="807">
        <v>1</v>
      </c>
      <c r="G11" s="814"/>
      <c r="H11" s="814"/>
      <c r="I11" s="807"/>
      <c r="J11" s="758">
        <v>14776300</v>
      </c>
      <c r="K11" s="807"/>
      <c r="L11" s="810">
        <f>SUM(G11:K11)</f>
        <v>14776300</v>
      </c>
      <c r="M11" s="787" t="s">
        <v>202</v>
      </c>
      <c r="N11" s="788" t="s">
        <v>203</v>
      </c>
      <c r="O11" s="788" t="s">
        <v>204</v>
      </c>
      <c r="P11" s="789" t="s">
        <v>17</v>
      </c>
      <c r="Q11" s="789" t="s">
        <v>181</v>
      </c>
      <c r="R11" s="789" t="s">
        <v>791</v>
      </c>
      <c r="S11" s="789">
        <v>60</v>
      </c>
      <c r="T11" s="811">
        <v>57.9</v>
      </c>
      <c r="U11" s="140"/>
      <c r="V11" s="140" t="s">
        <v>742</v>
      </c>
      <c r="W11" s="140"/>
      <c r="X11" s="140"/>
    </row>
    <row r="12" spans="1:24" s="809" customFormat="1" ht="126">
      <c r="A12" s="131">
        <v>6</v>
      </c>
      <c r="B12" s="807">
        <v>3</v>
      </c>
      <c r="C12" s="140" t="s">
        <v>797</v>
      </c>
      <c r="D12" s="812">
        <v>10464</v>
      </c>
      <c r="E12" s="758">
        <v>32000000</v>
      </c>
      <c r="F12" s="807">
        <v>1</v>
      </c>
      <c r="G12" s="758">
        <v>32000000</v>
      </c>
      <c r="H12" s="808"/>
      <c r="I12" s="807"/>
      <c r="J12" s="808"/>
      <c r="K12" s="807"/>
      <c r="L12" s="810">
        <f>SUM(G12:K12)</f>
        <v>32000000</v>
      </c>
      <c r="M12" s="136" t="s">
        <v>755</v>
      </c>
      <c r="N12" s="137" t="s">
        <v>159</v>
      </c>
      <c r="O12" s="137" t="s">
        <v>197</v>
      </c>
      <c r="P12" s="139" t="s">
        <v>17</v>
      </c>
      <c r="Q12" s="139" t="s">
        <v>2</v>
      </c>
      <c r="R12" s="789" t="s">
        <v>791</v>
      </c>
      <c r="S12" s="139">
        <v>755</v>
      </c>
      <c r="T12" s="761">
        <v>93.84</v>
      </c>
      <c r="U12" s="815" t="s">
        <v>798</v>
      </c>
      <c r="V12" s="815" t="s">
        <v>799</v>
      </c>
      <c r="W12" s="816"/>
      <c r="X12" s="790" t="s">
        <v>800</v>
      </c>
    </row>
    <row r="13" spans="1:24" s="768" customFormat="1">
      <c r="A13" s="1374" t="s">
        <v>801</v>
      </c>
      <c r="B13" s="1375"/>
      <c r="C13" s="1375"/>
      <c r="D13" s="1375"/>
      <c r="E13" s="1375"/>
      <c r="F13" s="1376"/>
      <c r="G13" s="764">
        <f>SUM(G8:G12)</f>
        <v>50090600</v>
      </c>
      <c r="H13" s="764">
        <f t="shared" ref="H13:L13" si="1">SUM(H8:H12)</f>
        <v>14776300</v>
      </c>
      <c r="I13" s="764">
        <f t="shared" si="1"/>
        <v>0</v>
      </c>
      <c r="J13" s="764">
        <f t="shared" si="1"/>
        <v>14776300</v>
      </c>
      <c r="K13" s="764">
        <f t="shared" si="1"/>
        <v>0</v>
      </c>
      <c r="L13" s="764">
        <f t="shared" si="1"/>
        <v>79643200</v>
      </c>
      <c r="M13" s="765"/>
      <c r="N13" s="203"/>
      <c r="O13" s="203"/>
      <c r="P13" s="204"/>
      <c r="Q13" s="204"/>
      <c r="R13" s="204"/>
      <c r="S13" s="204"/>
      <c r="T13" s="766"/>
      <c r="U13" s="208"/>
      <c r="V13" s="208"/>
      <c r="W13" s="208"/>
      <c r="X13" s="208"/>
    </row>
    <row r="14" spans="1:24">
      <c r="B14" s="748" t="s">
        <v>0</v>
      </c>
      <c r="C14" s="746" t="s">
        <v>1</v>
      </c>
      <c r="D14" s="1373" t="s">
        <v>18</v>
      </c>
      <c r="E14" s="1373"/>
      <c r="F14" s="1373"/>
      <c r="G14" s="1373"/>
      <c r="H14" s="1373"/>
      <c r="I14" s="1341" t="s">
        <v>8</v>
      </c>
    </row>
    <row r="15" spans="1:24">
      <c r="B15" s="16"/>
      <c r="C15" s="747" t="s">
        <v>16</v>
      </c>
      <c r="D15" s="749" t="s">
        <v>2</v>
      </c>
      <c r="E15" s="749" t="s">
        <v>3</v>
      </c>
      <c r="F15" s="749" t="s">
        <v>4</v>
      </c>
      <c r="G15" s="749" t="s">
        <v>5</v>
      </c>
      <c r="H15" s="749" t="s">
        <v>173</v>
      </c>
      <c r="I15" s="1342"/>
    </row>
    <row r="16" spans="1:24" ht="31.5">
      <c r="B16" s="18">
        <v>2561</v>
      </c>
      <c r="C16" s="817" t="s">
        <v>802</v>
      </c>
      <c r="D16" s="29" t="s">
        <v>52</v>
      </c>
      <c r="E16" s="29"/>
      <c r="F16" s="29"/>
      <c r="G16" s="29"/>
      <c r="H16" s="29"/>
      <c r="I16" s="818">
        <v>8400000</v>
      </c>
    </row>
    <row r="17" spans="1:15" ht="31.5">
      <c r="B17" s="22">
        <v>2561</v>
      </c>
      <c r="C17" s="819" t="s">
        <v>803</v>
      </c>
      <c r="D17" s="30" t="s">
        <v>243</v>
      </c>
      <c r="E17" s="30"/>
      <c r="F17" s="30"/>
      <c r="G17" s="30"/>
      <c r="H17" s="30" t="s">
        <v>52</v>
      </c>
      <c r="I17" s="820">
        <v>1400000</v>
      </c>
    </row>
    <row r="18" spans="1:15">
      <c r="B18" s="22">
        <v>2563</v>
      </c>
      <c r="C18" s="30" t="s">
        <v>804</v>
      </c>
      <c r="D18" s="30"/>
      <c r="E18" s="30"/>
      <c r="F18" s="30"/>
      <c r="G18" s="30"/>
      <c r="H18" s="30"/>
      <c r="I18" s="30"/>
    </row>
    <row r="19" spans="1:15">
      <c r="B19" s="22">
        <v>2564</v>
      </c>
      <c r="C19" s="30" t="s">
        <v>804</v>
      </c>
      <c r="D19" s="30"/>
      <c r="E19" s="30"/>
      <c r="F19" s="30"/>
      <c r="G19" s="30"/>
      <c r="H19" s="30"/>
      <c r="I19" s="30"/>
    </row>
    <row r="20" spans="1:15">
      <c r="B20" s="22">
        <v>2565</v>
      </c>
      <c r="C20" s="30" t="s">
        <v>804</v>
      </c>
      <c r="D20" s="30"/>
      <c r="E20" s="30"/>
      <c r="F20" s="30"/>
      <c r="G20" s="30"/>
      <c r="H20" s="30"/>
      <c r="I20" s="30"/>
    </row>
    <row r="21" spans="1:15">
      <c r="B21" s="31" t="s">
        <v>8</v>
      </c>
      <c r="C21" s="31" t="s">
        <v>243</v>
      </c>
      <c r="D21" s="31"/>
      <c r="E21" s="31"/>
      <c r="F21" s="31"/>
      <c r="G21" s="31"/>
      <c r="H21" s="31"/>
      <c r="I21" s="821">
        <f>SUM(I16:I20)</f>
        <v>9800000</v>
      </c>
    </row>
    <row r="22" spans="1:15">
      <c r="A22" s="1412" t="s">
        <v>930</v>
      </c>
      <c r="B22" s="1412"/>
      <c r="C22" s="1412"/>
      <c r="D22" s="1412"/>
      <c r="E22" s="1412"/>
      <c r="F22" s="1412"/>
      <c r="G22" s="1412"/>
      <c r="H22" s="1412"/>
      <c r="I22" s="1412"/>
    </row>
    <row r="23" spans="1:15">
      <c r="A23" s="917" t="s">
        <v>0</v>
      </c>
      <c r="B23" s="918" t="s">
        <v>1</v>
      </c>
      <c r="C23" s="876" t="s">
        <v>158</v>
      </c>
      <c r="D23" s="876" t="s">
        <v>884</v>
      </c>
      <c r="E23" s="876" t="s">
        <v>885</v>
      </c>
      <c r="F23" s="876" t="s">
        <v>886</v>
      </c>
      <c r="G23" s="876" t="s">
        <v>887</v>
      </c>
      <c r="H23" s="876" t="s">
        <v>891</v>
      </c>
      <c r="I23" s="1398" t="s">
        <v>8</v>
      </c>
      <c r="J23" s="884" t="s">
        <v>451</v>
      </c>
      <c r="K23" s="884" t="s">
        <v>42</v>
      </c>
      <c r="L23" s="884" t="s">
        <v>936</v>
      </c>
      <c r="M23" s="966" t="s">
        <v>937</v>
      </c>
      <c r="N23" s="218" t="s">
        <v>938</v>
      </c>
      <c r="O23" s="218" t="s">
        <v>939</v>
      </c>
    </row>
    <row r="24" spans="1:15">
      <c r="A24" s="919"/>
      <c r="B24" s="951" t="s">
        <v>16</v>
      </c>
      <c r="C24" s="921" t="s">
        <v>2</v>
      </c>
      <c r="D24" s="921" t="s">
        <v>3</v>
      </c>
      <c r="E24" s="921" t="s">
        <v>5</v>
      </c>
      <c r="F24" s="921" t="s">
        <v>5</v>
      </c>
      <c r="G24" s="921" t="s">
        <v>5</v>
      </c>
      <c r="H24" s="921" t="s">
        <v>893</v>
      </c>
      <c r="I24" s="1399"/>
      <c r="J24" s="967" t="s">
        <v>158</v>
      </c>
      <c r="K24" s="968" t="s">
        <v>2</v>
      </c>
      <c r="L24" s="968" t="s">
        <v>940</v>
      </c>
      <c r="M24" s="218">
        <v>64</v>
      </c>
      <c r="N24" s="218">
        <v>0</v>
      </c>
      <c r="O24" s="218">
        <f>+N24+M24</f>
        <v>64</v>
      </c>
    </row>
    <row r="25" spans="1:15" ht="21">
      <c r="A25" s="956">
        <v>2561</v>
      </c>
      <c r="B25" s="883"/>
      <c r="C25" s="957">
        <v>479379800</v>
      </c>
      <c r="D25" s="958">
        <v>0</v>
      </c>
      <c r="E25" s="959">
        <v>260000</v>
      </c>
      <c r="F25" s="960">
        <v>10000000</v>
      </c>
      <c r="G25" s="961">
        <v>0</v>
      </c>
      <c r="H25" s="959">
        <v>5000000</v>
      </c>
      <c r="I25" s="960">
        <f t="shared" ref="I25:I30" si="2">SUM(C25:H25)</f>
        <v>494639800</v>
      </c>
      <c r="J25" s="967" t="s">
        <v>884</v>
      </c>
      <c r="K25" s="968" t="s">
        <v>3</v>
      </c>
      <c r="L25" s="968" t="s">
        <v>941</v>
      </c>
      <c r="M25" s="218">
        <v>11</v>
      </c>
      <c r="N25" s="218">
        <v>12</v>
      </c>
      <c r="O25" s="218">
        <f t="shared" ref="O25:O36" si="3">+N25+M25</f>
        <v>23</v>
      </c>
    </row>
    <row r="26" spans="1:15">
      <c r="A26" s="956">
        <v>2562</v>
      </c>
      <c r="B26" s="962"/>
      <c r="C26" s="956"/>
      <c r="D26" s="963">
        <v>5000000</v>
      </c>
      <c r="E26" s="961">
        <v>0</v>
      </c>
      <c r="F26" s="961">
        <v>0</v>
      </c>
      <c r="G26" s="959">
        <v>10000000</v>
      </c>
      <c r="H26" s="959"/>
      <c r="I26" s="960">
        <f t="shared" si="2"/>
        <v>15000000</v>
      </c>
      <c r="J26" s="967" t="s">
        <v>887</v>
      </c>
      <c r="K26" s="968" t="s">
        <v>5</v>
      </c>
      <c r="L26" s="968" t="s">
        <v>942</v>
      </c>
      <c r="M26" s="218">
        <v>5</v>
      </c>
      <c r="N26" s="218">
        <v>2</v>
      </c>
      <c r="O26" s="218">
        <f t="shared" si="3"/>
        <v>7</v>
      </c>
    </row>
    <row r="27" spans="1:15">
      <c r="A27" s="956">
        <v>2563</v>
      </c>
      <c r="B27" s="962"/>
      <c r="C27" s="956"/>
      <c r="D27" s="964"/>
      <c r="E27" s="961">
        <v>0</v>
      </c>
      <c r="F27" s="961">
        <v>0</v>
      </c>
      <c r="G27" s="961">
        <v>0</v>
      </c>
      <c r="H27" s="959"/>
      <c r="I27" s="960">
        <f t="shared" si="2"/>
        <v>0</v>
      </c>
      <c r="J27" s="967" t="s">
        <v>885</v>
      </c>
      <c r="K27" s="968" t="s">
        <v>5</v>
      </c>
      <c r="L27" s="968" t="s">
        <v>942</v>
      </c>
      <c r="M27" s="218">
        <v>9</v>
      </c>
      <c r="N27" s="218">
        <v>9</v>
      </c>
      <c r="O27" s="218">
        <f t="shared" si="3"/>
        <v>18</v>
      </c>
    </row>
    <row r="28" spans="1:15">
      <c r="A28" s="956">
        <v>2564</v>
      </c>
      <c r="B28" s="962"/>
      <c r="C28" s="956"/>
      <c r="D28" s="963"/>
      <c r="E28" s="961">
        <v>0</v>
      </c>
      <c r="F28" s="961">
        <v>0</v>
      </c>
      <c r="G28" s="961">
        <v>0</v>
      </c>
      <c r="H28" s="959"/>
      <c r="I28" s="960">
        <f t="shared" si="2"/>
        <v>0</v>
      </c>
      <c r="J28" s="967" t="s">
        <v>886</v>
      </c>
      <c r="K28" s="968" t="s">
        <v>5</v>
      </c>
      <c r="L28" s="968" t="s">
        <v>942</v>
      </c>
      <c r="M28" s="218">
        <v>10</v>
      </c>
      <c r="N28" s="218">
        <v>5</v>
      </c>
      <c r="O28" s="218">
        <f t="shared" si="3"/>
        <v>15</v>
      </c>
    </row>
    <row r="29" spans="1:15">
      <c r="A29" s="956">
        <v>2565</v>
      </c>
      <c r="B29" s="962"/>
      <c r="C29" s="956"/>
      <c r="D29" s="963"/>
      <c r="E29" s="961">
        <v>0</v>
      </c>
      <c r="F29" s="961">
        <v>0</v>
      </c>
      <c r="G29" s="961">
        <v>0</v>
      </c>
      <c r="H29" s="959"/>
      <c r="I29" s="960">
        <f t="shared" si="2"/>
        <v>0</v>
      </c>
      <c r="J29" s="967" t="s">
        <v>888</v>
      </c>
      <c r="K29" s="968" t="s">
        <v>181</v>
      </c>
      <c r="L29" s="968" t="s">
        <v>942</v>
      </c>
      <c r="M29" s="218">
        <v>7</v>
      </c>
      <c r="N29" s="218">
        <v>2</v>
      </c>
      <c r="O29" s="218">
        <f t="shared" si="3"/>
        <v>9</v>
      </c>
    </row>
    <row r="30" spans="1:15">
      <c r="A30" s="965" t="s">
        <v>8</v>
      </c>
      <c r="B30" s="965"/>
      <c r="C30" s="960">
        <f>SUM(C25:C29)</f>
        <v>479379800</v>
      </c>
      <c r="D30" s="960">
        <f t="shared" ref="D30:G30" si="4">SUM(D25:D29)</f>
        <v>5000000</v>
      </c>
      <c r="E30" s="960">
        <f t="shared" si="4"/>
        <v>260000</v>
      </c>
      <c r="F30" s="960">
        <f t="shared" si="4"/>
        <v>10000000</v>
      </c>
      <c r="G30" s="960">
        <f t="shared" si="4"/>
        <v>10000000</v>
      </c>
      <c r="H30" s="960">
        <f>SUM(H25:H29)</f>
        <v>5000000</v>
      </c>
      <c r="I30" s="960">
        <f t="shared" si="2"/>
        <v>509639800</v>
      </c>
      <c r="J30" s="967" t="s">
        <v>943</v>
      </c>
      <c r="K30" s="968" t="s">
        <v>181</v>
      </c>
      <c r="L30" s="968" t="s">
        <v>942</v>
      </c>
      <c r="M30" s="218">
        <v>6</v>
      </c>
      <c r="N30" s="218">
        <v>1</v>
      </c>
      <c r="O30" s="218">
        <f t="shared" si="3"/>
        <v>7</v>
      </c>
    </row>
    <row r="31" spans="1:15">
      <c r="A31" s="474" t="s">
        <v>465</v>
      </c>
      <c r="B31" s="474"/>
      <c r="C31" s="474"/>
      <c r="D31" s="475"/>
      <c r="E31" s="475"/>
      <c r="F31" s="475"/>
      <c r="G31" s="475"/>
      <c r="H31" s="475"/>
      <c r="I31" s="475"/>
      <c r="J31" s="967" t="s">
        <v>890</v>
      </c>
      <c r="K31" s="968" t="s">
        <v>173</v>
      </c>
      <c r="L31" s="968" t="s">
        <v>942</v>
      </c>
      <c r="M31" s="218">
        <v>2</v>
      </c>
      <c r="N31" s="218">
        <v>1</v>
      </c>
      <c r="O31" s="218">
        <f t="shared" si="3"/>
        <v>3</v>
      </c>
    </row>
    <row r="32" spans="1:15">
      <c r="A32" s="474"/>
      <c r="B32" s="474" t="s">
        <v>466</v>
      </c>
      <c r="C32" s="474"/>
      <c r="D32" s="475"/>
      <c r="E32" s="475"/>
      <c r="F32" s="475"/>
      <c r="G32" s="475"/>
      <c r="H32" s="475"/>
      <c r="I32" s="475"/>
      <c r="J32" s="967" t="s">
        <v>171</v>
      </c>
      <c r="K32" s="968" t="s">
        <v>173</v>
      </c>
      <c r="L32" s="968" t="s">
        <v>942</v>
      </c>
      <c r="M32" s="218">
        <v>4</v>
      </c>
      <c r="N32" s="218">
        <v>2</v>
      </c>
      <c r="O32" s="218">
        <f t="shared" si="3"/>
        <v>6</v>
      </c>
    </row>
    <row r="33" spans="1:15">
      <c r="A33" s="474"/>
      <c r="B33" s="474" t="s">
        <v>467</v>
      </c>
      <c r="C33" s="474"/>
      <c r="D33" s="475"/>
      <c r="E33" s="475"/>
      <c r="F33" s="475"/>
      <c r="G33" s="475"/>
      <c r="H33" s="475"/>
      <c r="I33" s="475"/>
      <c r="J33" s="967" t="s">
        <v>944</v>
      </c>
      <c r="K33" s="968" t="s">
        <v>173</v>
      </c>
      <c r="L33" s="968" t="s">
        <v>942</v>
      </c>
      <c r="M33" s="218">
        <v>3</v>
      </c>
      <c r="N33" s="218">
        <v>2</v>
      </c>
      <c r="O33" s="218">
        <f t="shared" si="3"/>
        <v>5</v>
      </c>
    </row>
    <row r="34" spans="1:15">
      <c r="A34" s="886" t="s">
        <v>158</v>
      </c>
      <c r="B34" s="886"/>
      <c r="C34" s="886" t="s">
        <v>901</v>
      </c>
      <c r="D34" s="886" t="s">
        <v>931</v>
      </c>
      <c r="E34" s="57"/>
      <c r="F34" s="57"/>
      <c r="G34" s="57"/>
      <c r="H34" s="57"/>
      <c r="I34" s="57"/>
      <c r="J34" s="967" t="s">
        <v>528</v>
      </c>
      <c r="K34" s="968" t="s">
        <v>173</v>
      </c>
      <c r="L34" s="968" t="s">
        <v>942</v>
      </c>
      <c r="M34" s="218">
        <v>3</v>
      </c>
      <c r="N34" s="218">
        <v>1</v>
      </c>
      <c r="O34" s="218">
        <f t="shared" si="3"/>
        <v>4</v>
      </c>
    </row>
    <row r="35" spans="1:15">
      <c r="A35" s="886" t="s">
        <v>891</v>
      </c>
      <c r="B35" s="886"/>
      <c r="C35" s="886" t="s">
        <v>901</v>
      </c>
      <c r="D35" s="886" t="s">
        <v>932</v>
      </c>
      <c r="E35" s="56"/>
      <c r="F35" s="56"/>
      <c r="G35" s="56"/>
      <c r="H35" s="56"/>
      <c r="I35" s="57"/>
      <c r="J35" s="967" t="s">
        <v>891</v>
      </c>
      <c r="K35" s="968" t="s">
        <v>893</v>
      </c>
      <c r="L35" s="968" t="s">
        <v>942</v>
      </c>
      <c r="M35" s="218">
        <v>3</v>
      </c>
      <c r="N35" s="218">
        <v>0</v>
      </c>
      <c r="O35" s="218">
        <f t="shared" si="3"/>
        <v>3</v>
      </c>
    </row>
    <row r="36" spans="1:15">
      <c r="A36" s="886" t="s">
        <v>886</v>
      </c>
      <c r="B36" s="886"/>
      <c r="C36" s="886" t="s">
        <v>901</v>
      </c>
      <c r="D36" s="886" t="s">
        <v>933</v>
      </c>
      <c r="E36" s="56"/>
      <c r="F36" s="56"/>
      <c r="G36" s="56"/>
      <c r="H36" s="56"/>
      <c r="I36" s="57"/>
      <c r="J36" s="884"/>
      <c r="K36" s="884"/>
      <c r="L36" s="884" t="s">
        <v>8</v>
      </c>
      <c r="M36" s="218">
        <f>SUM(M24:M35)</f>
        <v>127</v>
      </c>
      <c r="N36" s="218">
        <f>SUM(N25:N35)</f>
        <v>37</v>
      </c>
      <c r="O36" s="218">
        <f t="shared" si="3"/>
        <v>164</v>
      </c>
    </row>
    <row r="37" spans="1:15">
      <c r="A37" s="886" t="s">
        <v>887</v>
      </c>
      <c r="B37" s="886"/>
      <c r="C37" s="886" t="s">
        <v>902</v>
      </c>
      <c r="D37" s="886" t="s">
        <v>934</v>
      </c>
      <c r="E37" s="56"/>
      <c r="F37" s="56"/>
      <c r="G37" s="56"/>
      <c r="H37" s="56"/>
      <c r="I37" s="57"/>
    </row>
    <row r="38" spans="1:15">
      <c r="A38" s="886" t="s">
        <v>884</v>
      </c>
      <c r="B38" s="886"/>
      <c r="C38" s="886" t="s">
        <v>902</v>
      </c>
      <c r="D38" s="886" t="s">
        <v>935</v>
      </c>
      <c r="E38" s="56"/>
      <c r="F38" s="56"/>
      <c r="G38" s="56"/>
      <c r="H38" s="56"/>
      <c r="I38" s="57"/>
    </row>
    <row r="39" spans="1:15" ht="21">
      <c r="A39" s="1233" t="s">
        <v>1104</v>
      </c>
      <c r="B39" s="1210"/>
      <c r="C39" s="1210"/>
      <c r="D39" s="1210"/>
      <c r="E39" s="1210"/>
      <c r="F39" s="1210"/>
      <c r="G39" s="1210"/>
      <c r="H39" s="1210"/>
    </row>
    <row r="40" spans="1:15" ht="21">
      <c r="A40" s="1211" t="s">
        <v>0</v>
      </c>
      <c r="B40" s="1212" t="s">
        <v>1</v>
      </c>
      <c r="C40" s="1213" t="s">
        <v>1102</v>
      </c>
      <c r="D40" s="1214" t="s">
        <v>1098</v>
      </c>
      <c r="E40" s="1214" t="s">
        <v>1099</v>
      </c>
      <c r="F40" s="1214" t="s">
        <v>1100</v>
      </c>
      <c r="G40" s="1214" t="s">
        <v>1105</v>
      </c>
      <c r="H40" s="1214" t="s">
        <v>1106</v>
      </c>
    </row>
    <row r="41" spans="1:15" ht="21">
      <c r="A41" s="1215"/>
      <c r="B41" s="1216" t="s">
        <v>16</v>
      </c>
      <c r="C41" s="1215" t="s">
        <v>2</v>
      </c>
      <c r="D41" s="1215" t="s">
        <v>4</v>
      </c>
      <c r="E41" s="1215" t="s">
        <v>6</v>
      </c>
      <c r="F41" s="1215" t="s">
        <v>6</v>
      </c>
      <c r="G41" s="1215" t="s">
        <v>6</v>
      </c>
      <c r="H41" s="1215" t="s">
        <v>6</v>
      </c>
    </row>
    <row r="42" spans="1:15" s="769" customFormat="1" ht="40.35" customHeight="1">
      <c r="A42" s="1217">
        <v>2561</v>
      </c>
      <c r="B42" s="1218">
        <v>10000000</v>
      </c>
      <c r="C42" s="1219" t="s">
        <v>1107</v>
      </c>
      <c r="D42" s="1220"/>
      <c r="E42" s="1221"/>
      <c r="F42" s="1221"/>
      <c r="G42" s="1221"/>
      <c r="H42" s="1219" t="s">
        <v>1108</v>
      </c>
      <c r="I42" s="762"/>
      <c r="J42" s="762"/>
      <c r="K42" s="762"/>
      <c r="L42" s="762"/>
    </row>
    <row r="43" spans="1:15" s="769" customFormat="1" ht="45.75" customHeight="1">
      <c r="A43" s="1222">
        <v>2562</v>
      </c>
      <c r="B43" s="1223">
        <v>10000000</v>
      </c>
      <c r="C43" s="1224"/>
      <c r="D43" s="1219" t="s">
        <v>1109</v>
      </c>
      <c r="E43" s="1225"/>
      <c r="F43" s="1225"/>
      <c r="G43" s="1225"/>
      <c r="H43" s="1225"/>
      <c r="I43" s="762"/>
      <c r="J43" s="762"/>
      <c r="K43" s="762"/>
      <c r="L43" s="762"/>
    </row>
    <row r="44" spans="1:15" s="769" customFormat="1" ht="57" customHeight="1">
      <c r="A44" s="1222">
        <v>2563</v>
      </c>
      <c r="B44" s="1223">
        <v>10000000</v>
      </c>
      <c r="C44" s="1219" t="s">
        <v>1110</v>
      </c>
      <c r="D44" s="1226"/>
      <c r="E44" s="1225"/>
      <c r="F44" s="1225"/>
      <c r="G44" s="1225"/>
      <c r="H44" s="1219" t="s">
        <v>1107</v>
      </c>
      <c r="I44" s="762"/>
      <c r="J44" s="762"/>
      <c r="K44" s="762"/>
      <c r="L44" s="762"/>
    </row>
    <row r="45" spans="1:15" s="769" customFormat="1" ht="60.75" customHeight="1">
      <c r="A45" s="1222">
        <v>2564</v>
      </c>
      <c r="B45" s="1223">
        <v>10000000</v>
      </c>
      <c r="C45" s="1225"/>
      <c r="D45" s="1225"/>
      <c r="E45" s="1219" t="s">
        <v>1109</v>
      </c>
      <c r="F45" s="1225"/>
      <c r="G45" s="1225"/>
      <c r="H45" s="1225"/>
      <c r="I45" s="762"/>
      <c r="J45" s="762"/>
      <c r="K45" s="762"/>
      <c r="L45" s="762"/>
    </row>
    <row r="46" spans="1:15" s="769" customFormat="1" ht="58.7" customHeight="1">
      <c r="A46" s="1222">
        <v>2565</v>
      </c>
      <c r="B46" s="1227">
        <v>10000000</v>
      </c>
      <c r="C46" s="1228"/>
      <c r="D46" s="1229"/>
      <c r="E46" s="1228"/>
      <c r="F46" s="1230" t="s">
        <v>1111</v>
      </c>
      <c r="G46" s="1230" t="s">
        <v>1111</v>
      </c>
      <c r="H46" s="1228"/>
      <c r="I46" s="762"/>
      <c r="J46" s="762"/>
      <c r="K46" s="762"/>
      <c r="L46" s="762"/>
    </row>
    <row r="47" spans="1:15" s="769" customFormat="1" ht="20.85" customHeight="1">
      <c r="A47" s="1231" t="s">
        <v>8</v>
      </c>
      <c r="B47" s="1232">
        <f>SUM(B42:B46)</f>
        <v>50000000</v>
      </c>
      <c r="C47" s="1231">
        <v>10</v>
      </c>
      <c r="D47" s="1231">
        <v>10</v>
      </c>
      <c r="E47" s="1231">
        <v>10</v>
      </c>
      <c r="F47" s="1231">
        <v>5</v>
      </c>
      <c r="G47" s="1231">
        <v>5</v>
      </c>
      <c r="H47" s="1231">
        <v>10</v>
      </c>
      <c r="I47" s="762"/>
      <c r="J47" s="762"/>
      <c r="K47" s="762"/>
      <c r="L47" s="762"/>
    </row>
  </sheetData>
  <mergeCells count="20">
    <mergeCell ref="A13:F13"/>
    <mergeCell ref="I23:I24"/>
    <mergeCell ref="A22:I22"/>
    <mergeCell ref="D14:H14"/>
    <mergeCell ref="I14:I15"/>
    <mergeCell ref="A1:X1"/>
    <mergeCell ref="A2:R2"/>
    <mergeCell ref="A3:U3"/>
    <mergeCell ref="A5:A6"/>
    <mergeCell ref="B5:B6"/>
    <mergeCell ref="D5:D6"/>
    <mergeCell ref="E5:E6"/>
    <mergeCell ref="F5:F6"/>
    <mergeCell ref="G5:G6"/>
    <mergeCell ref="H5:H6"/>
    <mergeCell ref="J5:J6"/>
    <mergeCell ref="K5:K6"/>
    <mergeCell ref="L5:L6"/>
    <mergeCell ref="U5:X5"/>
    <mergeCell ref="I5:I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25</vt:i4>
      </vt:variant>
    </vt:vector>
  </HeadingPairs>
  <TitlesOfParts>
    <vt:vector size="25" baseType="lpstr">
      <vt:lpstr>1.IPD</vt:lpstr>
      <vt:lpstr>รายการIPD</vt:lpstr>
      <vt:lpstr>2.ICU</vt:lpstr>
      <vt:lpstr>รายการICU</vt:lpstr>
      <vt:lpstr>3.ORปรับ</vt:lpstr>
      <vt:lpstr>รายการOR</vt:lpstr>
      <vt:lpstr>4.OPDปรับ</vt:lpstr>
      <vt:lpstr>คำนวณOPD</vt:lpstr>
      <vt:lpstr>รายการOPD</vt:lpstr>
      <vt:lpstr>5.ครุภัณฑ์</vt:lpstr>
      <vt:lpstr>รายการครุภัณฑ์</vt:lpstr>
      <vt:lpstr>สรุปครุภัณฑ์ปรับ</vt:lpstr>
      <vt:lpstr>6.น้ำเสีย </vt:lpstr>
      <vt:lpstr>รายการน้ำเสีย</vt:lpstr>
      <vt:lpstr>7.ไฟฟ้า ประบา</vt:lpstr>
      <vt:lpstr>รายการไฟฟ้าประปา</vt:lpstr>
      <vt:lpstr>8.ที่พักอาศํย</vt:lpstr>
      <vt:lpstr>รายการที่พัก</vt:lpstr>
      <vt:lpstr>คิดส่วนขาดที่พัก</vt:lpstr>
      <vt:lpstr>9.อาคารจอดรถ</vt:lpstr>
      <vt:lpstr>รายการที่จอดรถ</vt:lpstr>
      <vt:lpstr>10.อาคารสนับสนุน</vt:lpstr>
      <vt:lpstr>รายการอาคารสนับสนุน</vt:lpstr>
      <vt:lpstr>11.อาคารสำนักงาน</vt:lpstr>
      <vt:lpstr>รายการสำนักงาน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ds14</dc:creator>
  <cp:lastModifiedBy>Mr.KKD</cp:lastModifiedBy>
  <cp:lastPrinted>2016-05-12T00:59:53Z</cp:lastPrinted>
  <dcterms:created xsi:type="dcterms:W3CDTF">2016-04-24T09:19:48Z</dcterms:created>
  <dcterms:modified xsi:type="dcterms:W3CDTF">2016-11-01T05:23:17Z</dcterms:modified>
</cp:coreProperties>
</file>