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7650" tabRatio="871" firstSheet="7" activeTab="16"/>
  </bookViews>
  <sheets>
    <sheet name="Sheet1" sheetId="27" r:id="rId1"/>
    <sheet name="Planfin2562" sheetId="8" r:id="rId2"/>
    <sheet name="Revenue" sheetId="1" r:id="rId3"/>
    <sheet name="Expense" sheetId="5" r:id="rId4"/>
    <sheet name="HGR2560" sheetId="31" r:id="rId5"/>
    <sheet name="การวิเคราะห์แผน 8 แบบ" sheetId="29" r:id="rId6"/>
    <sheet name="Mapping60" sheetId="2" r:id="rId7"/>
    <sheet name="1.WS-Re-Exp" sheetId="16" r:id="rId8"/>
    <sheet name="งบทดลอง รพ." sheetId="28" r:id="rId9"/>
    <sheet name="2.WS-ยา วชภฯ" sheetId="19" r:id="rId10"/>
    <sheet name="3.WS-วัสดุอื่น" sheetId="20" r:id="rId11"/>
    <sheet name="4.WS-แผน จน." sheetId="22" r:id="rId12"/>
    <sheet name="5.WS-แผน ลน." sheetId="23" r:id="rId13"/>
    <sheet name="6.WS-แผนลงทุน" sheetId="24" r:id="rId14"/>
    <sheet name="6.1แผนลงทุน" sheetId="32" r:id="rId15"/>
    <sheet name="7.WS-แผน รพ.สต." sheetId="25" r:id="rId16"/>
    <sheet name="7.1แผน รพ.สต." sheetId="33" r:id="rId17"/>
    <sheet name="PlanFin Analysis" sheetId="30" r:id="rId18"/>
    <sheet name="WS2-9" sheetId="26" r:id="rId19"/>
  </sheets>
  <definedNames>
    <definedName name="_xlnm._FilterDatabase" localSheetId="7" hidden="1">'1.WS-Re-Exp'!$A$2:$G$439</definedName>
    <definedName name="_xlnm._FilterDatabase" localSheetId="6" hidden="1">Mapping60!$A$1:$K$438</definedName>
    <definedName name="DATA">#REF!</definedName>
    <definedName name="_xlnm.Print_Area" localSheetId="2">Revenue!$C$1:$G$19</definedName>
    <definedName name="_xlnm.Print_Titles" localSheetId="7">'1.WS-Re-Exp'!$1:$2</definedName>
    <definedName name="_xlnm.Print_Titles" localSheetId="1">Planfin2562!$1:$1</definedName>
  </definedNames>
  <calcPr calcId="144525"/>
</workbook>
</file>

<file path=xl/calcChain.xml><?xml version="1.0" encoding="utf-8"?>
<calcChain xmlns="http://schemas.openxmlformats.org/spreadsheetml/2006/main">
  <c r="E7" i="23" l="1"/>
  <c r="C28" i="23"/>
  <c r="B28" i="23"/>
  <c r="G14" i="23"/>
  <c r="F14" i="23"/>
  <c r="I14" i="23"/>
  <c r="H14" i="23"/>
  <c r="E14" i="23"/>
  <c r="D14" i="23"/>
  <c r="C14" i="23"/>
  <c r="E25" i="22"/>
  <c r="F25" i="22"/>
  <c r="I25" i="22"/>
  <c r="E24" i="22"/>
  <c r="F24" i="22"/>
  <c r="I24" i="22"/>
  <c r="I23" i="22"/>
  <c r="F23" i="22"/>
  <c r="E23" i="22"/>
  <c r="I22" i="22"/>
  <c r="F22" i="22"/>
  <c r="E22" i="22"/>
  <c r="D22" i="23" l="1"/>
  <c r="D23" i="23"/>
  <c r="D24" i="23"/>
  <c r="E24" i="23" s="1"/>
  <c r="D25" i="23"/>
  <c r="E25" i="23" s="1"/>
  <c r="F25" i="23" s="1"/>
  <c r="E8" i="23" s="1"/>
  <c r="D26" i="23"/>
  <c r="D27" i="23"/>
  <c r="D21" i="23"/>
  <c r="M30" i="19"/>
  <c r="M25" i="19"/>
  <c r="E21" i="23" l="1"/>
  <c r="F21" i="23" s="1"/>
  <c r="E4" i="23" s="1"/>
  <c r="E26" i="23"/>
  <c r="F26" i="23" s="1"/>
  <c r="E9" i="23" s="1"/>
  <c r="E27" i="23"/>
  <c r="F27" i="23" s="1"/>
  <c r="E10" i="23" s="1"/>
  <c r="E23" i="23"/>
  <c r="F23" i="23" s="1"/>
  <c r="E6" i="23" s="1"/>
  <c r="D28" i="23"/>
  <c r="E22" i="23"/>
  <c r="E10" i="1"/>
  <c r="E28" i="23" l="1"/>
  <c r="F22" i="23"/>
  <c r="F4" i="24"/>
  <c r="E4" i="24"/>
  <c r="C268" i="28"/>
  <c r="E5" i="23" l="1"/>
  <c r="F28" i="23"/>
  <c r="N29" i="20"/>
  <c r="G16" i="22" l="1"/>
  <c r="G13" i="22"/>
  <c r="G7" i="22"/>
  <c r="O28" i="19" l="1"/>
  <c r="C51" i="28" l="1"/>
  <c r="M29" i="19" l="1"/>
  <c r="F426" i="28" l="1"/>
  <c r="F269" i="28"/>
  <c r="F4" i="25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3" i="25"/>
  <c r="P33" i="20"/>
  <c r="G4" i="20" s="1"/>
  <c r="P34" i="20"/>
  <c r="P35" i="20"/>
  <c r="P36" i="20"/>
  <c r="G6" i="20" s="1"/>
  <c r="P37" i="20"/>
  <c r="G7" i="20" s="1"/>
  <c r="P38" i="20"/>
  <c r="G8" i="20" s="1"/>
  <c r="P39" i="20"/>
  <c r="G9" i="20" s="1"/>
  <c r="P40" i="20"/>
  <c r="G10" i="20" s="1"/>
  <c r="P41" i="20"/>
  <c r="G11" i="20" s="1"/>
  <c r="P42" i="20"/>
  <c r="G12" i="20" s="1"/>
  <c r="P43" i="20"/>
  <c r="G13" i="20" s="1"/>
  <c r="P30" i="20"/>
  <c r="P31" i="20"/>
  <c r="P32" i="20"/>
  <c r="G5" i="20" l="1"/>
  <c r="G7" i="32"/>
  <c r="K6" i="32"/>
  <c r="AA4" i="33" l="1"/>
  <c r="M17" i="19"/>
  <c r="M22" i="19"/>
  <c r="E3" i="25" l="1"/>
  <c r="T19" i="33" l="1"/>
  <c r="N23" i="19"/>
  <c r="M23" i="19" s="1"/>
  <c r="M24" i="19"/>
  <c r="M18" i="19" l="1"/>
  <c r="H19" i="33" l="1"/>
  <c r="J19" i="33"/>
  <c r="G16" i="33"/>
  <c r="F16" i="33"/>
  <c r="G14" i="33"/>
  <c r="F14" i="33"/>
  <c r="G9" i="33"/>
  <c r="F9" i="33"/>
  <c r="I7" i="33"/>
  <c r="I19" i="33" s="1"/>
  <c r="G7" i="33"/>
  <c r="G19" i="33" s="1"/>
  <c r="F7" i="33"/>
  <c r="F19" i="33" s="1"/>
  <c r="F13" i="20" l="1"/>
  <c r="F12" i="20"/>
  <c r="F11" i="20"/>
  <c r="F10" i="20"/>
  <c r="F9" i="20"/>
  <c r="F8" i="20"/>
  <c r="F7" i="20"/>
  <c r="F6" i="20"/>
  <c r="F5" i="20"/>
  <c r="F4" i="20"/>
  <c r="F3" i="20"/>
  <c r="C32" i="20"/>
  <c r="D32" i="20" s="1"/>
  <c r="D3" i="20"/>
  <c r="D5" i="20"/>
  <c r="I5" i="19"/>
  <c r="E21" i="19"/>
  <c r="L21" i="19"/>
  <c r="I4" i="19" s="1"/>
  <c r="M21" i="19"/>
  <c r="N21" i="19"/>
  <c r="B21" i="19"/>
  <c r="N16" i="19"/>
  <c r="L16" i="19"/>
  <c r="I3" i="19" s="1"/>
  <c r="M16" i="19"/>
  <c r="E16" i="19"/>
  <c r="B16" i="19"/>
  <c r="H30" i="19"/>
  <c r="I30" i="19" s="1"/>
  <c r="J30" i="19" s="1"/>
  <c r="F5" i="19" s="1"/>
  <c r="H29" i="19"/>
  <c r="I29" i="19" s="1"/>
  <c r="J29" i="19" s="1"/>
  <c r="H25" i="19"/>
  <c r="I25" i="19" s="1"/>
  <c r="J25" i="19" s="1"/>
  <c r="H24" i="19"/>
  <c r="H22" i="19"/>
  <c r="I22" i="19" s="1"/>
  <c r="J22" i="19" s="1"/>
  <c r="H20" i="19"/>
  <c r="I20" i="19" s="1"/>
  <c r="J20" i="19" s="1"/>
  <c r="H18" i="19"/>
  <c r="I18" i="19" s="1"/>
  <c r="J18" i="19" s="1"/>
  <c r="H19" i="19"/>
  <c r="I19" i="19" s="1"/>
  <c r="J19" i="19" s="1"/>
  <c r="H17" i="19"/>
  <c r="I17" i="19" s="1"/>
  <c r="F19" i="19"/>
  <c r="G19" i="19" s="1"/>
  <c r="F18" i="19"/>
  <c r="G18" i="19" s="1"/>
  <c r="F20" i="19"/>
  <c r="G20" i="19" s="1"/>
  <c r="C19" i="19"/>
  <c r="D19" i="19" s="1"/>
  <c r="C18" i="19"/>
  <c r="D18" i="19" s="1"/>
  <c r="C20" i="19"/>
  <c r="D20" i="19" s="1"/>
  <c r="O19" i="19"/>
  <c r="O18" i="19"/>
  <c r="O20" i="19"/>
  <c r="C17" i="19"/>
  <c r="D17" i="19" s="1"/>
  <c r="F17" i="19"/>
  <c r="G17" i="19" s="1"/>
  <c r="G16" i="19" s="1"/>
  <c r="E3" i="19" s="1"/>
  <c r="C35" i="20"/>
  <c r="D35" i="20" s="1"/>
  <c r="C30" i="20"/>
  <c r="D30" i="20" s="1"/>
  <c r="C31" i="20"/>
  <c r="D31" i="20" s="1"/>
  <c r="C33" i="20"/>
  <c r="D33" i="20" s="1"/>
  <c r="E4" i="20" s="1"/>
  <c r="C34" i="20"/>
  <c r="D34" i="20" s="1"/>
  <c r="E5" i="20" s="1"/>
  <c r="C36" i="20"/>
  <c r="D36" i="20" s="1"/>
  <c r="E6" i="20" s="1"/>
  <c r="C37" i="20"/>
  <c r="C38" i="20"/>
  <c r="D38" i="20" s="1"/>
  <c r="E8" i="20" s="1"/>
  <c r="C39" i="20"/>
  <c r="C40" i="20"/>
  <c r="D40" i="20" s="1"/>
  <c r="E10" i="20" s="1"/>
  <c r="C41" i="20"/>
  <c r="C42" i="20"/>
  <c r="D42" i="20" s="1"/>
  <c r="E12" i="20" s="1"/>
  <c r="C43" i="20"/>
  <c r="D43" i="20" s="1"/>
  <c r="E13" i="20" s="1"/>
  <c r="C29" i="20"/>
  <c r="D29" i="20" s="1"/>
  <c r="O44" i="20"/>
  <c r="N44" i="20"/>
  <c r="K44" i="20"/>
  <c r="J44" i="20"/>
  <c r="I44" i="20"/>
  <c r="G44" i="20"/>
  <c r="F44" i="20"/>
  <c r="Q43" i="20"/>
  <c r="Q42" i="20"/>
  <c r="Q41" i="20"/>
  <c r="D41" i="20"/>
  <c r="E11" i="20" s="1"/>
  <c r="Q40" i="20"/>
  <c r="M44" i="20"/>
  <c r="D39" i="20"/>
  <c r="E9" i="20" s="1"/>
  <c r="Q38" i="20"/>
  <c r="Q37" i="20"/>
  <c r="D37" i="20"/>
  <c r="E7" i="20" s="1"/>
  <c r="Q36" i="20"/>
  <c r="Q34" i="20"/>
  <c r="Q33" i="20"/>
  <c r="P29" i="20"/>
  <c r="L44" i="20"/>
  <c r="I23" i="19"/>
  <c r="J23" i="19" s="1"/>
  <c r="I24" i="19"/>
  <c r="J24" i="19" s="1"/>
  <c r="I26" i="19"/>
  <c r="J26" i="19" s="1"/>
  <c r="I27" i="19"/>
  <c r="J27" i="19" s="1"/>
  <c r="C22" i="19"/>
  <c r="C21" i="19" s="1"/>
  <c r="C23" i="19"/>
  <c r="D23" i="19" s="1"/>
  <c r="C24" i="19"/>
  <c r="D24" i="19" s="1"/>
  <c r="C25" i="19"/>
  <c r="C26" i="19"/>
  <c r="D26" i="19" s="1"/>
  <c r="C27" i="19"/>
  <c r="D27" i="19" s="1"/>
  <c r="C29" i="19"/>
  <c r="D29" i="19" s="1"/>
  <c r="C30" i="19"/>
  <c r="D30" i="19" s="1"/>
  <c r="D5" i="19" s="1"/>
  <c r="F22" i="19"/>
  <c r="G22" i="19" s="1"/>
  <c r="G21" i="19" s="1"/>
  <c r="E4" i="19" s="1"/>
  <c r="F23" i="19"/>
  <c r="G23" i="19" s="1"/>
  <c r="F24" i="19"/>
  <c r="G24" i="19" s="1"/>
  <c r="F25" i="19"/>
  <c r="G25" i="19" s="1"/>
  <c r="F26" i="19"/>
  <c r="G26" i="19" s="1"/>
  <c r="F27" i="19"/>
  <c r="G27" i="19" s="1"/>
  <c r="F29" i="19"/>
  <c r="G29" i="19" s="1"/>
  <c r="F30" i="19"/>
  <c r="G30" i="19" s="1"/>
  <c r="E5" i="19" s="1"/>
  <c r="O30" i="19"/>
  <c r="J5" i="19" s="1"/>
  <c r="O29" i="19"/>
  <c r="O27" i="19"/>
  <c r="O26" i="19"/>
  <c r="O25" i="19"/>
  <c r="D25" i="19"/>
  <c r="O24" i="19"/>
  <c r="O23" i="19"/>
  <c r="O22" i="19"/>
  <c r="D22" i="19"/>
  <c r="D21" i="19" s="1"/>
  <c r="D4" i="19" s="1"/>
  <c r="O17" i="19"/>
  <c r="D16" i="19" l="1"/>
  <c r="D3" i="19" s="1"/>
  <c r="J21" i="19"/>
  <c r="F4" i="19" s="1"/>
  <c r="I16" i="19"/>
  <c r="F21" i="19"/>
  <c r="C16" i="19"/>
  <c r="I21" i="19"/>
  <c r="O16" i="19"/>
  <c r="J3" i="19" s="1"/>
  <c r="F16" i="19"/>
  <c r="H16" i="19"/>
  <c r="H21" i="19"/>
  <c r="E3" i="20"/>
  <c r="Q29" i="20"/>
  <c r="G3" i="20"/>
  <c r="O21" i="19"/>
  <c r="J4" i="19" s="1"/>
  <c r="Q39" i="20"/>
  <c r="J17" i="19"/>
  <c r="J16" i="19" s="1"/>
  <c r="F3" i="19" s="1"/>
  <c r="X19" i="33" l="1"/>
  <c r="X20" i="33" s="1"/>
  <c r="W19" i="33"/>
  <c r="V19" i="33"/>
  <c r="U19" i="33"/>
  <c r="S19" i="33"/>
  <c r="R19" i="33"/>
  <c r="Q19" i="33"/>
  <c r="P19" i="33"/>
  <c r="O19" i="33"/>
  <c r="C24" i="33" s="1"/>
  <c r="N19" i="33"/>
  <c r="E24" i="33" s="1"/>
  <c r="M19" i="33"/>
  <c r="L19" i="33"/>
  <c r="K19" i="33"/>
  <c r="E19" i="33"/>
  <c r="D19" i="33"/>
  <c r="AA18" i="33"/>
  <c r="E17" i="25" s="1"/>
  <c r="Z18" i="33"/>
  <c r="D17" i="25" s="1"/>
  <c r="Y18" i="33"/>
  <c r="AA17" i="33"/>
  <c r="E16" i="25" s="1"/>
  <c r="Z17" i="33"/>
  <c r="D16" i="25" s="1"/>
  <c r="AA16" i="33"/>
  <c r="E15" i="25" s="1"/>
  <c r="Z16" i="33"/>
  <c r="D15" i="25" s="1"/>
  <c r="AA15" i="33"/>
  <c r="E14" i="25" s="1"/>
  <c r="Z15" i="33"/>
  <c r="D14" i="25" s="1"/>
  <c r="Y15" i="33"/>
  <c r="AA14" i="33"/>
  <c r="E13" i="25" s="1"/>
  <c r="Z14" i="33"/>
  <c r="D13" i="25" s="1"/>
  <c r="AA13" i="33"/>
  <c r="E12" i="25" s="1"/>
  <c r="Z13" i="33"/>
  <c r="D12" i="25" s="1"/>
  <c r="Y13" i="33"/>
  <c r="AA12" i="33"/>
  <c r="E11" i="25" s="1"/>
  <c r="Y12" i="33"/>
  <c r="Z12" i="33"/>
  <c r="D11" i="25" s="1"/>
  <c r="AA11" i="33"/>
  <c r="E10" i="25" s="1"/>
  <c r="Z11" i="33"/>
  <c r="D10" i="25" s="1"/>
  <c r="AA10" i="33"/>
  <c r="E9" i="25" s="1"/>
  <c r="Z10" i="33"/>
  <c r="D9" i="25" s="1"/>
  <c r="Y10" i="33"/>
  <c r="AA9" i="33"/>
  <c r="E8" i="25" s="1"/>
  <c r="Y9" i="33"/>
  <c r="Z9" i="33"/>
  <c r="D8" i="25" s="1"/>
  <c r="AA8" i="33"/>
  <c r="E7" i="25" s="1"/>
  <c r="Y8" i="33"/>
  <c r="Z8" i="33"/>
  <c r="D7" i="25" s="1"/>
  <c r="AA7" i="33"/>
  <c r="E6" i="25" s="1"/>
  <c r="AA6" i="33"/>
  <c r="E5" i="25" s="1"/>
  <c r="Z6" i="33"/>
  <c r="D5" i="25" s="1"/>
  <c r="Y6" i="33"/>
  <c r="AA5" i="33"/>
  <c r="Y5" i="33"/>
  <c r="Z5" i="33"/>
  <c r="D4" i="25" s="1"/>
  <c r="Y4" i="33"/>
  <c r="Z4" i="33"/>
  <c r="V15" i="32"/>
  <c r="U15" i="32"/>
  <c r="T15" i="32"/>
  <c r="S15" i="32"/>
  <c r="R15" i="32"/>
  <c r="Q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B15" i="32"/>
  <c r="X14" i="32"/>
  <c r="W14" i="32"/>
  <c r="X13" i="32"/>
  <c r="W13" i="32"/>
  <c r="X12" i="32"/>
  <c r="W12" i="32"/>
  <c r="X11" i="32"/>
  <c r="W11" i="32"/>
  <c r="X10" i="32"/>
  <c r="W10" i="32"/>
  <c r="X9" i="32"/>
  <c r="W9" i="32"/>
  <c r="X8" i="32"/>
  <c r="W8" i="32"/>
  <c r="X7" i="32"/>
  <c r="W7" i="32"/>
  <c r="W6" i="32"/>
  <c r="X6" i="32"/>
  <c r="X5" i="32"/>
  <c r="W5" i="32"/>
  <c r="O15" i="32"/>
  <c r="G11" i="25" l="1"/>
  <c r="G16" i="25"/>
  <c r="O20" i="33"/>
  <c r="G10" i="25"/>
  <c r="G13" i="25"/>
  <c r="D3" i="25"/>
  <c r="E4" i="25"/>
  <c r="AA19" i="33"/>
  <c r="G12" i="25"/>
  <c r="G17" i="25"/>
  <c r="W15" i="32"/>
  <c r="C4" i="24" s="1"/>
  <c r="E23" i="33"/>
  <c r="D23" i="33"/>
  <c r="F24" i="33"/>
  <c r="Y7" i="33"/>
  <c r="Z7" i="33"/>
  <c r="D6" i="25" s="1"/>
  <c r="Y16" i="33"/>
  <c r="D20" i="33"/>
  <c r="Y14" i="33"/>
  <c r="Y17" i="33"/>
  <c r="Y11" i="33"/>
  <c r="P20" i="33"/>
  <c r="X15" i="32"/>
  <c r="D4" i="24" s="1"/>
  <c r="Z19" i="33" l="1"/>
  <c r="Y16" i="32"/>
  <c r="Y20" i="33"/>
  <c r="C23" i="33"/>
  <c r="F23" i="33" s="1"/>
  <c r="Y19" i="33"/>
  <c r="J4" i="29"/>
  <c r="I4" i="29" l="1"/>
  <c r="H6" i="8" l="1"/>
  <c r="I6" i="8"/>
  <c r="K6" i="8"/>
  <c r="H7" i="8"/>
  <c r="I7" i="8"/>
  <c r="K7" i="8"/>
  <c r="H8" i="8"/>
  <c r="I8" i="8"/>
  <c r="K8" i="8"/>
  <c r="H9" i="8"/>
  <c r="I9" i="8"/>
  <c r="K9" i="8"/>
  <c r="H10" i="8"/>
  <c r="I10" i="8"/>
  <c r="K10" i="8"/>
  <c r="H11" i="8"/>
  <c r="I11" i="8"/>
  <c r="K11" i="8"/>
  <c r="H12" i="8"/>
  <c r="I12" i="8"/>
  <c r="K12" i="8"/>
  <c r="H13" i="8"/>
  <c r="I13" i="8"/>
  <c r="K13" i="8"/>
  <c r="H14" i="8"/>
  <c r="I14" i="8"/>
  <c r="K14" i="8"/>
  <c r="H15" i="8"/>
  <c r="I15" i="8"/>
  <c r="K15" i="8"/>
  <c r="H16" i="8"/>
  <c r="I16" i="8"/>
  <c r="K16" i="8"/>
  <c r="H17" i="8"/>
  <c r="I17" i="8"/>
  <c r="K17" i="8"/>
  <c r="H18" i="8"/>
  <c r="I18" i="8"/>
  <c r="K18" i="8"/>
  <c r="H19" i="8"/>
  <c r="I19" i="8"/>
  <c r="K19" i="8"/>
  <c r="H20" i="8"/>
  <c r="I20" i="8"/>
  <c r="K20" i="8"/>
  <c r="H21" i="8"/>
  <c r="I21" i="8"/>
  <c r="K21" i="8"/>
  <c r="H22" i="8"/>
  <c r="I22" i="8"/>
  <c r="K22" i="8"/>
  <c r="H23" i="8"/>
  <c r="I23" i="8"/>
  <c r="K23" i="8"/>
  <c r="H24" i="8"/>
  <c r="I24" i="8"/>
  <c r="K24" i="8"/>
  <c r="H25" i="8"/>
  <c r="I25" i="8"/>
  <c r="K25" i="8"/>
  <c r="H26" i="8"/>
  <c r="I26" i="8"/>
  <c r="K26" i="8"/>
  <c r="H27" i="8"/>
  <c r="I27" i="8"/>
  <c r="K27" i="8"/>
  <c r="H28" i="8"/>
  <c r="I28" i="8"/>
  <c r="K28" i="8"/>
  <c r="H29" i="8"/>
  <c r="I29" i="8"/>
  <c r="K29" i="8"/>
  <c r="H30" i="8"/>
  <c r="I30" i="8"/>
  <c r="K30" i="8"/>
  <c r="H31" i="8"/>
  <c r="I31" i="8"/>
  <c r="K31" i="8"/>
  <c r="K5" i="8"/>
  <c r="I5" i="8"/>
  <c r="H5" i="8"/>
  <c r="I3" i="31"/>
  <c r="J6" i="8" s="1"/>
  <c r="I4" i="31"/>
  <c r="J7" i="8" s="1"/>
  <c r="I5" i="31"/>
  <c r="J8" i="8" s="1"/>
  <c r="I6" i="31"/>
  <c r="J9" i="8" s="1"/>
  <c r="I7" i="31"/>
  <c r="J10" i="8" s="1"/>
  <c r="I8" i="31"/>
  <c r="J11" i="8" s="1"/>
  <c r="I9" i="31"/>
  <c r="J12" i="8" s="1"/>
  <c r="I10" i="31"/>
  <c r="J13" i="8" s="1"/>
  <c r="I11" i="31"/>
  <c r="J14" i="8" s="1"/>
  <c r="I12" i="31"/>
  <c r="J15" i="8" s="1"/>
  <c r="I13" i="31"/>
  <c r="J16" i="8" s="1"/>
  <c r="I14" i="31"/>
  <c r="J17" i="8" s="1"/>
  <c r="I15" i="31"/>
  <c r="J18" i="8" s="1"/>
  <c r="I16" i="31"/>
  <c r="J19" i="8" s="1"/>
  <c r="I17" i="31"/>
  <c r="J20" i="8" s="1"/>
  <c r="I18" i="31"/>
  <c r="J21" i="8" s="1"/>
  <c r="I19" i="31"/>
  <c r="J22" i="8" s="1"/>
  <c r="I20" i="31"/>
  <c r="J23" i="8" s="1"/>
  <c r="I21" i="31"/>
  <c r="J24" i="8" s="1"/>
  <c r="I22" i="31"/>
  <c r="J25" i="8" s="1"/>
  <c r="I23" i="31"/>
  <c r="J26" i="8" s="1"/>
  <c r="I24" i="31"/>
  <c r="J27" i="8" s="1"/>
  <c r="I25" i="31"/>
  <c r="J28" i="8" s="1"/>
  <c r="I26" i="31"/>
  <c r="J29" i="8" s="1"/>
  <c r="I27" i="31"/>
  <c r="J30" i="8" s="1"/>
  <c r="I28" i="31"/>
  <c r="J31" i="8" s="1"/>
  <c r="I2" i="31"/>
  <c r="J5" i="8" s="1"/>
  <c r="D18" i="25" l="1"/>
  <c r="E18" i="25"/>
  <c r="D94" i="8" s="1"/>
  <c r="F18" i="25"/>
  <c r="D95" i="8" s="1"/>
  <c r="C18" i="25"/>
  <c r="G4" i="25"/>
  <c r="G5" i="25"/>
  <c r="G6" i="25"/>
  <c r="G7" i="25"/>
  <c r="G8" i="25"/>
  <c r="G9" i="25"/>
  <c r="G3" i="25"/>
  <c r="D7" i="24"/>
  <c r="F7" i="24"/>
  <c r="B7" i="24"/>
  <c r="G5" i="24"/>
  <c r="D87" i="8" s="1"/>
  <c r="G6" i="24"/>
  <c r="D88" i="8" s="1"/>
  <c r="G4" i="24"/>
  <c r="C14" i="22" s="1"/>
  <c r="G22" i="22" s="1"/>
  <c r="D82" i="8"/>
  <c r="D81" i="8"/>
  <c r="D80" i="8"/>
  <c r="D79" i="8"/>
  <c r="D78" i="8"/>
  <c r="D77" i="8"/>
  <c r="D76" i="8"/>
  <c r="C11" i="23"/>
  <c r="E11" i="23"/>
  <c r="F11" i="23"/>
  <c r="G11" i="23"/>
  <c r="B11" i="23"/>
  <c r="D5" i="23"/>
  <c r="H5" i="23" s="1"/>
  <c r="D15" i="23" s="1"/>
  <c r="D16" i="23" s="1"/>
  <c r="D17" i="23" s="1"/>
  <c r="D6" i="23"/>
  <c r="H6" i="23" s="1"/>
  <c r="E15" i="23" s="1"/>
  <c r="E16" i="23" s="1"/>
  <c r="E17" i="23" s="1"/>
  <c r="D7" i="23"/>
  <c r="H7" i="23" s="1"/>
  <c r="F15" i="23" s="1"/>
  <c r="F16" i="23" s="1"/>
  <c r="F17" i="23" s="1"/>
  <c r="D8" i="23"/>
  <c r="H8" i="23" s="1"/>
  <c r="G15" i="23" s="1"/>
  <c r="G16" i="23" s="1"/>
  <c r="G17" i="23" s="1"/>
  <c r="D9" i="23"/>
  <c r="H9" i="23" s="1"/>
  <c r="H15" i="23" s="1"/>
  <c r="H16" i="23" s="1"/>
  <c r="H17" i="23" s="1"/>
  <c r="D10" i="23"/>
  <c r="H10" i="23" s="1"/>
  <c r="I15" i="23" s="1"/>
  <c r="I16" i="23" s="1"/>
  <c r="I17" i="23" s="1"/>
  <c r="D4" i="23"/>
  <c r="H4" i="23" s="1"/>
  <c r="C15" i="23" s="1"/>
  <c r="C16" i="23" s="1"/>
  <c r="C17" i="23" s="1"/>
  <c r="D71" i="8"/>
  <c r="D70" i="8"/>
  <c r="D69" i="8"/>
  <c r="D68" i="8"/>
  <c r="D67" i="8"/>
  <c r="D66" i="8"/>
  <c r="D65" i="8"/>
  <c r="D64" i="8"/>
  <c r="D50" i="8"/>
  <c r="D51" i="8"/>
  <c r="D52" i="8"/>
  <c r="D53" i="8"/>
  <c r="D54" i="8"/>
  <c r="D55" i="8"/>
  <c r="D56" i="8"/>
  <c r="D57" i="8"/>
  <c r="D58" i="8"/>
  <c r="D59" i="8"/>
  <c r="D49" i="8"/>
  <c r="D43" i="8"/>
  <c r="H3" i="19"/>
  <c r="H4" i="19"/>
  <c r="C5" i="22" s="1"/>
  <c r="C22" i="22" s="1"/>
  <c r="H5" i="19"/>
  <c r="D92" i="8" l="1"/>
  <c r="G14" i="25"/>
  <c r="G15" i="25"/>
  <c r="G7" i="24"/>
  <c r="J6" i="19"/>
  <c r="D11" i="23"/>
  <c r="C6" i="22"/>
  <c r="D22" i="22" s="1"/>
  <c r="D45" i="8"/>
  <c r="H11" i="23"/>
  <c r="D44" i="8"/>
  <c r="C4" i="22"/>
  <c r="D93" i="8"/>
  <c r="G14" i="20"/>
  <c r="C15" i="22" s="1"/>
  <c r="H22" i="22" s="1"/>
  <c r="D86" i="8"/>
  <c r="H35" i="8" s="1"/>
  <c r="D83" i="8"/>
  <c r="D72" i="8"/>
  <c r="D60" i="8"/>
  <c r="D4" i="22" l="1"/>
  <c r="F4" i="22" s="1"/>
  <c r="B22" i="22"/>
  <c r="F4" i="29"/>
  <c r="D96" i="8"/>
  <c r="G18" i="25"/>
  <c r="D46" i="8"/>
  <c r="D89" i="8"/>
  <c r="C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D6" i="8" s="1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D13" i="8" s="1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D17" i="8" s="1"/>
  <c r="E17" i="8" s="1"/>
  <c r="C284" i="16"/>
  <c r="C285" i="16"/>
  <c r="E5" i="5" s="1"/>
  <c r="C286" i="16"/>
  <c r="D20" i="8" s="1"/>
  <c r="C287" i="16"/>
  <c r="C288" i="16"/>
  <c r="C289" i="16"/>
  <c r="E7" i="5" s="1"/>
  <c r="C290" i="16"/>
  <c r="C291" i="16"/>
  <c r="C292" i="16"/>
  <c r="C293" i="16"/>
  <c r="C294" i="16"/>
  <c r="C295" i="16"/>
  <c r="C296" i="16"/>
  <c r="C297" i="16"/>
  <c r="C298" i="16"/>
  <c r="C299" i="16"/>
  <c r="C300" i="16"/>
  <c r="C301" i="16"/>
  <c r="C302" i="16"/>
  <c r="E16" i="5" s="1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5" i="16"/>
  <c r="C346" i="16"/>
  <c r="C347" i="16"/>
  <c r="C348" i="16"/>
  <c r="C349" i="16"/>
  <c r="C350" i="16"/>
  <c r="C351" i="16"/>
  <c r="C352" i="16"/>
  <c r="C353" i="16"/>
  <c r="C354" i="16"/>
  <c r="C355" i="16"/>
  <c r="C356" i="16"/>
  <c r="C357" i="16"/>
  <c r="C358" i="16"/>
  <c r="C359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C373" i="16"/>
  <c r="C374" i="16"/>
  <c r="C375" i="16"/>
  <c r="C376" i="16"/>
  <c r="C377" i="16"/>
  <c r="C378" i="16"/>
  <c r="C379" i="16"/>
  <c r="C380" i="16"/>
  <c r="C381" i="16"/>
  <c r="C382" i="16"/>
  <c r="C383" i="16"/>
  <c r="C384" i="16"/>
  <c r="C385" i="16"/>
  <c r="C386" i="16"/>
  <c r="C387" i="16"/>
  <c r="C388" i="16"/>
  <c r="C389" i="16"/>
  <c r="C390" i="16"/>
  <c r="C391" i="16"/>
  <c r="C392" i="16"/>
  <c r="C393" i="16"/>
  <c r="C394" i="16"/>
  <c r="C395" i="16"/>
  <c r="C396" i="16"/>
  <c r="C397" i="16"/>
  <c r="C398" i="16"/>
  <c r="C399" i="16"/>
  <c r="C400" i="16"/>
  <c r="C401" i="16"/>
  <c r="C402" i="16"/>
  <c r="C403" i="16"/>
  <c r="C404" i="16"/>
  <c r="C405" i="16"/>
  <c r="C406" i="16"/>
  <c r="C407" i="16"/>
  <c r="C408" i="16"/>
  <c r="C409" i="16"/>
  <c r="C410" i="16"/>
  <c r="C411" i="16"/>
  <c r="C412" i="16"/>
  <c r="C413" i="16"/>
  <c r="C414" i="16"/>
  <c r="C415" i="16"/>
  <c r="C416" i="16"/>
  <c r="C417" i="16"/>
  <c r="C418" i="16"/>
  <c r="C419" i="16"/>
  <c r="C420" i="16"/>
  <c r="C421" i="16"/>
  <c r="C422" i="16"/>
  <c r="C423" i="16"/>
  <c r="C424" i="16"/>
  <c r="C425" i="16"/>
  <c r="C426" i="16"/>
  <c r="C427" i="16"/>
  <c r="C428" i="16"/>
  <c r="C429" i="16"/>
  <c r="C430" i="16"/>
  <c r="C431" i="16"/>
  <c r="C432" i="16"/>
  <c r="C433" i="16"/>
  <c r="C434" i="16"/>
  <c r="C435" i="16"/>
  <c r="C436" i="16"/>
  <c r="C437" i="16"/>
  <c r="C438" i="16"/>
  <c r="C439" i="16"/>
  <c r="D7" i="8"/>
  <c r="E25" i="5"/>
  <c r="E21" i="5"/>
  <c r="E3" i="5"/>
  <c r="G50" i="1"/>
  <c r="G45" i="1"/>
  <c r="G24" i="1"/>
  <c r="G22" i="1"/>
  <c r="G18" i="1"/>
  <c r="F18" i="1" s="1"/>
  <c r="G15" i="1"/>
  <c r="F15" i="1" s="1"/>
  <c r="G13" i="1"/>
  <c r="F13" i="1" s="1"/>
  <c r="G6" i="1"/>
  <c r="F6" i="1" s="1"/>
  <c r="G4" i="1"/>
  <c r="F4" i="1" s="1"/>
  <c r="D15" i="22"/>
  <c r="F15" i="22" s="1"/>
  <c r="F17" i="5"/>
  <c r="F23" i="5"/>
  <c r="F29" i="5"/>
  <c r="J17" i="22"/>
  <c r="I17" i="22"/>
  <c r="H17" i="22"/>
  <c r="E17" i="22"/>
  <c r="C17" i="22"/>
  <c r="B17" i="22"/>
  <c r="D16" i="22"/>
  <c r="F16" i="22" s="1"/>
  <c r="D14" i="22"/>
  <c r="F14" i="22" s="1"/>
  <c r="D13" i="22"/>
  <c r="F13" i="22" s="1"/>
  <c r="D12" i="22"/>
  <c r="F12" i="22" s="1"/>
  <c r="D11" i="22"/>
  <c r="F11" i="22" s="1"/>
  <c r="D10" i="22"/>
  <c r="F10" i="22" s="1"/>
  <c r="D9" i="22"/>
  <c r="F9" i="22" s="1"/>
  <c r="D8" i="22"/>
  <c r="F8" i="22" s="1"/>
  <c r="D7" i="22"/>
  <c r="F7" i="22" s="1"/>
  <c r="D6" i="22"/>
  <c r="F6" i="22" s="1"/>
  <c r="D5" i="22"/>
  <c r="F5" i="22" s="1"/>
  <c r="E19" i="1"/>
  <c r="G6" i="22" l="1"/>
  <c r="D23" i="22"/>
  <c r="D24" i="22" s="1"/>
  <c r="D25" i="22" s="1"/>
  <c r="G5" i="22"/>
  <c r="C23" i="22"/>
  <c r="C24" i="22" s="1"/>
  <c r="C25" i="22" s="1"/>
  <c r="B23" i="22"/>
  <c r="B24" i="22" s="1"/>
  <c r="B25" i="22" s="1"/>
  <c r="G4" i="22"/>
  <c r="G15" i="22"/>
  <c r="H23" i="22"/>
  <c r="H24" i="22" s="1"/>
  <c r="H25" i="22" s="1"/>
  <c r="G14" i="22"/>
  <c r="G23" i="22"/>
  <c r="G24" i="22" s="1"/>
  <c r="G25" i="22" s="1"/>
  <c r="C32" i="8"/>
  <c r="C36" i="8" s="1"/>
  <c r="G5" i="1"/>
  <c r="F5" i="1" s="1"/>
  <c r="G9" i="1"/>
  <c r="F9" i="1" s="1"/>
  <c r="G26" i="1"/>
  <c r="G43" i="1" s="1"/>
  <c r="D18" i="8"/>
  <c r="E18" i="8" s="1"/>
  <c r="E11" i="5"/>
  <c r="G16" i="1"/>
  <c r="F16" i="1" s="1"/>
  <c r="G49" i="1"/>
  <c r="G17" i="1"/>
  <c r="F17" i="1" s="1"/>
  <c r="G8" i="1"/>
  <c r="F8" i="1" s="1"/>
  <c r="G7" i="1"/>
  <c r="F7" i="1" s="1"/>
  <c r="E36" i="5"/>
  <c r="E12" i="5"/>
  <c r="G31" i="1"/>
  <c r="E6" i="5"/>
  <c r="E26" i="5"/>
  <c r="E22" i="5"/>
  <c r="G21" i="1"/>
  <c r="D5" i="8"/>
  <c r="L5" i="8" s="1"/>
  <c r="E4" i="5"/>
  <c r="E9" i="5"/>
  <c r="E10" i="5"/>
  <c r="D12" i="8"/>
  <c r="E12" i="8" s="1"/>
  <c r="G46" i="1"/>
  <c r="G14" i="1"/>
  <c r="F14" i="1" s="1"/>
  <c r="G30" i="1"/>
  <c r="G3" i="1"/>
  <c r="F3" i="1" s="1"/>
  <c r="D21" i="8"/>
  <c r="D11" i="8"/>
  <c r="L11" i="8" s="1"/>
  <c r="G23" i="1"/>
  <c r="G29" i="1"/>
  <c r="E28" i="5"/>
  <c r="D22" i="8"/>
  <c r="E22" i="8" s="1"/>
  <c r="E15" i="5"/>
  <c r="D25" i="8"/>
  <c r="E25" i="8" s="1"/>
  <c r="E34" i="5"/>
  <c r="D24" i="8"/>
  <c r="E24" i="8" s="1"/>
  <c r="E13" i="5"/>
  <c r="E14" i="5"/>
  <c r="D27" i="8"/>
  <c r="E27" i="8" s="1"/>
  <c r="G51" i="1"/>
  <c r="D8" i="8"/>
  <c r="L8" i="8" s="1"/>
  <c r="D9" i="8"/>
  <c r="M9" i="8" s="1"/>
  <c r="G25" i="1"/>
  <c r="G42" i="1" s="1"/>
  <c r="E20" i="5"/>
  <c r="D19" i="8"/>
  <c r="L19" i="8" s="1"/>
  <c r="E27" i="5"/>
  <c r="D10" i="8"/>
  <c r="M10" i="8" s="1"/>
  <c r="E33" i="5"/>
  <c r="D28" i="8"/>
  <c r="L28" i="8" s="1"/>
  <c r="G33" i="1"/>
  <c r="G41" i="1" s="1"/>
  <c r="G12" i="1"/>
  <c r="F12" i="1" s="1"/>
  <c r="G32" i="1"/>
  <c r="E24" i="5"/>
  <c r="D14" i="8"/>
  <c r="M14" i="8" s="1"/>
  <c r="D23" i="8"/>
  <c r="L23" i="8" s="1"/>
  <c r="D15" i="8"/>
  <c r="L15" i="8" s="1"/>
  <c r="E8" i="5"/>
  <c r="E19" i="5"/>
  <c r="D26" i="8"/>
  <c r="M26" i="8" s="1"/>
  <c r="F37" i="5"/>
  <c r="M18" i="8"/>
  <c r="L18" i="8"/>
  <c r="L7" i="8"/>
  <c r="M7" i="8"/>
  <c r="M11" i="8"/>
  <c r="M25" i="8"/>
  <c r="L17" i="8"/>
  <c r="M17" i="8"/>
  <c r="L22" i="8"/>
  <c r="M5" i="8"/>
  <c r="L13" i="8"/>
  <c r="M13" i="8"/>
  <c r="L21" i="8"/>
  <c r="M21" i="8"/>
  <c r="L20" i="8"/>
  <c r="M20" i="8"/>
  <c r="M6" i="8"/>
  <c r="L6" i="8"/>
  <c r="E20" i="8"/>
  <c r="E6" i="8"/>
  <c r="E21" i="8"/>
  <c r="E7" i="8"/>
  <c r="E11" i="8"/>
  <c r="E5" i="8"/>
  <c r="E13" i="8"/>
  <c r="D29" i="8"/>
  <c r="E31" i="5"/>
  <c r="E32" i="5"/>
  <c r="E35" i="5"/>
  <c r="G39" i="1"/>
  <c r="D30" i="8"/>
  <c r="G37" i="1"/>
  <c r="G38" i="1"/>
  <c r="F17" i="22"/>
  <c r="D17" i="22"/>
  <c r="G17" i="22" l="1"/>
  <c r="L24" i="8"/>
  <c r="M22" i="8"/>
  <c r="G10" i="1"/>
  <c r="F10" i="1" s="1"/>
  <c r="E23" i="5"/>
  <c r="E29" i="5" s="1"/>
  <c r="L25" i="8"/>
  <c r="M12" i="8"/>
  <c r="L9" i="8"/>
  <c r="M24" i="8"/>
  <c r="L12" i="8"/>
  <c r="G27" i="1"/>
  <c r="G40" i="1"/>
  <c r="E19" i="8"/>
  <c r="M19" i="8"/>
  <c r="E17" i="5"/>
  <c r="E9" i="8"/>
  <c r="E8" i="8"/>
  <c r="G36" i="1"/>
  <c r="G34" i="1"/>
  <c r="M8" i="8"/>
  <c r="G19" i="1"/>
  <c r="F19" i="1" s="1"/>
  <c r="M28" i="8"/>
  <c r="E28" i="8"/>
  <c r="M27" i="8"/>
  <c r="L27" i="8"/>
  <c r="E10" i="8"/>
  <c r="L10" i="8"/>
  <c r="D16" i="8"/>
  <c r="M16" i="8" s="1"/>
  <c r="E26" i="8"/>
  <c r="L26" i="8"/>
  <c r="M15" i="8"/>
  <c r="E15" i="8"/>
  <c r="E14" i="8"/>
  <c r="M23" i="8"/>
  <c r="L14" i="8"/>
  <c r="E23" i="8"/>
  <c r="M30" i="8"/>
  <c r="L30" i="8"/>
  <c r="L29" i="8"/>
  <c r="M29" i="8"/>
  <c r="E29" i="8"/>
  <c r="E30" i="8"/>
  <c r="D31" i="8"/>
  <c r="A4" i="29" l="1"/>
  <c r="E37" i="5"/>
  <c r="E16" i="8"/>
  <c r="G44" i="1"/>
  <c r="G47" i="1" s="1"/>
  <c r="G52" i="1" s="1"/>
  <c r="L16" i="8"/>
  <c r="L31" i="8"/>
  <c r="M31" i="8"/>
  <c r="D32" i="8"/>
  <c r="D33" i="8" s="1"/>
  <c r="H34" i="8" s="1"/>
  <c r="E31" i="8"/>
  <c r="B4" i="29"/>
  <c r="K4" i="29" s="1"/>
  <c r="L4" i="29" s="1"/>
  <c r="C33" i="8" l="1"/>
  <c r="D36" i="8"/>
  <c r="D37" i="8" s="1"/>
  <c r="C37" i="8" s="1"/>
  <c r="E38" i="5"/>
  <c r="E39" i="5"/>
  <c r="C4" i="29"/>
  <c r="O4" i="29" l="1"/>
  <c r="D4" i="29"/>
  <c r="E4" i="29"/>
  <c r="H4" i="29" s="1"/>
  <c r="G4" i="29"/>
  <c r="P4" i="29" l="1"/>
  <c r="M4" i="29"/>
  <c r="N4" i="29" s="1"/>
  <c r="Q4" i="29" l="1"/>
  <c r="R4" i="29" s="1"/>
  <c r="S4" i="29" s="1"/>
</calcChain>
</file>

<file path=xl/comments1.xml><?xml version="1.0" encoding="utf-8"?>
<comments xmlns="http://schemas.openxmlformats.org/spreadsheetml/2006/main">
  <authors>
    <author>Amornratana</author>
    <author>Administrator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11 up 12</t>
        </r>
      </text>
    </comment>
    <comment ref="D4" authorId="1">
      <text>
        <r>
          <rPr>
            <sz val="9"/>
            <color indexed="81"/>
            <rFont val="Tahoma"/>
            <family val="2"/>
          </rPr>
          <t xml:space="preserve">ข้อมูลมาจาก  worksheet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ใส่ข้อมูลตัวเลขด้วย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ข้อมูลนี้จะได้จาก worksheet</t>
        </r>
      </text>
    </comment>
    <comment ref="G36" authorId="0">
      <text>
        <r>
          <rPr>
            <sz val="9"/>
            <color indexed="81"/>
            <rFont val="Tahoma"/>
            <family val="2"/>
          </rPr>
          <t xml:space="preserve">คำนวนให้
</t>
        </r>
      </text>
    </comment>
  </commentList>
</comments>
</file>

<file path=xl/comments3.xml><?xml version="1.0" encoding="utf-8"?>
<comments xmlns="http://schemas.openxmlformats.org/spreadsheetml/2006/main">
  <authors>
    <author>Amornratana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Amornratana: link มูลค่าจากกลุ่ม ใช้ข้อมูล</t>
        </r>
        <r>
          <rPr>
            <sz val="9"/>
            <color indexed="81"/>
            <rFont val="Tahoma"/>
            <family val="2"/>
          </rPr>
          <t xml:space="preserve">
ปี 58</t>
        </r>
      </text>
    </comment>
  </commentList>
</comments>
</file>

<file path=xl/comments4.xml><?xml version="1.0" encoding="utf-8"?>
<comments xmlns="http://schemas.openxmlformats.org/spreadsheetml/2006/main">
  <authors>
    <author>Amonrat</author>
  </authors>
  <commentList>
    <comment ref="B17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365/4.25</t>
        </r>
      </text>
    </comment>
  </commentList>
</comments>
</file>

<file path=xl/comments5.xml><?xml version="1.0" encoding="utf-8"?>
<comments xmlns="http://schemas.openxmlformats.org/spreadsheetml/2006/main">
  <authors>
    <author>Amonrat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ดูคาดการณ์งบค่าเสื่อมที่จะได้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ดูวงเงินงบประมาณที่จะได้</t>
        </r>
      </text>
    </comment>
  </commentList>
</comments>
</file>

<file path=xl/comments6.xml><?xml version="1.0" encoding="utf-8"?>
<comments xmlns="http://schemas.openxmlformats.org/spreadsheetml/2006/main">
  <authors>
    <author>Amonrat</author>
    <author>NB31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  <comment ref="P3" authorId="0">
      <text>
        <r>
          <rPr>
            <b/>
            <sz val="9"/>
            <color indexed="81"/>
            <rFont val="Tahoma"/>
            <family val="2"/>
          </rPr>
          <t>Amonrat:</t>
        </r>
        <r>
          <rPr>
            <sz val="9"/>
            <color indexed="81"/>
            <rFont val="Tahoma"/>
            <family val="2"/>
          </rPr>
          <t xml:space="preserve">
ดูเงินบำรุง หลังหักภาระผูกพัน</t>
        </r>
      </text>
    </comment>
    <comment ref="C6" authorId="1">
      <text>
        <r>
          <rPr>
            <b/>
            <sz val="9"/>
            <color indexed="81"/>
            <rFont val="Tahoma"/>
            <family val="2"/>
          </rPr>
          <t>NB31:</t>
        </r>
        <r>
          <rPr>
            <sz val="9"/>
            <color indexed="81"/>
            <rFont val="Tahoma"/>
            <family val="2"/>
          </rPr>
          <t xml:space="preserve">
ครุภัณฑ์ สนง 646200(10รายการ)
</t>
        </r>
      </text>
    </comment>
  </commentList>
</comments>
</file>

<file path=xl/comments7.xml><?xml version="1.0" encoding="utf-8"?>
<comments xmlns="http://schemas.openxmlformats.org/spreadsheetml/2006/main">
  <authors>
    <author>Amornratana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Amornratana:</t>
        </r>
        <r>
          <rPr>
            <sz val="9"/>
            <color indexed="81"/>
            <rFont val="Tahoma"/>
            <family val="2"/>
          </rPr>
          <t xml:space="preserve">
การเก็บข้อมูลแล้วแต่การจัดการของแม่ข่าย (แม่ข่ายจ่ายเอง หรือโอนให้ลูกบริหาร)</t>
        </r>
      </text>
    </comment>
  </commentList>
</comments>
</file>

<file path=xl/sharedStrings.xml><?xml version="1.0" encoding="utf-8"?>
<sst xmlns="http://schemas.openxmlformats.org/spreadsheetml/2006/main" count="7931" uniqueCount="1547">
  <si>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</si>
  <si>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</si>
  <si>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</si>
  <si>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</si>
  <si>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</si>
  <si>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</si>
  <si>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</si>
  <si>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</si>
  <si>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</si>
  <si>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</si>
  <si>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</si>
  <si>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</si>
  <si>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</si>
  <si>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</si>
  <si>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</si>
  <si>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</si>
  <si>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</si>
  <si>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</si>
  <si>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</si>
  <si>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P14</t>
  </si>
  <si>
    <t>ต้นทุนยา</t>
  </si>
  <si>
    <t>P15</t>
  </si>
  <si>
    <t>ต้นทุนเวชภัณฑ์มิใช่ยาและวัสดุการแพทย์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</si>
  <si>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</si>
  <si>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</si>
  <si>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</si>
  <si>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</si>
  <si>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</si>
  <si>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</si>
  <si>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</si>
  <si>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</si>
  <si>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</si>
  <si>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</si>
  <si>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</si>
  <si>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</si>
  <si>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</si>
  <si>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</si>
  <si>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</si>
  <si>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</si>
  <si>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</si>
  <si>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</si>
  <si>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P25</t>
  </si>
  <si>
    <t>ค่าใช้จ่ายอื่น</t>
  </si>
  <si>
    <t>P40</t>
  </si>
  <si>
    <t>P50</t>
  </si>
  <si>
    <t>4301020105.201</t>
  </si>
  <si>
    <t>4301020105.202</t>
  </si>
  <si>
    <t>4301020105.203</t>
  </si>
  <si>
    <t>4301020105.205</t>
  </si>
  <si>
    <t>4301020105.207</t>
  </si>
  <si>
    <t>4301020105.214</t>
  </si>
  <si>
    <t>4301020105.215</t>
  </si>
  <si>
    <t>4301020105.217</t>
  </si>
  <si>
    <t>4301020105.222</t>
  </si>
  <si>
    <t>รายได้กองทุน UC เฉพาะโรคอื่น</t>
  </si>
  <si>
    <t>4301020105.223</t>
  </si>
  <si>
    <t>4301020105.228</t>
  </si>
  <si>
    <t xml:space="preserve">รายได้กองทุน UC อื่น </t>
  </si>
  <si>
    <t>4301020105.229</t>
  </si>
  <si>
    <t>4301020105.231</t>
  </si>
  <si>
    <t>4301020105.232</t>
  </si>
  <si>
    <t>4301020105.239</t>
  </si>
  <si>
    <t>4301020105.240</t>
  </si>
  <si>
    <t>4301020105.241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</si>
  <si>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</si>
  <si>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</si>
  <si>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</si>
  <si>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</si>
  <si>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4301020105.244</t>
  </si>
  <si>
    <t>4301020105.245</t>
  </si>
  <si>
    <t>4301020105.246</t>
  </si>
  <si>
    <t>4301020105.247</t>
  </si>
  <si>
    <t>4301020105.248</t>
  </si>
  <si>
    <t>4301020105.249</t>
  </si>
  <si>
    <t>4301020105.251</t>
  </si>
  <si>
    <t>4301020105.252</t>
  </si>
  <si>
    <t>4301020104.104</t>
  </si>
  <si>
    <t>4301020104.105</t>
  </si>
  <si>
    <t>4301020104.801</t>
  </si>
  <si>
    <t>4301020104.802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</si>
  <si>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</si>
  <si>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</si>
  <si>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</si>
  <si>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</si>
  <si>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รายได้ค่าตรวจสุขภาพ-หน่วยงานภาครัฐ</t>
  </si>
  <si>
    <t>4301020104.401</t>
  </si>
  <si>
    <t>4301020104.402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</si>
  <si>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</si>
  <si>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</si>
  <si>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</si>
  <si>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</si>
  <si>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</si>
  <si>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</si>
  <si>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4301020106.305</t>
  </si>
  <si>
    <t>4301020106.306</t>
  </si>
  <si>
    <t>4301020106.307</t>
  </si>
  <si>
    <t>4301020106.308</t>
  </si>
  <si>
    <t>4301020106.311</t>
  </si>
  <si>
    <t>รายได้ค่ารักษาประกันสังคม-กองทุนทดแทน</t>
  </si>
  <si>
    <t>4301020106.312</t>
  </si>
  <si>
    <t>รายได้ค่ารักษาประกันสังคม 72 ชั่วโมงแรก</t>
  </si>
  <si>
    <t>4301020106.313</t>
  </si>
  <si>
    <t>4301020106.314</t>
  </si>
  <si>
    <t>4301020106.315</t>
  </si>
  <si>
    <t>4301020106.317</t>
  </si>
  <si>
    <t>4301020106.319</t>
  </si>
  <si>
    <t>4301020106.320</t>
  </si>
  <si>
    <t>รายได้ค่าบริหารจัดการประกันสังคม</t>
  </si>
  <si>
    <t>รายได้ค่าตอบแทนและพัฒนากิจการ</t>
  </si>
  <si>
    <t>4301020106.503</t>
  </si>
  <si>
    <t>4301020106.504</t>
  </si>
  <si>
    <t>4301020106.505</t>
  </si>
  <si>
    <t>4301020106.507</t>
  </si>
  <si>
    <t>4301020106.509</t>
  </si>
  <si>
    <t>4301020106.510</t>
  </si>
  <si>
    <t>4301020106.511</t>
  </si>
  <si>
    <t>รายได้ค่าบริหารจัดการแรงงานต่างด้าว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</si>
  <si>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</si>
  <si>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</si>
  <si>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</si>
  <si>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</si>
  <si>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รายได้ค่าสิ่งส่งตรวจ - หน่วยงานภาครัฐ</t>
  </si>
  <si>
    <t>รายได้จากการจำหน่ายยาสมุนไพร -หน่วยงานภาครัฐ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</si>
  <si>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</si>
  <si>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</si>
  <si>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</si>
  <si>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4301020102.102</t>
  </si>
  <si>
    <t>รายได้ค่าตรวจสุขภาพ - บุคคลภายนอก</t>
  </si>
  <si>
    <t>4301020104.106</t>
  </si>
  <si>
    <t>4301020104.107</t>
  </si>
  <si>
    <t>4301020104.602</t>
  </si>
  <si>
    <t>4301020104.603</t>
  </si>
  <si>
    <t>4301020106.701</t>
  </si>
  <si>
    <t>4301020106.703</t>
  </si>
  <si>
    <t>4301020106.704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</si>
  <si>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</si>
  <si>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</si>
  <si>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</si>
  <si>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</si>
  <si>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</si>
  <si>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</si>
  <si>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</si>
  <si>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</si>
  <si>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</si>
  <si>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</si>
  <si>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</si>
  <si>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</si>
  <si>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</si>
  <si>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</si>
  <si>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</si>
  <si>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</si>
  <si>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</si>
  <si>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</si>
  <si>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4203010101.101</t>
  </si>
  <si>
    <t>รายได้ดอกเบี้ยเงินฝากที่สถาบันการเงิน</t>
  </si>
  <si>
    <t>4205010104.101</t>
  </si>
  <si>
    <t>4205010110.101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</si>
  <si>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</si>
  <si>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</si>
  <si>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</si>
  <si>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</si>
  <si>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</si>
  <si>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</si>
  <si>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</si>
  <si>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4301030104.101</t>
  </si>
  <si>
    <t>รายได้จากการช่วยเหลือเพื่อการดำเนินงานจากหน่วยงานภาครัฐ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</si>
  <si>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</si>
  <si>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</si>
  <si>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</si>
  <si>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</si>
  <si>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</si>
  <si>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</si>
  <si>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</si>
  <si>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</si>
  <si>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4302030101.101</t>
  </si>
  <si>
    <t>4303010101.101</t>
  </si>
  <si>
    <t>4306010104.101</t>
  </si>
  <si>
    <t>รายรับจากการขายอาคารและสิ่งปลูกสร้าง</t>
  </si>
  <si>
    <t>4306010110.101</t>
  </si>
  <si>
    <t>รายรับจากการขายครุภัณฑ์</t>
  </si>
  <si>
    <t>4307010105.101</t>
  </si>
  <si>
    <t>4307010106.101</t>
  </si>
  <si>
    <t>4307010107.101</t>
  </si>
  <si>
    <t>4307010108.101</t>
  </si>
  <si>
    <t>4307010110.101</t>
  </si>
  <si>
    <t>4308010111.101</t>
  </si>
  <si>
    <t>4308010118.101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</si>
  <si>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</si>
  <si>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</si>
  <si>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</si>
  <si>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</si>
  <si>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</si>
  <si>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</si>
  <si>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</si>
  <si>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</si>
  <si>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</si>
  <si>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</si>
  <si>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</si>
  <si>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</si>
  <si>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</si>
  <si>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</si>
  <si>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</si>
  <si>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4313010199.115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</si>
  <si>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</si>
  <si>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</si>
  <si>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</si>
  <si>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</si>
  <si>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</si>
  <si>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</si>
  <si>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</si>
  <si>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</si>
  <si>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</si>
  <si>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</si>
  <si>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</si>
  <si>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</si>
  <si>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4301020105.211</t>
  </si>
  <si>
    <t>รายได้กองทุน UC (งบลงทุน)</t>
  </si>
  <si>
    <t>4307010104.101</t>
  </si>
  <si>
    <t>4313010199.118</t>
  </si>
  <si>
    <t>รายได้อื่น-เงินงบประมาณงบลงทุน รับโอนจาก สสจ./รพศ./รพท./รพช./รพ.สต.</t>
  </si>
  <si>
    <t>5104030205.101</t>
  </si>
  <si>
    <t>ยาใช้ไป</t>
  </si>
  <si>
    <t>5104030205.102</t>
  </si>
  <si>
    <t>เวชภัณฑ์มิใช่ยาใช้ไป</t>
  </si>
  <si>
    <t>5104030205.103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</si>
  <si>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</si>
  <si>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</si>
  <si>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</si>
  <si>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</si>
  <si>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</si>
  <si>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</si>
  <si>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</si>
  <si>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</si>
  <si>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</si>
  <si>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</si>
  <si>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</si>
  <si>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</si>
  <si>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</si>
  <si>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</si>
  <si>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5101010108.101</t>
  </si>
  <si>
    <t>ค่าล่วงเวลา(สนับสนุน)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</si>
  <si>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</si>
  <si>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</si>
  <si>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</si>
  <si>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</si>
  <si>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</si>
  <si>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</si>
  <si>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</si>
  <si>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</si>
  <si>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</si>
  <si>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</si>
  <si>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</si>
  <si>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</si>
  <si>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</si>
  <si>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5101010115.102</t>
  </si>
  <si>
    <t>5101010116.101</t>
  </si>
  <si>
    <t>5101010116.102</t>
  </si>
  <si>
    <t>5101010116.103</t>
  </si>
  <si>
    <t>5101010116.104</t>
  </si>
  <si>
    <t>5101010116.105</t>
  </si>
  <si>
    <t>5101010116.106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</si>
  <si>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</si>
  <si>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</si>
  <si>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</si>
  <si>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</si>
  <si>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</si>
  <si>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</si>
  <si>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</si>
  <si>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</si>
  <si>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</si>
  <si>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</si>
  <si>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ค่าตอบแทนเงินเพิ่มพิเศษแพทย์ไม่ทำเวชปฏิบัติฯลฯ(บริการ)</t>
  </si>
  <si>
    <t>ค่าตอบแทนเงินเพิ่มพิเศษทันตแพทย์ไม่ทำเวชปฏิบัติฯลฯ(บริการ)</t>
  </si>
  <si>
    <t>ค่าตอบแทนเงินเพิ่มเภสัชกรไม่ทำเวชปฏิบัติฯลฯ(บริการ)</t>
  </si>
  <si>
    <t>5101020114.107</t>
  </si>
  <si>
    <t>ค่าตอบแทนเพิ่มพิเศษสำหรับผู้ปฏิบัติงานด้านสาธารณสุข(พตส.-เงินงบประมาณ)</t>
  </si>
  <si>
    <t>ค่าตอบแทนอื่น</t>
  </si>
  <si>
    <t>5101020114.114</t>
  </si>
  <si>
    <t>ค่าตอบแทนเพิ่มพิเศษสำหรับผู้ปฏิบัติงานด้านสาธารณสุข(พตส.-เงินนอกงบประมาณ)</t>
  </si>
  <si>
    <t>5101020114.116</t>
  </si>
  <si>
    <t>5101020114.117</t>
  </si>
  <si>
    <t>5101020114.118</t>
  </si>
  <si>
    <t>ค่าตอบแทนเพิ่มเติม (บริการ)</t>
  </si>
  <si>
    <t>5101020114.119</t>
  </si>
  <si>
    <t>ค่าตอบแทนเพิ่มเติม (สนับสนุน)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</si>
  <si>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</si>
  <si>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</si>
  <si>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</si>
  <si>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</si>
  <si>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</si>
  <si>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</si>
  <si>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</si>
  <si>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</si>
  <si>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</si>
  <si>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</si>
  <si>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5101020106.301</t>
  </si>
  <si>
    <t>5101020108.101</t>
  </si>
  <si>
    <t>ค่าเช่าบ้าน</t>
  </si>
  <si>
    <t>5101020112.101</t>
  </si>
  <si>
    <t>เงินสมทบกองทุนสำรองเลี้ยงชีพพนักงานและเจ้าหน้าที่รัฐ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</si>
  <si>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</si>
  <si>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</si>
  <si>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</si>
  <si>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</si>
  <si>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</si>
  <si>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</si>
  <si>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</si>
  <si>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</si>
  <si>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</si>
  <si>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</si>
  <si>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</si>
  <si>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</si>
  <si>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</si>
  <si>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</si>
  <si>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</si>
  <si>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</si>
  <si>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</si>
  <si>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</si>
  <si>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</si>
  <si>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</si>
  <si>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</si>
  <si>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</si>
  <si>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</si>
  <si>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</si>
  <si>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</si>
  <si>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</t>
  </si>
  <si>
    <t>5102030199.101</t>
  </si>
  <si>
    <t>ค่าใช้จ่ายด้านการฝึกอบรม-บุคคลภายนอก</t>
  </si>
  <si>
    <t>5103010102.101</t>
  </si>
  <si>
    <t>ค่าเบี้ยเลี้ยง-ในประเทศ</t>
  </si>
  <si>
    <t>5103010103.101</t>
  </si>
  <si>
    <t>ค่าที่พัก-ในประเทศ</t>
  </si>
  <si>
    <t>5103010199.101</t>
  </si>
  <si>
    <t>ค่าใช้จ่ายเดินทางอื่น -ในประเทศ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</si>
  <si>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</si>
  <si>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</si>
  <si>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</si>
  <si>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</si>
  <si>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</si>
  <si>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</si>
  <si>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</si>
  <si>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</si>
  <si>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</si>
  <si>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</si>
  <si>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</si>
  <si>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</si>
  <si>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</si>
  <si>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</si>
  <si>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</si>
  <si>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</si>
  <si>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</si>
  <si>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</si>
  <si>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</si>
  <si>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</si>
  <si>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</si>
  <si>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</si>
  <si>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</si>
  <si>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</si>
  <si>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</si>
  <si>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</si>
  <si>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</si>
  <si>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</si>
  <si>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</si>
  <si>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</si>
  <si>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</si>
  <si>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</si>
  <si>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</si>
  <si>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</si>
  <si>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</si>
  <si>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</si>
  <si>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</si>
  <si>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</si>
  <si>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ค่าจ้างตรวจทางห้องปฏิบัติการ</t>
  </si>
  <si>
    <t>5104010112.113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</si>
  <si>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</si>
  <si>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</si>
  <si>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</si>
  <si>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</si>
  <si>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</si>
  <si>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</si>
  <si>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</si>
  <si>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</si>
  <si>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</si>
  <si>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</si>
  <si>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</si>
  <si>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</si>
  <si>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</si>
  <si>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</si>
  <si>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</si>
  <si>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</si>
  <si>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5104020101.101</t>
  </si>
  <si>
    <t>ค่าไฟฟ้า</t>
  </si>
  <si>
    <t>5104020103.101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</si>
  <si>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</si>
  <si>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</si>
  <si>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</si>
  <si>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</si>
  <si>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</si>
  <si>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</si>
  <si>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วัสดุสำนักงานใช้ไป</t>
  </si>
  <si>
    <t>วัสดุยานพาหนะและขนส่งใช้ไป</t>
  </si>
  <si>
    <t>วัสดุไฟฟ้าและวิทยุใช้ไป</t>
  </si>
  <si>
    <t>วัสดุโฆษณาและเผยแพร่ใช้ไป</t>
  </si>
  <si>
    <t>วัสดุคอมพิวเตอร์  ใช้ไป</t>
  </si>
  <si>
    <t>วัสดุงานบ้านงานครัวใช้ไป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</si>
  <si>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</si>
  <si>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</si>
  <si>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</si>
  <si>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</si>
  <si>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วัสดุก่อสร้างใช้ไป</t>
  </si>
  <si>
    <t>วัสดุอื่นใช้ไป</t>
  </si>
  <si>
    <t>สินค้าใช้ไป</t>
  </si>
  <si>
    <t>5104030206.101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</si>
  <si>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</si>
  <si>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</si>
  <si>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</si>
  <si>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</si>
  <si>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</si>
  <si>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</si>
  <si>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</si>
  <si>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</si>
  <si>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</si>
  <si>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</si>
  <si>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</si>
  <si>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</si>
  <si>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</si>
  <si>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</si>
  <si>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</si>
  <si>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</si>
  <si>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</si>
  <si>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</si>
  <si>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</si>
  <si>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</si>
  <si>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</si>
  <si>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</si>
  <si>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</si>
  <si>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</si>
  <si>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</si>
  <si>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</si>
  <si>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</si>
  <si>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</si>
  <si>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</si>
  <si>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</si>
  <si>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</si>
  <si>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</si>
  <si>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</si>
  <si>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</si>
  <si>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5105010131.101</t>
  </si>
  <si>
    <t>ค่าเสื่อมราคา-ครุภัณฑ์งานบ้านงานครัว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</si>
  <si>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</si>
  <si>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</si>
  <si>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</si>
  <si>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</si>
  <si>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</si>
  <si>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</si>
  <si>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</si>
  <si>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</si>
  <si>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</si>
  <si>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</si>
  <si>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</si>
  <si>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</si>
  <si>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</si>
  <si>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</si>
  <si>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</si>
  <si>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</si>
  <si>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</si>
  <si>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</si>
  <si>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</si>
  <si>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</si>
  <si>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</si>
  <si>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</si>
  <si>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</si>
  <si>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</si>
  <si>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</si>
  <si>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</si>
  <si>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</si>
  <si>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</si>
  <si>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</si>
  <si>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</si>
  <si>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</si>
  <si>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</si>
  <si>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</si>
  <si>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</si>
  <si>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</si>
  <si>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</si>
  <si>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</si>
  <si>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</si>
  <si>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</si>
  <si>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</si>
  <si>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</si>
  <si>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</si>
  <si>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</si>
  <si>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</si>
  <si>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</si>
  <si>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</si>
  <si>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</si>
  <si>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</si>
  <si>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</si>
  <si>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</si>
  <si>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</si>
  <si>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</si>
  <si>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</si>
  <si>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</si>
  <si>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5104030210.101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</si>
  <si>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</si>
  <si>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</si>
  <si>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</si>
  <si>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</si>
  <si>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</si>
  <si>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</si>
  <si>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5104030299.101</t>
  </si>
  <si>
    <t>ค่าใช้จ่ายด้านสังคมสงเคราะห์</t>
  </si>
  <si>
    <t>5104030299.102</t>
  </si>
  <si>
    <t>5104030299.103</t>
  </si>
  <si>
    <t>ค่าใช้จ่ายตามโครงการ</t>
  </si>
  <si>
    <t>5104030299.202</t>
  </si>
  <si>
    <t>5104030299.203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</si>
  <si>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</si>
  <si>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</si>
  <si>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</si>
  <si>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</si>
  <si>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</si>
  <si>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</si>
  <si>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</si>
  <si>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</si>
  <si>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5108010101.102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</si>
  <si>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</si>
  <si>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</si>
  <si>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</si>
  <si>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</si>
  <si>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</si>
  <si>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5108010101.115</t>
  </si>
  <si>
    <t>5108010101.203</t>
  </si>
  <si>
    <t>5108010101.205</t>
  </si>
  <si>
    <t>5108010101.216</t>
  </si>
  <si>
    <t>5108010101.218</t>
  </si>
  <si>
    <t>5108010101.219</t>
  </si>
  <si>
    <t>5108010101.220</t>
  </si>
  <si>
    <t>5108010101.221</t>
  </si>
  <si>
    <t>5108010101.309</t>
  </si>
  <si>
    <t>5108010101.602</t>
  </si>
  <si>
    <t>5108010101.603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</si>
  <si>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</si>
  <si>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</si>
  <si>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</si>
  <si>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</si>
  <si>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</si>
  <si>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5108010107.115</t>
  </si>
  <si>
    <t>5108010107.216</t>
  </si>
  <si>
    <t>5108010107.217</t>
  </si>
  <si>
    <t>5108010107.218</t>
  </si>
  <si>
    <t>5108010107.219</t>
  </si>
  <si>
    <t>5108010107.220</t>
  </si>
  <si>
    <t>5108010107.221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</si>
  <si>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</si>
  <si>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</si>
  <si>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</si>
  <si>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</si>
  <si>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</si>
  <si>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</si>
  <si>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</si>
  <si>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</si>
  <si>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</si>
  <si>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</si>
  <si>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</si>
  <si>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</si>
  <si>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</si>
  <si>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</si>
  <si>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</si>
  <si>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</si>
  <si>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</si>
  <si>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</si>
  <si>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</si>
  <si>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</si>
  <si>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</si>
  <si>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</si>
  <si>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</si>
  <si>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</si>
  <si>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</si>
  <si>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</si>
  <si>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</si>
  <si>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</si>
  <si>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</si>
  <si>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</si>
  <si>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</si>
  <si>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</si>
  <si>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</si>
  <si>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</si>
  <si>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</si>
  <si>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</si>
  <si>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</si>
  <si>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</si>
  <si>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</si>
  <si>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</si>
  <si>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5210010103.101</t>
  </si>
  <si>
    <t>5210010118.101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</si>
  <si>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</si>
  <si>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</si>
  <si>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</si>
  <si>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</si>
  <si>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</si>
  <si>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</si>
  <si>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</si>
  <si>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5212010199.105</t>
  </si>
  <si>
    <t>ค่าใช้จ่ายลักษณะอื่น</t>
  </si>
  <si>
    <t>5212010199.106</t>
  </si>
  <si>
    <t>5212010199.107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</si>
  <si>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</si>
  <si>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</si>
  <si>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</si>
  <si>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</si>
  <si>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</si>
  <si>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   สสจ./รพศ./รพท./รพช./รพ.สต.</t>
  </si>
  <si>
    <t>5212010199.111</t>
  </si>
  <si>
    <t>ค่าใช้จ่ายอื่น-เงินงบประมาณงบ อุดหนุนโอนไป   สสจ./รพศ./รพท./รพช./รพ.สต.</t>
  </si>
  <si>
    <t>5212010199.112</t>
  </si>
  <si>
    <t>ค่าใช้จ่ายอื่น-เงินงบประมาณงบรายจ่ายอื่นโอนไป   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</si>
  <si>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</si>
  <si>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   รพ.สต.</t>
  </si>
  <si>
    <t>5212010199.114</t>
  </si>
  <si>
    <t>ค่าใช้จ่ายอื่น-เงินนอกงบประมาณโอนไปสสจ./รพศ.  /รพท./รพช./     รพ.สต.</t>
  </si>
  <si>
    <t>5401010101.101</t>
  </si>
  <si>
    <t>ค่าใช้จ่ายรายการพิเศษนอกเหนือการดำเนินงานปกติ</t>
  </si>
  <si>
    <t>ยา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</si>
  <si>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</si>
  <si>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</si>
  <si>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</si>
  <si>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</si>
  <si>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</si>
  <si>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</si>
  <si>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</si>
  <si>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</si>
  <si>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</si>
  <si>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</si>
  <si>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</si>
  <si>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เจ้าหนี้อื่น</t>
  </si>
  <si>
    <t>ค่าจ้างเหมาบุคลากร (สนับสนุน)</t>
  </si>
  <si>
    <t>OPD</t>
  </si>
  <si>
    <t>Fixed Costs</t>
  </si>
  <si>
    <t>Variable Costs</t>
  </si>
  <si>
    <t>ประมาณการรายได้</t>
  </si>
  <si>
    <t xml:space="preserve">ประมาณการ OP Visit </t>
  </si>
  <si>
    <t>ประมาณการรายได้รวม</t>
  </si>
  <si>
    <t>ประมาณการรายได้ต่อ 1 visit</t>
  </si>
  <si>
    <t>วัสดุการแพทย์ใช้ไป</t>
  </si>
  <si>
    <t>วัสดุวิทยาศาสตร์การแพทย์ใช้ไป</t>
  </si>
  <si>
    <t>วัสดุใช้ไป</t>
  </si>
  <si>
    <t>ค่าตอบแทน(ฉบับ5,ค่าล่วงเวลา)</t>
  </si>
  <si>
    <t>ค่าสาธารณูปโภค</t>
  </si>
  <si>
    <t>ค่าจ้างเหมาบำรุงรักษา/ซ่อมแซม</t>
  </si>
  <si>
    <t>ค่าจ้างเหมาบริการ</t>
  </si>
  <si>
    <t>ค่าซ่อมแซม</t>
  </si>
  <si>
    <t>ค่าใช้สอยอื่น</t>
  </si>
  <si>
    <t>ค่าใช้จ่ายโครงการ Non PP</t>
  </si>
  <si>
    <t>ค่าจ้างพนักงานกระทรวงสาธารณสุข</t>
  </si>
  <si>
    <t>ค่าจ้างเหมาบุคลากรอื่น</t>
  </si>
  <si>
    <t>รวมเงินเดือน+ค่าจ้าง</t>
  </si>
  <si>
    <t>ค่าใช้จ่ายบุคลากรอื่น</t>
  </si>
  <si>
    <t>ค่าตอบแทน พ.ต.ส.</t>
  </si>
  <si>
    <t>ค่าเสื่อมราคาอาคารและสิ่งปลูกสร้าง</t>
  </si>
  <si>
    <t>ค่าเสื่อมราคาครุภัณฑ์</t>
  </si>
  <si>
    <t>ค่าตัดจำหน่าย</t>
  </si>
  <si>
    <t>หนี้สูญและหนี้สงสัยจะสูญ</t>
  </si>
  <si>
    <t>ค่าใช้จ่ายโครงการPP</t>
  </si>
  <si>
    <t>Other</t>
  </si>
  <si>
    <t>มูลค่า</t>
  </si>
  <si>
    <t>รวม</t>
  </si>
  <si>
    <t xml:space="preserve">รวม </t>
  </si>
  <si>
    <t>ส่วนต่างค่ารักษาที่สูง(ต่ำ) กว่า UC</t>
  </si>
  <si>
    <t>ส่วนต่างค่ารักษาที่สูง(ต่ำ) กว่า เบิกจ่ายตรงกรมบัญชีกลาง</t>
  </si>
  <si>
    <t>ส่วนต่างค่ารักษาที่สูง(ต่ำ) กว่า เบิกจ่ายตรง อปท.</t>
  </si>
  <si>
    <t>ส่วนต่างค่ารักษาที่สูง(ต่ำ) กว่า ประกันสังคม</t>
  </si>
  <si>
    <t>ส่วนต่างค่ารักษาที่สูง(ต่ำ) กว่า แรงงงานต่างด้าว</t>
  </si>
  <si>
    <t>รายได้งบประมาณ-งบลงทุน</t>
  </si>
  <si>
    <t>รายได้กองทุน UC-งบลงทุน</t>
  </si>
  <si>
    <t>รายได้งบลงทุนอื่น</t>
  </si>
  <si>
    <t>รวมรายได้</t>
  </si>
  <si>
    <t>รวมรายได้ OPD</t>
  </si>
  <si>
    <t>รวมรายได้ IPD</t>
  </si>
  <si>
    <t>รายได้ค่ารักษาเบิกจ่ายตรง อปท.</t>
  </si>
  <si>
    <t>ค่ารักษาตามจ่าย</t>
  </si>
  <si>
    <t>ค่าใช้จ่ายอื่น ๆ</t>
  </si>
  <si>
    <t>รวมรายได้ค่ารักษาพยาบาลและบริการอื่นตามราคาเรียกเก็บ</t>
  </si>
  <si>
    <t>รายได้ UC-สุทธิ</t>
  </si>
  <si>
    <t>รายได้ค่ารักษาเบิกต้นสังกัด-สุทธิ</t>
  </si>
  <si>
    <t>รายได้ค่ารักษาเบิกจ่ายตรงกรมบัญชีกลาง-สุทธิ</t>
  </si>
  <si>
    <t>รายได้ประกันสังคม-สุทธิ</t>
  </si>
  <si>
    <t>รายได้แรงงานต่างด้าว-สุทธิ</t>
  </si>
  <si>
    <t>รวมรายได้ค่ารักษาพยาบาลและบริการอื่น-สุทธิ</t>
  </si>
  <si>
    <t>รวมรายได้ (ไม่รวมงบลงทุน)</t>
  </si>
  <si>
    <t>รายได้งบลงทุน</t>
  </si>
  <si>
    <t>รหัสรายการ</t>
  </si>
  <si>
    <t xml:space="preserve"> รายการ</t>
  </si>
  <si>
    <t>เป้าหมายการเพิ่ม-ลดรายได้และค่าใช้จ่าย  (%)</t>
  </si>
  <si>
    <t>P13S</t>
  </si>
  <si>
    <t>P26S</t>
  </si>
  <si>
    <t>รวมค่าใช้จ่าย</t>
  </si>
  <si>
    <t>P27S</t>
  </si>
  <si>
    <t>ส่วนต่างรายได้หักค่าใช้จ่าย (NI)</t>
  </si>
  <si>
    <t xml:space="preserve">ข้อมูลคาดการณ์เพิ่มเติมเพื่อประกอบการจัดทำแผน </t>
  </si>
  <si>
    <t>P60</t>
  </si>
  <si>
    <t>2.แผนจัดซื้อยา เวชภัณฑ์ วัสดุการแพทย์ วัสดุวิทยาศาสตร์การแพทย์</t>
  </si>
  <si>
    <t>ยา  (รวมสนับสนุน รพ.สต.)</t>
  </si>
  <si>
    <t>เวชภัณฑ์มิใช่ยาและวัสดุการแพทย์  (รวมสนับสนุน รพ.สต.)</t>
  </si>
  <si>
    <t>วัสดุวิทยาศาสตร์และการแพทย์  (รวมสนับสนุน รพ.สต.)</t>
  </si>
  <si>
    <t>จำนวนเงิน</t>
  </si>
  <si>
    <t xml:space="preserve">   เจ้าหนี้ยา</t>
  </si>
  <si>
    <t xml:space="preserve">   เจ้าหนี้ วชภ.</t>
  </si>
  <si>
    <t xml:space="preserve">   เจ้าหนี้ lab</t>
  </si>
  <si>
    <t xml:space="preserve">   เจ้าหนี้ตามจ่าย</t>
  </si>
  <si>
    <t xml:space="preserve">   เจ้าหนี้ค่าแรงค้างจ่าย</t>
  </si>
  <si>
    <t xml:space="preserve">   เจ้าหนี้ค่าครุภัณฑ์ สิ่งก่อสร้างฯ</t>
  </si>
  <si>
    <t xml:space="preserve">   เจ้าหนี้อื่นๆ</t>
  </si>
  <si>
    <t xml:space="preserve">  ลูกหนี้ UC</t>
  </si>
  <si>
    <t xml:space="preserve">  ลูกหนี้ ประกันสังคม</t>
  </si>
  <si>
    <t xml:space="preserve">  ลูกหนี้ กรมบัญชีกลาง</t>
  </si>
  <si>
    <t xml:space="preserve">  ลูกหนี้ แรงงานต่างด้าว</t>
  </si>
  <si>
    <t xml:space="preserve">  ลูกหนี้ บุคคลที่มีปัญหาสถานะและสิทธิ</t>
  </si>
  <si>
    <t xml:space="preserve">  ลูกหนี้ อปท</t>
  </si>
  <si>
    <t xml:space="preserve">  ลูกหนี้ อื่น ๆ</t>
  </si>
  <si>
    <t>รวมค่าใช้จ่ายทั้งสิ้น</t>
  </si>
  <si>
    <t>รวมส่วนต่างฯ</t>
  </si>
  <si>
    <t>ค่าจ้างชั่วคราว/พกส./ค่าจ้างเหมาบุคลากรอื่น</t>
  </si>
  <si>
    <t>SSSS4</t>
  </si>
  <si>
    <t>5SSSS</t>
  </si>
  <si>
    <t>NI - รายได้หักค่าใช้จ่ายสุทธิ</t>
  </si>
  <si>
    <t>EBITDA - รายได้หักค่าใช้จ่าย(ไม่รวมค่าเสื่อม)</t>
  </si>
  <si>
    <t>P28</t>
  </si>
  <si>
    <t>สรุปแผนประมาณการ</t>
  </si>
  <si>
    <t>รายได้ค่ารักษา อปท.</t>
  </si>
  <si>
    <t>P151</t>
  </si>
  <si>
    <t>ต้นทุนวัสดุทันตกรรม</t>
  </si>
  <si>
    <t>P241</t>
  </si>
  <si>
    <t>หนี้สูญและสงสัยจะสูญ</t>
  </si>
  <si>
    <t>รหัสบัญชี</t>
  </si>
  <si>
    <t>ชื่อบัญชี</t>
  </si>
  <si>
    <t>P29</t>
  </si>
  <si>
    <t>ค่ากลาง</t>
  </si>
  <si>
    <t>IDP</t>
  </si>
  <si>
    <t>Charge Per Rw</t>
  </si>
  <si>
    <t>Revenue</t>
  </si>
  <si>
    <t>3 .แผนจัดซื้อวัสดุอื่น</t>
  </si>
  <si>
    <t>รายได้สุทธิ</t>
  </si>
  <si>
    <t>รหัสPlanfi60</t>
  </si>
  <si>
    <t>ชื่อPlanfin60</t>
  </si>
  <si>
    <t>รหัสExp&amp;Rev</t>
  </si>
  <si>
    <t>ชื่อExp&amp;Rev</t>
  </si>
  <si>
    <t xml:space="preserve">ส่วนต่างค่ารักษาฯ </t>
  </si>
  <si>
    <t>หน่วยบริการลงนาม</t>
  </si>
  <si>
    <t>……………………………………..</t>
  </si>
  <si>
    <t>4. แผนบริหารจัดการเจ้าหนี้</t>
  </si>
  <si>
    <t>5. แผนบริหารจัดการลูกหนี้</t>
  </si>
  <si>
    <t>6. แผนการลงทุนเพิ่ม</t>
  </si>
  <si>
    <t>7. แผนสนับสนุน รพ.สต.</t>
  </si>
  <si>
    <t>รายการ</t>
  </si>
  <si>
    <t>เวชภัณฑ์มิใช่ยาและวัสดุการแพทย์</t>
  </si>
  <si>
    <t>วัสดุวิทยาศาสตร์การแพทย์</t>
  </si>
  <si>
    <t>3.แผนจัดซื้อวัสดุอื่นๆ</t>
  </si>
  <si>
    <t xml:space="preserve">แผนการจ่ายชำระหนี้สินปีต่อไป </t>
  </si>
  <si>
    <t>ปี 2563</t>
  </si>
  <si>
    <t>ปี 2564</t>
  </si>
  <si>
    <t>เจ้าหนี้ยา</t>
  </si>
  <si>
    <t>เจ้าหนี้ วชภ</t>
  </si>
  <si>
    <t>เจ้าหนี้ lab</t>
  </si>
  <si>
    <t>เจ้าหนี้ตามจ่าย</t>
  </si>
  <si>
    <t>เจ้าหนี้ค่าแรงค้างจ่าย</t>
  </si>
  <si>
    <t>เจ้าหนี้ค่าครุภัณฑ์ สิ่งก่อสร้างฯ</t>
  </si>
  <si>
    <t xml:space="preserve"> รวม</t>
  </si>
  <si>
    <t>ลูกหนี้ UC</t>
  </si>
  <si>
    <t>ลูกหนี้ ประกันสังคม</t>
  </si>
  <si>
    <t>ลูกหนี้ กรมบัญชีกลาง</t>
  </si>
  <si>
    <t>ลูกหนี้ แรงงานต่างด้าว</t>
  </si>
  <si>
    <t>ลูกหนี้ บุคคลที่มีปัญหาสถานะและสิทธิ</t>
  </si>
  <si>
    <t>ลูกหนี้ อปท</t>
  </si>
  <si>
    <t>ลูกหนี้ อื่น ๆ</t>
  </si>
  <si>
    <t>6.แผนการลงทุนของหน่วยบริการ</t>
  </si>
  <si>
    <t>ประเภท</t>
  </si>
  <si>
    <t>หมายเหตุ</t>
  </si>
  <si>
    <t>จัดซื้อ จัดหาด้วยเงินบำรุงและเงินนอกงบประมาณอื่น ๆ ของ รพ.</t>
  </si>
  <si>
    <t>จัดซื้อ จัดหาด้วยค่างบค่าเสื่อมจากการบริการ</t>
  </si>
  <si>
    <t>จัดซื้อ จัดหาด้วยเงินงบประมาณ</t>
  </si>
  <si>
    <t>7. แผนการสนับสนุน รพ.สต.  (ไม่รวมเงินตามผลงาน)</t>
  </si>
  <si>
    <t>มูลค่ารวม</t>
  </si>
  <si>
    <t>ลำดับที่</t>
  </si>
  <si>
    <t>ชื่อ รพ.สต</t>
  </si>
  <si>
    <t>ยา เวชภัณฑ์ และวัสดุทุกประเภท</t>
  </si>
  <si>
    <t>งบค่าเสื่อม UC</t>
  </si>
  <si>
    <t>รายการอื่น</t>
  </si>
  <si>
    <t>SumAdjRw</t>
  </si>
  <si>
    <r>
      <t>EBITDA - รายได้(ไม่รวมงบลงทุน)</t>
    </r>
    <r>
      <rPr>
        <b/>
        <sz val="16"/>
        <color rgb="FFFF0000"/>
        <rFont val="TH SarabunPSK"/>
        <family val="2"/>
      </rPr>
      <t>หัก</t>
    </r>
    <r>
      <rPr>
        <b/>
        <sz val="16"/>
        <color theme="1"/>
        <rFont val="TH SarabunPSK"/>
        <family val="2"/>
      </rPr>
      <t xml:space="preserve"> ค่าใช้จ่าย(ไม่รวมค่าเสื่อม)</t>
    </r>
  </si>
  <si>
    <t>Fixed Cost ตามประกาศ (สธ0204/22819 ลว.15 กค.59)</t>
  </si>
  <si>
    <t>Fixed Cost</t>
  </si>
  <si>
    <t xml:space="preserve">หมายถึง การสนับสนุนค่าใช้จ่ายที่เป็นต้นทุนคงที่ ในการบริการของ รพ.สต.และสถานีอนามัยเฉลิมพระเกียรติ </t>
  </si>
  <si>
    <t>ประกอบด้วย ค่าไฟฟ้า ประปา สื่อสาร ค่าจ้างลูกจ้างชั่วคราว  ค่าน้ำมันเชื้อเพลิง (สธ.0204/22819 ลว.15 กค.59)</t>
  </si>
  <si>
    <r>
      <rPr>
        <b/>
        <sz val="18"/>
        <color theme="1"/>
        <rFont val="TH SarabunPSK"/>
        <family val="2"/>
      </rPr>
      <t xml:space="preserve">รายการอื่น </t>
    </r>
    <r>
      <rPr>
        <sz val="18"/>
        <color theme="1"/>
        <rFont val="TH SarabunPSK"/>
        <family val="2"/>
      </rPr>
      <t xml:space="preserve">
</t>
    </r>
  </si>
  <si>
    <t>เช่น ค่าใข้จ่ายตามโครงการ ค่าใช้สอย ค่าปรับปรุงเพิ่มเติมฯและรายการอื่น ๆที่แม่ข่ายจ่ายแทน</t>
  </si>
  <si>
    <r>
      <rPr>
        <b/>
        <sz val="18"/>
        <color theme="1"/>
        <rFont val="TH SarabunPSK"/>
        <family val="2"/>
      </rPr>
      <t>ยา เวชภัณฑ์ วัสดุอื่นฯ</t>
    </r>
    <r>
      <rPr>
        <sz val="18"/>
        <color theme="1"/>
        <rFont val="TH SarabunPSK"/>
        <family val="2"/>
      </rPr>
      <t xml:space="preserve"> หมายถึง ยา เวชภัณฑ์ วัสดุการแพทย์ วัสดุวิทยาศาตร์การแพทย์ วัสดุทันตกรรม และวัสดุอื่นทุกประเภท</t>
    </r>
  </si>
  <si>
    <r>
      <rPr>
        <b/>
        <sz val="18"/>
        <color theme="1"/>
        <rFont val="TH SarabunPSK"/>
        <family val="2"/>
      </rPr>
      <t>งบค่าเสื่อม UC</t>
    </r>
    <r>
      <rPr>
        <sz val="18"/>
        <color theme="1"/>
        <rFont val="TH SarabunPSK"/>
        <family val="2"/>
      </rPr>
      <t xml:space="preserve">  </t>
    </r>
  </si>
  <si>
    <t>หมายถึงที่ได้รับจากสนับสนุนจาก สปสช. เท่านั้น</t>
  </si>
  <si>
    <t>รหัสREV-EXP</t>
  </si>
  <si>
    <t>รหัสPLANFIN60</t>
  </si>
  <si>
    <t xml:space="preserve">      Expense</t>
  </si>
  <si>
    <t>เจ้าหนี้วัสดุอื่น</t>
  </si>
  <si>
    <t xml:space="preserve">   เจ้าหนี้วัสดุอื่น</t>
  </si>
  <si>
    <t>วิธีการใช้งาน</t>
  </si>
  <si>
    <t>Espense</t>
  </si>
  <si>
    <t>คอลั่ม D  คำนวนให้</t>
  </si>
  <si>
    <t>คอลั่ม E  link มาจาก  worksheet</t>
  </si>
  <si>
    <t xml:space="preserve">เตรียมไฟล์ก่อนนำส่งข้อมูล </t>
  </si>
  <si>
    <t xml:space="preserve">1.WS-Re-Exp ให้ลบข้อมูลที่ไม่เกี่ยวข้องออกให้หมด   ให้เหลือแต่ข้อมูลคอลั่ม A B C </t>
  </si>
  <si>
    <t xml:space="preserve">    ตรวจสอบค่าว่างในคอลั่ม C  ให้ใส่เลข  0  แทนค่าว่าง</t>
  </si>
  <si>
    <t>งบลงทุน (เงินบำรุง)  เปรียบเทียบกับ EBITDA &gt;20%</t>
  </si>
  <si>
    <t>คอลั่ม E  ใส่ข้อมูลบริการ  OPD=visit /  IPD=AdjRw  แยกตามสิทธิ</t>
  </si>
  <si>
    <t xml:space="preserve">คอลั่ม G ข้อมูล link มาจาก  worksheet  </t>
  </si>
  <si>
    <t>คอลั่ม E  ข้อมูล link มาจาก  worksheet</t>
  </si>
  <si>
    <t>1 WS-Re-Exp</t>
  </si>
  <si>
    <t>4301020105.260</t>
  </si>
  <si>
    <t>4301020105.261</t>
  </si>
  <si>
    <t>ส่วนต่างค่ารักษาที่สูงกว่าข้อตกลงในการจ่ายตาม DRG- UC OP -HC</t>
  </si>
  <si>
    <t>4301020105.262</t>
  </si>
  <si>
    <t>ส่วนต่างค่ารักษาที่สูงกว่าข้อตกลงในการจ่ายตาม DRG- UC IP -HC</t>
  </si>
  <si>
    <t>4301020105.263</t>
  </si>
  <si>
    <t>รายได้ค่ารักษา OP Refer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</si>
  <si>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</si>
  <si>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</si>
  <si>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</si>
  <si>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</si>
  <si>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</si>
  <si>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</si>
  <si>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4301010102.103</t>
  </si>
  <si>
    <t>4301010102.104</t>
  </si>
  <si>
    <t>4301010102.105</t>
  </si>
  <si>
    <t>ส่วนเพิ่มมูลค่าจากการผลิตสินค้า</t>
  </si>
  <si>
    <t>4301020102.103</t>
  </si>
  <si>
    <t>4301020102.104</t>
  </si>
  <si>
    <t>4301020102.105</t>
  </si>
  <si>
    <t>รายได้จากระบบปฏิบัติการฉุกเฉิน (EMS)</t>
  </si>
  <si>
    <t>4301020102.106</t>
  </si>
  <si>
    <t xml:space="preserve">รายได้สนับสนุนยาและอื่น ๆ </t>
  </si>
  <si>
    <t>4301020104.805</t>
  </si>
  <si>
    <t>รายได้ค่ารักษาเบิกจ่ายตรง- กทม. OP</t>
  </si>
  <si>
    <t>4301020104.806</t>
  </si>
  <si>
    <t>รายได้ค่ารักษาเบิกจ่ายตรง- กทม. IP</t>
  </si>
  <si>
    <t>4301020104.807</t>
  </si>
  <si>
    <t>ส่วนต่างค่ารักษาที่สูงกว่าข้อตกลงในการจ่ายตาม DRG -เบิกจ่ายตรง กทม.</t>
  </si>
  <si>
    <t>4301020104.808</t>
  </si>
  <si>
    <t>ส่วนต่างค่ารักษาที่ต่ำกว่าข้อตกลงในการจ่ายตาม DRG -เบิกจ่ายตรง กทม.</t>
  </si>
  <si>
    <t>4301020104.809</t>
  </si>
  <si>
    <t>รายได้ค่ารักษาเบิกจ่ายตรง- อปท.(พัทยา)  OP</t>
  </si>
  <si>
    <t>4301020104.810</t>
  </si>
  <si>
    <t>รายได้ค่ารักษาเบิกจ่ายตรงอปท. (พัทยา)IP</t>
  </si>
  <si>
    <t>4301020104.811</t>
  </si>
  <si>
    <t>ส่วนต่างค่ารักษาที่สูงกว่าข้อตกลงในการจ่ายตาม DRG -เบิกจ่ายตรง อปท.(พัทยา)</t>
  </si>
  <si>
    <t>4301020104.812</t>
  </si>
  <si>
    <t>ส่วนต่างค่ารักษาที่ต่ำกว่าข้อตกลงในการจ่ายตาม DRG -เบิกจ่ายตรง อปท.(พัทยา)</t>
  </si>
  <si>
    <t>4301020105.253</t>
  </si>
  <si>
    <t>ส่วนต่างค่ารักษาที่สูงกว่าข้อตกลงในการจ่าย UC- IP- DMI</t>
  </si>
  <si>
    <t>4301020105.254</t>
  </si>
  <si>
    <t>ส่วนต่างค่ารักษาที่ต่ำกว่าข้อตกลงในการจ่ายUC- IP- DMI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</si>
  <si>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</si>
  <si>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</si>
  <si>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</si>
  <si>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</si>
  <si>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</si>
  <si>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</si>
  <si>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</si>
  <si>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>ส่วนต่างค่ารักษาที่สูงกว่าข้อตกลงในการจ่ายตาม DRG- UC OP AE</t>
  </si>
  <si>
    <t>4301020105.259</t>
  </si>
  <si>
    <t>ส่วนต่างค่ารักษาที่สูงกว่าข้อตกลงในการจ่ายตาม DRG- UC OP -DMI</t>
  </si>
  <si>
    <t>4301020106.321</t>
  </si>
  <si>
    <t>4301020106.322</t>
  </si>
  <si>
    <t>4301020106.512</t>
  </si>
  <si>
    <t xml:space="preserve">รายได้ค่ารักษาแรงงานต่างด้าว OP นอก CUP 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</si>
  <si>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</si>
  <si>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</si>
  <si>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</si>
  <si>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</si>
  <si>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</si>
  <si>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</si>
  <si>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4301020106.516</t>
  </si>
  <si>
    <t>รายได้ค่าตรวจสุขภาพแรงงานต่างด้าว</t>
  </si>
  <si>
    <t>4301020106.517</t>
  </si>
  <si>
    <t>4301020106.518</t>
  </si>
  <si>
    <t>รายได้แรงงานต่างด้าว- ค่าบริการทางการแพทย์(P&amp;P)</t>
  </si>
  <si>
    <t>4301020106.709</t>
  </si>
  <si>
    <t>รายได้ค่ารักษา-บุคคลที่มีปัญหาสถานะและสิทธิ OP ใน CUP</t>
  </si>
  <si>
    <t>4301020106.710</t>
  </si>
  <si>
    <t>รายได้ค่ารักษาบุคคลที่มีปัญหาสถานะและสิทธิ  - เบิกจากส่วนกลาง IP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</si>
  <si>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</si>
  <si>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</si>
  <si>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</si>
  <si>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</si>
  <si>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4302020199.102</t>
  </si>
  <si>
    <t>4302030101.102</t>
  </si>
  <si>
    <t>รายได้จากการรับบริจาค-สินทรัพย์อื่น</t>
  </si>
  <si>
    <t>4302040101.101</t>
  </si>
  <si>
    <t>พักรับเงินงบอุดหนุน</t>
  </si>
  <si>
    <t>4306010110.102</t>
  </si>
  <si>
    <t>รายรับจากการขายวัสดุที่ใช้แล้ว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</si>
  <si>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</si>
  <si>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</si>
  <si>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</si>
  <si>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</si>
  <si>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</si>
  <si>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</si>
  <si>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4308010117.101</t>
  </si>
  <si>
    <t>รายได้ระหว่างหน่วยงาน -เงินทดรองราชการ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</si>
  <si>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</si>
  <si>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</si>
  <si>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</si>
  <si>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</si>
  <si>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5101010199.103</t>
  </si>
  <si>
    <t>5101020114.120</t>
  </si>
  <si>
    <t>5101020114.121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</si>
  <si>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</si>
  <si>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</si>
  <si>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</si>
  <si>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</si>
  <si>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</si>
  <si>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</si>
  <si>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</si>
  <si>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</si>
  <si>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</si>
  <si>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</si>
  <si>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5104010104.101</t>
  </si>
  <si>
    <t>5104010104.102</t>
  </si>
  <si>
    <t>5104010104.103</t>
  </si>
  <si>
    <t>5104010104.104</t>
  </si>
  <si>
    <t>5104010104.105</t>
  </si>
  <si>
    <t>5104010104.106</t>
  </si>
  <si>
    <t>5104010104.107</t>
  </si>
  <si>
    <t>5104010104.108</t>
  </si>
  <si>
    <t>5104010104.109</t>
  </si>
  <si>
    <t>5104010110.101</t>
  </si>
  <si>
    <t>ค่าเชื้อเพลิง</t>
  </si>
  <si>
    <t>5104030205.118</t>
  </si>
  <si>
    <t>วัสดุเอกซเรย์ใช้ไป</t>
  </si>
  <si>
    <t>5104030212.101</t>
  </si>
  <si>
    <t xml:space="preserve">ค่าเช่าเบ็ดเตล็ด </t>
  </si>
  <si>
    <t>5104030218.101</t>
  </si>
  <si>
    <t>ค่าใช้จ่ายผลักส่งเป็นรายได้แผ่นดิน</t>
  </si>
  <si>
    <t>5104030299.104</t>
  </si>
  <si>
    <t>ค่าใช้สอยอื่นๆ</t>
  </si>
  <si>
    <t>5104030299.502</t>
  </si>
  <si>
    <t>ค่าใช้จ่ายตามโครง การ (P&amp;P) แรงงานต่างด้าว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</si>
  <si>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</si>
  <si>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</si>
  <si>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</si>
  <si>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</si>
  <si>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</si>
  <si>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</si>
  <si>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</si>
  <si>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</t>
  </si>
  <si>
    <t>5104040199.105</t>
  </si>
  <si>
    <t>ค่าตอบแทนปฎิบัติงานแพทย์สาขาส่งเสริมพิเศษ</t>
  </si>
  <si>
    <t>5104040199.106</t>
  </si>
  <si>
    <t>5104040199.107</t>
  </si>
  <si>
    <t>5104040199.108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</si>
  <si>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</si>
  <si>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</si>
  <si>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</si>
  <si>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5105010129.101</t>
  </si>
  <si>
    <t>ค่าเสื่อมราคา - ครุภัณฑ์การศึกษา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</si>
  <si>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</si>
  <si>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</si>
  <si>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</si>
  <si>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</si>
  <si>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</si>
  <si>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</si>
  <si>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5107030101.101</t>
  </si>
  <si>
    <t>บัญชีพักเบิกเงินอุดหนุน</t>
  </si>
  <si>
    <t>5108010101.202</t>
  </si>
  <si>
    <t xml:space="preserve">หนี้สูญ-ลูกหนี้ค่ารักษาUC-IP </t>
  </si>
  <si>
    <t>5108010107.202</t>
  </si>
  <si>
    <t>หนี้สงสัยจะสูญ-ลูกหนี้ค่ารักษา IP-UC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</si>
  <si>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</si>
  <si>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</si>
  <si>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</si>
  <si>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</si>
  <si>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</si>
  <si>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</si>
  <si>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</si>
  <si>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</si>
  <si>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</si>
  <si>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</si>
  <si>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5211010102.101</t>
  </si>
  <si>
    <t xml:space="preserve">ทุนสำรองสุทธิ (Net working Capital) </t>
  </si>
  <si>
    <t xml:space="preserve">เงินบำรุงคงเหลือ </t>
  </si>
  <si>
    <t xml:space="preserve">หนี้สินและภาระผูกพัน </t>
  </si>
  <si>
    <t>41010</t>
  </si>
  <si>
    <t>รายได้ UC - OPD</t>
  </si>
  <si>
    <t>42010</t>
  </si>
  <si>
    <t>รายได้ UC - IPD</t>
  </si>
  <si>
    <t>44010</t>
  </si>
  <si>
    <t>43010</t>
  </si>
  <si>
    <t>รายได้ UC - อื่น ๆ</t>
  </si>
  <si>
    <t>43060</t>
  </si>
  <si>
    <t>41020</t>
  </si>
  <si>
    <t>รายได้ค่ารักษาเบิกต้นสังกัด - OPD</t>
  </si>
  <si>
    <t>42020</t>
  </si>
  <si>
    <t>รายได้ค่ารักษาเบิกต้นสังกัด - IPD</t>
  </si>
  <si>
    <t>P61</t>
  </si>
  <si>
    <t>41030</t>
  </si>
  <si>
    <t>รายได้ค่ารักษาเบิกจ่ายตรง อปท. - OPD</t>
  </si>
  <si>
    <t>42030</t>
  </si>
  <si>
    <t>รายได้ค่ารักษาเบิกจ่ายตรง อปท. - IPD</t>
  </si>
  <si>
    <t>44030</t>
  </si>
  <si>
    <t>43020</t>
  </si>
  <si>
    <t>รายได้ค่ารักษาเบิกจ่ายตรงกรมบัญชีกลาง- อื่นๆ</t>
  </si>
  <si>
    <t>41040</t>
  </si>
  <si>
    <t>รายได้ค่ารักษาเบิกจ่ายตรงกรมบัญชีกลาง- OPD</t>
  </si>
  <si>
    <t>42040</t>
  </si>
  <si>
    <t>รายได้ค่ารักษาเบิกจ่ายตรงกรมบัญชีกลาง- IPD</t>
  </si>
  <si>
    <t>44020</t>
  </si>
  <si>
    <t>44040</t>
  </si>
  <si>
    <t>41050</t>
  </si>
  <si>
    <t>รายได้ประกันสังคม - OPD</t>
  </si>
  <si>
    <t>42050</t>
  </si>
  <si>
    <t>รายได้ประกันสังคม - IPD</t>
  </si>
  <si>
    <t>43030</t>
  </si>
  <si>
    <t>รายได้ประกันสังคม - อื่น ๆ</t>
  </si>
  <si>
    <t>44050</t>
  </si>
  <si>
    <t>41060</t>
  </si>
  <si>
    <t>รายได้แรงงานต่างด้าว-OPD</t>
  </si>
  <si>
    <t>42060</t>
  </si>
  <si>
    <t>รายได้แรงงานต่างด้าว-IPD</t>
  </si>
  <si>
    <t>43040</t>
  </si>
  <si>
    <t>รายได้แรงงานต่างด้าว-อื่นๆ</t>
  </si>
  <si>
    <t>43050</t>
  </si>
  <si>
    <t>รายได้ค่ารักษาและบริการ - อื่น ๆ</t>
  </si>
  <si>
    <t>41070</t>
  </si>
  <si>
    <t>รายได้ค่ารักษาและบริการอื่น ๆ-OPD</t>
  </si>
  <si>
    <t>42070</t>
  </si>
  <si>
    <t>รายได้ค่ารักษาและบริการอื่น ๆ-IPD</t>
  </si>
  <si>
    <t>45100</t>
  </si>
  <si>
    <t>45110</t>
  </si>
  <si>
    <t>46030</t>
  </si>
  <si>
    <t>46010</t>
  </si>
  <si>
    <t>46020</t>
  </si>
  <si>
    <t>51010</t>
  </si>
  <si>
    <t>ยาใช้ไป V</t>
  </si>
  <si>
    <t>51020</t>
  </si>
  <si>
    <t>เวชภัณฑ์มิใช่ยาใช้ไป v</t>
  </si>
  <si>
    <t>51030</t>
  </si>
  <si>
    <t>วัสดุการแพทย์ใช้ไป V</t>
  </si>
  <si>
    <t>51050</t>
  </si>
  <si>
    <t>วัสดุทันตกรรมใช้ไป V</t>
  </si>
  <si>
    <t>51040</t>
  </si>
  <si>
    <t>วัสดุวิทยาศาสตร์การแพทย์ใช้ไป V</t>
  </si>
  <si>
    <t>52010</t>
  </si>
  <si>
    <t>เงินเดือนและค่าจ้างประจำ F</t>
  </si>
  <si>
    <t>51070</t>
  </si>
  <si>
    <t>ค่าตอบแทน(ฉบับ5,ค่าล่วงเวลา) V</t>
  </si>
  <si>
    <t>52030</t>
  </si>
  <si>
    <t>ค่าจ้างชั่วคราว F</t>
  </si>
  <si>
    <t>52020</t>
  </si>
  <si>
    <t>ค่าจ้างพนักงานกระทรวงสาธารณสุข F</t>
  </si>
  <si>
    <t>52040</t>
  </si>
  <si>
    <t>ค่าจ้างเหมาบุคลากรอื่น F</t>
  </si>
  <si>
    <t>52060</t>
  </si>
  <si>
    <t>ค่าใช้จ่ายบุคลากรอื่น F</t>
  </si>
  <si>
    <t>52080</t>
  </si>
  <si>
    <t>ค่าตอบแทน (ฉบับ 8) F</t>
  </si>
  <si>
    <t>52070</t>
  </si>
  <si>
    <t>ค่าตอบแทน พ.ต.ส. F</t>
  </si>
  <si>
    <t>52090</t>
  </si>
  <si>
    <t>ค่าตอบแทน(ฉบับ 9,ส่วนเพิ่ม) F</t>
  </si>
  <si>
    <t>51130</t>
  </si>
  <si>
    <t>ค่าใช้สอยอื่น V</t>
  </si>
  <si>
    <t>51120</t>
  </si>
  <si>
    <t>ค่าซ่อมแซม V</t>
  </si>
  <si>
    <t>51100</t>
  </si>
  <si>
    <t>ค่าจ้างเหมาบำรุงรักษา/ซ่อมแซม V</t>
  </si>
  <si>
    <t>51110</t>
  </si>
  <si>
    <t>ค่าจ้างเหมาบริการ V</t>
  </si>
  <si>
    <t>51090</t>
  </si>
  <si>
    <t>ค่าจ้างตรวจทางห้องปฏิบัติการ V</t>
  </si>
  <si>
    <t>51080</t>
  </si>
  <si>
    <t>ค่าสาธารณูปโภค V</t>
  </si>
  <si>
    <t>51060</t>
  </si>
  <si>
    <t>วัสดุใช้ไป V</t>
  </si>
  <si>
    <t>53020</t>
  </si>
  <si>
    <t>ค่าเสื่อมราคาอาคารและสิ่งปลูกสร้าง O</t>
  </si>
  <si>
    <t>53030</t>
  </si>
  <si>
    <t>ค่าเสื่อมราคาครุภัณฑ์ O</t>
  </si>
  <si>
    <t>53060</t>
  </si>
  <si>
    <t>ค่าตัดจำหน่าย O</t>
  </si>
  <si>
    <t>52100</t>
  </si>
  <si>
    <t>ค่าใช้จ่ายโครงการPP   F</t>
  </si>
  <si>
    <t>51140</t>
  </si>
  <si>
    <t>ค่าใช้จ่ายโครงการ Non PP  V</t>
  </si>
  <si>
    <t>53040</t>
  </si>
  <si>
    <t>ค่ารักษาตามจ่าย O</t>
  </si>
  <si>
    <t>53050</t>
  </si>
  <si>
    <t>ค่าใช้จ่ายอื่น O</t>
  </si>
  <si>
    <t>53010</t>
  </si>
  <si>
    <t>หนี้สูญและหนี้สงสัยจะสูญ O</t>
  </si>
  <si>
    <t>plan_id</t>
  </si>
  <si>
    <t>hgr_code</t>
  </si>
  <si>
    <t>รหัสบัญชีย่อย</t>
  </si>
  <si>
    <t>ชื่อบัญชีย่อย</t>
  </si>
  <si>
    <t>UseOrNot</t>
  </si>
  <si>
    <t>NotUseDate</t>
  </si>
  <si>
    <t>YearX</t>
  </si>
  <si>
    <t>2559</t>
  </si>
  <si>
    <t>Use</t>
  </si>
  <si>
    <t>รายได้แผ่นดิน-ค่าขายของเบ็ดเตล็ด</t>
  </si>
  <si>
    <t>2560</t>
  </si>
  <si>
    <t>รายได้ค่ารักษาเบิกต้นสังกัด OP</t>
  </si>
  <si>
    <t>รายได้ค่ารักษาเบิกต้นสังกัด IP</t>
  </si>
  <si>
    <t>รายได้ค่ารักษาชำระเงิน OP</t>
  </si>
  <si>
    <t>รายได้ค่ารักษาชำระเงิน IP</t>
  </si>
  <si>
    <t>รายได้ค่ารักษาเบิกจ่ายตรงกรมบัญชีกลาง OP</t>
  </si>
  <si>
    <t>รายได้ค่ารักษาเบิกจ่ายตรงกรมบัญชีกลาง IP</t>
  </si>
  <si>
    <t>รายได้ค่ารักษา พรบ.รถ OP</t>
  </si>
  <si>
    <t>รายได้ค่ารักษา พรบ.รถ IP</t>
  </si>
  <si>
    <t>รายได้ค่ารักษาเบิกจ่ายตรง- อปท. OP</t>
  </si>
  <si>
    <t>รายได้ค่ารักษาเบิกจ่ายตรงอปท. IP</t>
  </si>
  <si>
    <t>รายได้ค่ารักษา UC -OP  ใน CUP</t>
  </si>
  <si>
    <t xml:space="preserve">รายได้ค่ารักษา UC-IP  </t>
  </si>
  <si>
    <t>รายได้ค่ารักษา UC - OP นอก CUP ในจังหวัด</t>
  </si>
  <si>
    <t>รายได้ค่ารักษา UC-OP  นอก CUP ต่างจังหวัด</t>
  </si>
  <si>
    <t>รายได้ค่ารักษาUC-OP ต่างสังกัด สป.</t>
  </si>
  <si>
    <t>รายได้กองทุน UC - OP แบบเหมาจ่ายต่อผู้มีสิทธิ</t>
  </si>
  <si>
    <t>รายได้กองทุน UC-OP ตามเกณฑ์คุณภาพผลงานบริการ</t>
  </si>
  <si>
    <t>รายได้กองทุน UC - P&amp;P แบบเหมาจ่ายต่อผู้มีสิทธิ</t>
  </si>
  <si>
    <t>รายได้กองทุน P&amp;P อื่น</t>
  </si>
  <si>
    <t>ส่วนต่างค่ารักษาที่สูงกว่าเหมาจ่ายรายหัว - กองทุน UC OP</t>
  </si>
  <si>
    <t>ส่วนต่างค่ารักษาที่สูงกว่าข้อตกลงในการจ่ายตาม DRG-กองทุน UC -IP</t>
  </si>
  <si>
    <t>ส่วนต่างค่ารักษาที่ต่ำกว่าข้อตกลงในการจ่ายตาม DRG-กองทุน UC -IP</t>
  </si>
  <si>
    <t>ส่วนต่างค่ารักษาที่สูงกว่าข้อตกลงในการตามจ่าย UC OP</t>
  </si>
  <si>
    <t>ส่วนต่างค่ารักษาที่ต่ำกว่าข้อตกลงในการตามจ่าย UC OP</t>
  </si>
  <si>
    <t xml:space="preserve">รายได้ค่ารักษาด้านการสร้างเสริมสุขภาพและป้องกันโรค (P&amp;P) </t>
  </si>
  <si>
    <t>รายได้ค่ารักษา UC OP - AE</t>
  </si>
  <si>
    <t>รายได้ค่ารักษา UC IP - AE</t>
  </si>
  <si>
    <t>รายได้ค่ารักษา UC OP - HC</t>
  </si>
  <si>
    <t>รายได้ค่ารักษา UC IP - HC</t>
  </si>
  <si>
    <t>รายได้ค่ารักษา UC OP - DMI</t>
  </si>
  <si>
    <t>รายได้ค่ารักษา UC IP - DMI</t>
  </si>
  <si>
    <t>ส่วนต่างค่ารักษาที่สูงกว่าข้อตกลงในการจ่ายตาม DRG- UC IP AE</t>
  </si>
  <si>
    <t>ส่วนต่างค่ารักษาที่ต่ำกว่าข้อตกลงในการจ่ายตาม DRG- UC IP AE</t>
  </si>
  <si>
    <t>ส่วนต่างค่ารักษาที่ต่ำกว่าข้อตกลงในการจ่ายตาม DRG- UC OP -DMI</t>
  </si>
  <si>
    <t>รายได้ค่ารักษาประกันสังคม OP-เครือข่าย</t>
  </si>
  <si>
    <t>รายได้ค่ารักษาประกันสังคม IP-เครือข่าย</t>
  </si>
  <si>
    <t>รายได้ค่ารักษาประกันสังคม OP-นอกเครือข่าย</t>
  </si>
  <si>
    <t>รายได้ค่ารักษาประกันสังคม IP-นอกเครือข่าย</t>
  </si>
  <si>
    <t>รายได้ค่ารักษาประกันสังคม-ค่าใช้จ่ายสูง/อุบัติเหตุ/ฉุกเฉิน OP</t>
  </si>
  <si>
    <t>รายได้ค่ารักษาประกันสังคม-ค่าใช้จ่ายสูง IP</t>
  </si>
  <si>
    <t>ส่วนต่างค่ารักษาที่สูงกว่าเหมาจ่ายรายหัว - กองทุนประกันสังคม - OP</t>
  </si>
  <si>
    <t>ส่วนต่างค่ารักษาที่สูงกว่าข้อตกลงตามหลักเกณฑ์การจ่าย - กองทุนประกันสังคม - IP</t>
  </si>
  <si>
    <t>ส่วนต่างค่ารักษาที่สูงกว่าข้อตกลงในการจ่ายตาม DRG -ประกันสังคม IP</t>
  </si>
  <si>
    <t>ส่วนต่างค่ารักษาที่ต่ำกว่าข้อตกลงในการจ่ายตาม DRG -ประกันสังคม IP</t>
  </si>
  <si>
    <t>รายได้ค่ารักษาแรงงานต่างด้าว OP</t>
  </si>
  <si>
    <t>รายได้ค่ารักษาแรงงานต่างด้าว IP</t>
  </si>
  <si>
    <t>ส่วนต่างค่ารักษาที่สูงกว่ากองทุนเหมาจ่ายรายหัว - กองทุนแรงงานต่างด้าว - OP</t>
  </si>
  <si>
    <t>ส่วนต่างค่ารักษาที่สูงกว่ากองทุนเหมาจ่ายรายหัว - กองทุนแรงงานต่างด้าว - IP</t>
  </si>
  <si>
    <t>รายได้ค่ารักษาแรงงานต่างด้าว-เบิกจากส่วนกลาง OP</t>
  </si>
  <si>
    <t>ส่วนต่างค่ารักษาที่สูงกว่าข้อตกลงในการจ่ายตาม DRG -แรงงานต่างด้าว - IP</t>
  </si>
  <si>
    <t>ส่วนต่างค่ารักษาที่ต่ำกว่าข้อตกลงในการจ่ายตาม DRG -แรงงานต่างด้าว - IP</t>
  </si>
  <si>
    <t>รายได้ค่ารักษาบุคคลที่มีปัญหาสถานะและสิทธิ OP นอก CUP</t>
  </si>
  <si>
    <t>รายได้ค่ารักษาบุคคลที่มีปัญหาสถานะและสิทธิ  - เบิกจากส่วนกลาง OP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</si>
  <si>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</si>
  <si>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รายได้ค่าเช่าอสังหาริมทรัพย์</t>
  </si>
  <si>
    <t>รายได้ค่าเช่าอื่น</t>
  </si>
  <si>
    <t>รายได้จากการรับบริจาค-เงินสดและรายการเทียบเท่าเงินสด</t>
  </si>
  <si>
    <t>รายได้ดอกเบี้ยจากสถาบันการเงิน</t>
  </si>
  <si>
    <t>บัญชีรายได้ระหว่างหน่วยงาน - หน่วยงานรับเงินงบบุคลากรจากรัฐบาล</t>
  </si>
  <si>
    <t>บัญชีรายได้ระหว่างหน่วยงาน - หน่วยงานรับเงินงบลงทุนจากรัฐบาล</t>
  </si>
  <si>
    <t>บัญชีรายได้ระหว่างหน่วยงาน - หน่วยงานรับเงินงบดำเนินงานจากรัฐบาล</t>
  </si>
  <si>
    <t>บัญชีรายได้ระหว่างหน่วยงาน - หน่วยงานรับเงินงบอุดหนุนจากรัฐบาล</t>
  </si>
  <si>
    <t>บัญชีรายได้ระหว่างหน่วยงาน - หน่วยงานรับเงินงบรายจ่ายอื่นจากรัฐบาล</t>
  </si>
  <si>
    <t>บัญชีรายได้ระหว่างหน่วยงาน - หน่วยงานรับเงินงบกลางจากรัฐบาล</t>
  </si>
  <si>
    <t>บัญชีรายได้ระหว่างหน่วยงาน - หน่วยงานรับเงินกู้จากรัฐบาล</t>
  </si>
  <si>
    <t>รายได้ระหว่างหน่วยงาน - หน่วยงานรับเงินถอนคืนรายได้จากรัฐบาล</t>
  </si>
  <si>
    <t>รายได้ระหว่างกัน-ภายในกรมเดียวกัน</t>
  </si>
  <si>
    <t>รายได้อื่น-สินค้ารับโอนจาก สสจ./ รพศ./รพท./รพช./รพ.สต.</t>
  </si>
  <si>
    <t>รายได้อื่น-วัสดุรับโอนจาก สสจ./รพศ./รพท./รพช./รพ.สต.</t>
  </si>
  <si>
    <t>รายได้อื่น-เงินงบประมาณงบดำเนินงานรับโอนจาก สสจ./รพศ./รพท./รพช. /รพ.สต.</t>
  </si>
  <si>
    <t>รายได้อื่น-เงินงบประมาณงบรายจ่ายอื่นรับโอนจาก สสจ./รพศ. /รพท./รพช. /รพ.สต.</t>
  </si>
  <si>
    <t>ค่าจ้างพนักงานกระทรวงสาธารณสุข (บริการ)</t>
  </si>
  <si>
    <t>เงินค่าตอบแทนพนักงานราชการ (บริการ)</t>
  </si>
  <si>
    <t>ค่าตอบแทนพนักงานราชการ (สนับสนุน)</t>
  </si>
  <si>
    <t>เงินค่าครองชีพสำหรับข้าราชการ (บริการ)</t>
  </si>
  <si>
    <t>เงินค่าครองชีพสำหรับข้าราชการ(สนับสนุน)</t>
  </si>
  <si>
    <t>เงินค่าครองชีพสำหรับลูกจ้างประจำ(บริการ)</t>
  </si>
  <si>
    <t>เงินค่าครองชีพสำหรับลูกจ้างประจำ(สนับสนุน)</t>
  </si>
  <si>
    <t>เงินค่าครองชีพสำหรับพนักงานราชการ(บริการ)</t>
  </si>
  <si>
    <t>เงินค่าครองชีพสำหรับพนักงานราชการ(สนับสนุน)</t>
  </si>
  <si>
    <t>เงินสมทบกองทุนประกันสังคมส่วนของนายจ้าง</t>
  </si>
  <si>
    <t>เงินช่วยเหลือค่ารักษาพยาบาลตามกฎหมายสงเคราะห์ข้าราชการ</t>
  </si>
  <si>
    <t>ค่าจ้างเหมาบำรุงรักษาครุภัณฑ์วิทยาศาสตร์และการแพทย์</t>
  </si>
  <si>
    <t>ค่าจ้างเหมาบริการทางการแพทย์</t>
  </si>
  <si>
    <t>ค่าจ้างเหมาบริการอื่น(สนับสนุน)</t>
  </si>
  <si>
    <t>ค่าน้ำประปาและน้ำบาดาล</t>
  </si>
  <si>
    <t>วัสดุเภสัชกรรมใช้ไป</t>
  </si>
  <si>
    <t>วัสดุทางการแพทย์ทั่วไปใช้ไป</t>
  </si>
  <si>
    <t>ค่าครุภัณฑ์มูลค่าต่ำกว่าเกณฑ์</t>
  </si>
  <si>
    <t xml:space="preserve">ค่าเช่าอสังหาริมทรัพย์ </t>
  </si>
  <si>
    <t>ค่าใช้จ่ายตามโครงการ(PP)</t>
  </si>
  <si>
    <t>ค่ารักษาตามจ่าย UC ในสังกัด สธ.</t>
  </si>
  <si>
    <t>ค่ารักษาตามจ่าย UC นอกสังกัด สธ.</t>
  </si>
  <si>
    <t>หนี้สูญ-ลูกหนี้ค่าสิ่งส่งตรวจ-หน่วยงานภาครัฐ</t>
  </si>
  <si>
    <t>หนี้สูญ-ลูกหนี้ค่ารักษา-ชำระเงิน OP</t>
  </si>
  <si>
    <t>หนี้สูญ-ลูกหนี้ค่ารักษา-ชำระเงิน IP</t>
  </si>
  <si>
    <t>หนี้สูญ-ลูกหนี้ค่ารักษา UC -OP นอก CUP        (ในจังหวัด)</t>
  </si>
  <si>
    <t>หนี้สูญ-ลูกหนี้ค่ารักษา UC -OP นอก CUP (ต่างจังหวัด)</t>
  </si>
  <si>
    <t>หนี้สูญ-ลูกหนี้ค่ารักษา UC- OP -AE</t>
  </si>
  <si>
    <t>หนี้สูญ-ลูกหนี้ค่ารักษา UC- OP- HC</t>
  </si>
  <si>
    <t>หนี้สูญ-ลูกหนี้ค่ารักษา UC - IP -HC</t>
  </si>
  <si>
    <t>หนี้สูญ-ลูกหนี้ค่ารักษา UC- OP- DMI</t>
  </si>
  <si>
    <t>หนี้สูญ-ลูกหนี้ค่ารักษา UC -IP - DMI</t>
  </si>
  <si>
    <t>หนี้สูญ-ลูกหนี้ค่ารักษาประกันสังคม-ค่าใช้จ่ายสูง/อุบัติเหตุ/ฉุกเฉิน OP</t>
  </si>
  <si>
    <t>หนี้สูญ-ลูกหนี้ค่ารักษา-พรบ.รถ OP</t>
  </si>
  <si>
    <t>หนี้สูญ-ลูกหนี้ค่ารักษา-พรบ.รถ IP</t>
  </si>
  <si>
    <t>หนี้สงสัยจะสูญ-ลูกหนี้ค่ารักษา-ชำระเงิน OP</t>
  </si>
  <si>
    <t>หนี้สงสัยจะสูญ-ลูกหนี้ค่ารักษา-ชำระเงิน  IP</t>
  </si>
  <si>
    <t>หนี้สงสัยจะสูญ-ลูกหนี้ค่ารักษา UC-OP - AE</t>
  </si>
  <si>
    <t>หนี้สงสัยจะสูญ-ลูกหนี้ค่ารักษา UC- IP- AE</t>
  </si>
  <si>
    <t>หนี้สงสัยจะสูญ-ลูกหนี้ค่ารักษา UC-OP - HC</t>
  </si>
  <si>
    <t>หนี้สงสัยจะสูญ-ลูกหนี้ค่ารักษา UC -IP- HC</t>
  </si>
  <si>
    <t>หนี้สงสัยจะสูญ-ลูกหนี้ค่ารักษา UC-OP- DMI</t>
  </si>
  <si>
    <t>หนี้สงสัยจะสูญ-ลูกหนี้ค่ารักษา UC - IP - DMI</t>
  </si>
  <si>
    <t>ค่าใช้จ่ายระหว่างหน่วยงาน - หน่วยงานโอนเงินรายได้แผ่นดินให้กรมบัญชีกลาง</t>
  </si>
  <si>
    <t>ค่าใช้จ่ายระหว่างกัน-ภายในกรมเดียวกัน</t>
  </si>
  <si>
    <t>ค่าใช้จ่ายอื่น-สินค้าโอนไป สสจ./รพศ./รพท./รพช./รพ.สต.</t>
  </si>
  <si>
    <t>ค่าใช้จ่ายอื่น-วัสดุโอนไป สสจ./ รพศ./รพท./รพช./รพ.สต.</t>
  </si>
  <si>
    <t>xxx</t>
  </si>
  <si>
    <t>ผังฯ60</t>
  </si>
  <si>
    <t xml:space="preserve">   ส่วนคำแนะนำสำหรับนำไฟล์แนบส่งขึ้นเว็บ planfin    </t>
  </si>
  <si>
    <t xml:space="preserve">  1   ให้ copy เฉพาะ  column a b c และตั้งแต่ บรรทัดที่ 2 จนถึงบรรทัดสุดท้าย ไปวางไฟล์ template หรือ ไฟล์ใหม่ แบบวางแต่ค่าอย่างเดียว</t>
  </si>
  <si>
    <t>ค่าตอบแทนตามผลการปฏิบัติงาน (บริการ) (ฉ12)</t>
  </si>
  <si>
    <t>ค่าตอบแทนตามผลการปฏิบัติงาน (สนับสนุน)  (ฉ12)</t>
  </si>
  <si>
    <t>ค่าตอบแทนในการปฏิบัติงานเวรหรือผลัดบ่ายและหรือผลัดดึกของพยาบาล</t>
  </si>
  <si>
    <t>ค่าตอบแทนการปฏิบัติงานในลักษณะค่าเบี้ยเลี้ยงเหมาจ่าย (สนับสนุน) 11</t>
  </si>
  <si>
    <t>ค่าตอบแทนการปฏิบัติงานในลักษณะค่าเบี้ยเลี้ยงเหมาจ่าย (บริการ)11</t>
  </si>
  <si>
    <t>[5]</t>
  </si>
  <si>
    <t>ส่วนต่างที่ต่ำ (สูง)กว่าค่ารักษาพยาบาล</t>
  </si>
  <si>
    <t>[6]</t>
  </si>
  <si>
    <t>[1]</t>
  </si>
  <si>
    <t xml:space="preserve">[2] </t>
  </si>
  <si>
    <t>[3]</t>
  </si>
  <si>
    <t>[4]</t>
  </si>
  <si>
    <t>ประมาณการตัดหนี้สูญ</t>
  </si>
  <si>
    <t xml:space="preserve">[3]= [1+2] </t>
  </si>
  <si>
    <t>[1] วงเงินที่สามารถใช้ลงทุนได้แต่ละประเภท(บาท)</t>
  </si>
  <si>
    <t>[2] ครุภัณฑ์ (จำนวนรายการ)</t>
  </si>
  <si>
    <t>[4] ที่ดินอาคาร สิ่งปลูกสร้าง (จำนวนรายการ)</t>
  </si>
  <si>
    <t>[5] มูลค่ารวม (บาท)</t>
  </si>
  <si>
    <t>[3]  มูลค่ารวม (บาท)</t>
  </si>
  <si>
    <t>รวมค่าใช้จ่าย (ไม่รวมค่าเสื่อมราคาและค่าตัดจำหน่าย)</t>
  </si>
  <si>
    <t xml:space="preserve">EBITDA </t>
  </si>
  <si>
    <t>วงเงินที่ลงทุนได้(ร้อยละ 20%ของ EBITDA)</t>
  </si>
  <si>
    <t>รายจ่ายเฉลี่ยต่อเดือน</t>
  </si>
  <si>
    <t xml:space="preserve"> NWC เหลือหลังลงทุน&gt;20%EBITDA</t>
  </si>
  <si>
    <t>Risk EBITDA</t>
  </si>
  <si>
    <t>Risk Investment &gt;20% EBITDA</t>
  </si>
  <si>
    <t>Risk NWC เหลือต่อรายจ่าย:เดือน</t>
  </si>
  <si>
    <t>PlanFin แบบ</t>
  </si>
  <si>
    <t>Normal</t>
  </si>
  <si>
    <t>Risk</t>
  </si>
  <si>
    <t>สัดส่วนการลงทุน</t>
  </si>
  <si>
    <t>[2]</t>
  </si>
  <si>
    <t>[5] = [3] x 20%</t>
  </si>
  <si>
    <t>จัดซื้อ/จัดหาด้วยเงินบำรุงของ รพ. ปี 2560</t>
  </si>
  <si>
    <t>[7]=[6]/[3]x100</t>
  </si>
  <si>
    <t>[8]=[5-6]</t>
  </si>
  <si>
    <t>[9]</t>
  </si>
  <si>
    <t>[10]</t>
  </si>
  <si>
    <t>[11]=[2]/12</t>
  </si>
  <si>
    <t>[12] =[9]/[11]</t>
  </si>
  <si>
    <t>อัตราส่วน NWC ต่อรายจ่าย:เดือน</t>
  </si>
  <si>
    <t>[13] =[8+9]</t>
  </si>
  <si>
    <t>[15] = [3]ค่าบวก Normal, ค่าลบ Risk</t>
  </si>
  <si>
    <t>[16] =[8] ค่าบวก Normal, ค่าลบ Risk</t>
  </si>
  <si>
    <t>[17] = [14]&gt;1 "Normal" &lt;1"Risk)</t>
  </si>
  <si>
    <t>PlanFin Analysis</t>
  </si>
  <si>
    <t xml:space="preserve"> การปรับ PlanFin</t>
  </si>
  <si>
    <t>ความเสี่ยงด้านกระแสเงินสด</t>
  </si>
  <si>
    <t>ความเสี่ยงด้านการลงทุน</t>
  </si>
  <si>
    <t>ความเสี่ยงด้านเงินทุนหมุนเวียน</t>
  </si>
  <si>
    <t>PlanFin</t>
  </si>
  <si>
    <t>EBITDA</t>
  </si>
  <si>
    <t xml:space="preserve">% Investment </t>
  </si>
  <si>
    <t>สัดส่วน NWC เหลือหลัง Investment ต่อ รายจ่าย:เดือน</t>
  </si>
  <si>
    <t>แบบ</t>
  </si>
  <si>
    <t xml:space="preserve">  บวก=Normal </t>
  </si>
  <si>
    <t>ต่อ EBITDA</t>
  </si>
  <si>
    <t>&lt; 1 = Risk</t>
  </si>
  <si>
    <t xml:space="preserve">  ลบ = Risk </t>
  </si>
  <si>
    <t xml:space="preserve">&gt;20%  Risk </t>
  </si>
  <si>
    <t xml:space="preserve">  Normal </t>
  </si>
  <si>
    <t xml:space="preserve"> Normal</t>
  </si>
  <si>
    <t xml:space="preserve"> ไม่ต้องปรับ</t>
  </si>
  <si>
    <t xml:space="preserve">ทบทวนการลงทุนอีกครั้ง </t>
  </si>
  <si>
    <t>ปรับ EBITDA ให้เป็น +</t>
  </si>
  <si>
    <t xml:space="preserve"> Risk</t>
  </si>
  <si>
    <r>
      <t>&lt;</t>
    </r>
    <r>
      <rPr>
        <b/>
        <sz val="14"/>
        <color rgb="FFFFFFFF"/>
        <rFont val="TH SarabunPSK"/>
        <family val="2"/>
      </rPr>
      <t>20%  Normal</t>
    </r>
  </si>
  <si>
    <r>
      <t>&gt;</t>
    </r>
    <r>
      <rPr>
        <b/>
        <sz val="14"/>
        <color rgb="FFFFFFFF"/>
        <rFont val="TH SarabunPSK"/>
        <family val="2"/>
      </rPr>
      <t xml:space="preserve"> 1 = Normal</t>
    </r>
  </si>
  <si>
    <r>
      <t xml:space="preserve"> </t>
    </r>
    <r>
      <rPr>
        <sz val="14"/>
        <color rgb="FFFF0000"/>
        <rFont val="TH SarabunPSK"/>
        <family val="2"/>
      </rPr>
      <t>Risk</t>
    </r>
  </si>
  <si>
    <r>
      <t xml:space="preserve"> </t>
    </r>
    <r>
      <rPr>
        <sz val="14"/>
        <color rgb="FF000000"/>
        <rFont val="TH SarabunPSK"/>
        <family val="2"/>
      </rPr>
      <t>Normal</t>
    </r>
  </si>
  <si>
    <t>ทบทวนการลงทุนอีกครั้ง ทำFeasibility study</t>
  </si>
  <si>
    <t>ปรับ EBITDA ให้เป็น + และ ทบทวนการลงทุนอีกครั้งควร ลงทุนให้ &lt; 20% EBITDAทำ Feasibility study</t>
  </si>
  <si>
    <t xml:space="preserve">ปรับ EBITDA ให้เป็น + และ ชะลอการลงทุน </t>
  </si>
  <si>
    <t xml:space="preserve">ปรับ EBITDA ให้เป็น + และทบทวนการลงทุนอีกครั้งเพื่อเงินเหลือจาก EBITDA – ลงทุนจะไปเพิ่ม NWC </t>
  </si>
  <si>
    <t xml:space="preserve"> ปรับลดการลงทุนให้ &lt; 20% EBITDA เพื่อเงินเหลือจาก EBITDA – ลงทุนจะไปเพิ่ม NWC  ทำ Feasibility study</t>
  </si>
  <si>
    <t>ปรับลดการลงทุนให้ &lt; 20% EBITDA เพื่อเงินเหลือจาก EBITDA – ลงทุนจะไปเพิ่ม NWC  ทำ Feasibility study</t>
  </si>
  <si>
    <t>ไม่ต้องปรับ</t>
  </si>
  <si>
    <t>HGR Growth</t>
  </si>
  <si>
    <t>ผลต่างจาก HGR Mean</t>
  </si>
  <si>
    <t>NO</t>
  </si>
  <si>
    <t>I_CODE</t>
  </si>
  <si>
    <t>ชื่อรายการ</t>
  </si>
  <si>
    <t>Growth</t>
  </si>
  <si>
    <t>Mean</t>
  </si>
  <si>
    <t>HGR Mean</t>
  </si>
  <si>
    <t>SD</t>
  </si>
  <si>
    <t>เทียบค่ากลาง</t>
  </si>
  <si>
    <t>Mean+1SD</t>
  </si>
  <si>
    <t>HGR Mean+1SD</t>
  </si>
  <si>
    <t>ผลต่างจาก HGR Mean+1SD</t>
  </si>
  <si>
    <t xml:space="preserve">หมายเหตุ </t>
  </si>
  <si>
    <t>สูงกว่าค่า HGR Mean/HGR Mean=1SD</t>
  </si>
  <si>
    <r>
      <t>&lt;</t>
    </r>
    <r>
      <rPr>
        <b/>
        <sz val="18"/>
        <color rgb="FFFFFFFF"/>
        <rFont val="TH SarabunPSK"/>
        <family val="2"/>
      </rPr>
      <t>20%  Normal</t>
    </r>
  </si>
  <si>
    <r>
      <t>&gt;</t>
    </r>
    <r>
      <rPr>
        <b/>
        <sz val="18"/>
        <color rgb="FFFFFFFF"/>
        <rFont val="TH SarabunPSK"/>
        <family val="2"/>
      </rPr>
      <t xml:space="preserve"> 1 = Normal</t>
    </r>
  </si>
  <si>
    <r>
      <t xml:space="preserve"> </t>
    </r>
    <r>
      <rPr>
        <sz val="18"/>
        <color rgb="FFFF0000"/>
        <rFont val="TH SarabunPSK"/>
        <family val="2"/>
      </rPr>
      <t>Risk</t>
    </r>
  </si>
  <si>
    <r>
      <t xml:space="preserve"> </t>
    </r>
    <r>
      <rPr>
        <sz val="18"/>
        <color rgb="FF000000"/>
        <rFont val="TH SarabunPSK"/>
        <family val="2"/>
      </rPr>
      <t>Normal</t>
    </r>
  </si>
  <si>
    <t>Low Risk</t>
  </si>
  <si>
    <t>Medium Risk</t>
  </si>
  <si>
    <t>High Risk</t>
  </si>
  <si>
    <t>วางค่าเฉพาะช่องสีม่วง</t>
  </si>
  <si>
    <t>งบทดลอง รพ.</t>
  </si>
  <si>
    <t>รวบรวมข้อมูลที่จะจัดทำแผนประมาณการจากงบทดลองของ โรงพยาบาล นำมาวางในชีทนี้</t>
  </si>
  <si>
    <t>WORKSHEET PLANFIN61 _1st</t>
  </si>
  <si>
    <t xml:space="preserve">    บรรทัดแรก ชื่อ WORKSHEET PLANFIN61_1st  ให้ลบออก</t>
  </si>
  <si>
    <t xml:space="preserve">    ลบชีทที่ไม่เกี่ยวข้องออกให้หมด  ให้เหลือแต่  1.WS-Re-Exp   เพียงชีทเดียวและ saveAs  เป็นไฟล์ใหม่เพื่อส่งข้อมูลต่อไป   </t>
  </si>
  <si>
    <t>Planfin2561</t>
  </si>
  <si>
    <t>คอลั่ม F - I  link มาจาก HGR2559</t>
  </si>
  <si>
    <t>HGR2559</t>
  </si>
  <si>
    <t>นำค่ามาวางไว้ตามที่มาร์คสีไว้</t>
  </si>
  <si>
    <t>Update  6/9/2560</t>
  </si>
  <si>
    <t>ข้อมูลจาก Sheet "งบทดลอง" จะ link มาที่ Sheet ตาม "template"  ที่เตรียมไว้สำหรับส่งขึ้นเว็บ</t>
  </si>
  <si>
    <r>
      <t xml:space="preserve">ตรวจสอบข้อมุล ถูกต้อง  เรียบร้อยแล้ว   ใช้ </t>
    </r>
    <r>
      <rPr>
        <b/>
        <u/>
        <sz val="18"/>
        <color theme="3"/>
        <rFont val="TH SarabunPSK"/>
        <family val="2"/>
      </rPr>
      <t>Sheet "1.WS-Re-Ex</t>
    </r>
    <r>
      <rPr>
        <sz val="16"/>
        <color theme="1"/>
        <rFont val="TH SarabunPSK"/>
        <family val="2"/>
      </rPr>
      <t>" ในการส่งข้อมูลมาที่ planfin.cfo.in.th</t>
    </r>
  </si>
  <si>
    <t>คอลั่ม C   ให้นำข้อมูลในเว็บไซด์  planfin.cfo.in.th  ข้อมูลกองเศรษฐกิจฯ (โดยใช้ข้อมูลงบการเงิน ณ 30 มิถุนายน 2560 หาร 9 เดือน คูณ 12 เดือน)  มาใส่เพื่อดูผลเปรียบเทียบ</t>
  </si>
  <si>
    <t>คอลั่ม F  คำนวนให้ Unit Cost Per Visit/Unit Cost Per SumAdjRW</t>
  </si>
  <si>
    <r>
      <t xml:space="preserve">ดาวโหลดข้อมูลของ รพ. </t>
    </r>
    <r>
      <rPr>
        <b/>
        <sz val="16"/>
        <color theme="1"/>
        <rFont val="TH SarabunPSK"/>
        <family val="2"/>
      </rPr>
      <t>จาก สรุป Plfnin เ</t>
    </r>
    <r>
      <rPr>
        <sz val="16"/>
        <color theme="1"/>
        <rFont val="TH SarabunPSK"/>
        <family val="2"/>
      </rPr>
      <t xml:space="preserve">ทียบค่ากลาง(มูลค่า) ไฟล์ Excel เว็บไซด์   </t>
    </r>
    <r>
      <rPr>
        <b/>
        <sz val="16"/>
        <color theme="1"/>
        <rFont val="TH SarabunPSK"/>
        <family val="2"/>
      </rPr>
      <t xml:space="preserve">http://dhes.moph.go.th/hgr        </t>
    </r>
  </si>
  <si>
    <t>ต่ำกว่าค่า HGR Mean/HGR Mean=1SD</t>
  </si>
  <si>
    <t>[14]=[13]/[11]</t>
  </si>
  <si>
    <t>ปรับสูตรไม่ต้อง คูณ 100</t>
  </si>
  <si>
    <t>ลิงค์จากหน้า Planfin ช่องประมาณการจากส่วนกลาง</t>
  </si>
  <si>
    <t>เงินบำรุงคงเหลือ (หักหนี้สินและภาระผูกพัน) ณ 30 มิ.ย.2560</t>
  </si>
  <si>
    <t>อัตราส่วน NWC เหลือเหลือหลังลงทุน&gt;20%EBITDAต่อรายจ่าย:เดือน</t>
  </si>
  <si>
    <t>ส่วนต่างค่ารักษาที่สูงกว่าข้อตกลงในการจ่ายตาม UC OP AE</t>
  </si>
  <si>
    <t>ส่วนต่างค่ารักษาที่สูงกว่าข้อตกลงในการจ่ายตาม UC OP -DMI</t>
  </si>
  <si>
    <t>ส่วนต่างค่ารักษาที่ต่ำกว่าข้อตกลงในการจ่ายตาม UC OP -DMI</t>
  </si>
  <si>
    <t xml:space="preserve">ค่าตอบแทนในการปฏิบัติงานเวรหรือผลัดบ่ายและหรือผลัดดึกของพยาบาล </t>
  </si>
  <si>
    <t>ค่าตอบแทนตามผลการปฏิบัติงาน (บริการ)</t>
  </si>
  <si>
    <t>ค่าตอบแทนตามผลการปฏิบัติงาน (สนับสนุน)</t>
  </si>
  <si>
    <t>ค่าตอบแทนการปฏิบัติงานในลักษณะค่าเบี้ยเลี้ยงเหมาจ่าย (บริการ)</t>
  </si>
  <si>
    <t>ค่าตอบแทนการปฏิบัติงานในลักษณะค่าเบี้ยเลี้ยงเหมาจ่าย (สนับสนุน)</t>
  </si>
  <si>
    <t>หนี้สูญ-ลูกหนี้ค่ารักษา UC -OP นอก CUP(ในจังหวัด)</t>
  </si>
  <si>
    <t>[1] มูลค่าจัดซื้อปี 2559</t>
  </si>
  <si>
    <t>[2] มูลค่าจัดซื้อปี 2560</t>
  </si>
  <si>
    <t>[3] มูลค่าจัดซื้อปี 2561</t>
  </si>
  <si>
    <t>[4]มูลค่าการใช้ใน รพ. ปี 2561</t>
  </si>
  <si>
    <t>[5]มูลค่าการสนับสนุน รพ.สต.ปี 2561</t>
  </si>
  <si>
    <t>[6] มูลค่าการโอนยาให้หน่วยงานอื่น ปี 2561</t>
  </si>
  <si>
    <t>[7] = [4+5+6] รวมมูลค่าการใช้ยาทั้งปี 2561</t>
  </si>
  <si>
    <t>[8] สินค้าคงคลัง (ยา เวชภัณฑ์ฯ วัสดุวิทย์ฯ) ณ 30 ก.ย. 2561</t>
  </si>
  <si>
    <t>[9] แผนจัดซื้อปี 2562 นำไปกรอกใน planfin</t>
  </si>
  <si>
    <t>[4] มูลค่าการใช้ใน รพ. ปี 2561</t>
  </si>
  <si>
    <t>[5] วัสดุคงคลัง ณ 30 ก.ย. 2561</t>
  </si>
  <si>
    <t>[6] แผนจัดซื้อปี 2562 นำไปกรอกใน planfin2562</t>
  </si>
  <si>
    <t>[1] หนี้สินค้างชำระ ณ 30 ก.ย.2561</t>
  </si>
  <si>
    <t>[2] ประมาณการหนี้สินปี 2562</t>
  </si>
  <si>
    <t>[3] = [1] +[2]  รวมภาระหนี้สินปี 2562</t>
  </si>
  <si>
    <t>[4] แผนการจ่ายชำระปี 2562 (นำไปกรอกใน Planfin2562</t>
  </si>
  <si>
    <t>(5) = [3] -[4] ภาระหนี้สินคงเหลือสิ้นปี 2562</t>
  </si>
  <si>
    <t>ปี 2565</t>
  </si>
  <si>
    <t>ปี 2566</t>
  </si>
  <si>
    <r>
      <t xml:space="preserve"> ลูกหนี้-สุทธิ</t>
    </r>
    <r>
      <rPr>
        <u/>
        <sz val="16"/>
        <color theme="1"/>
        <rFont val="TH SarabunPSK"/>
        <family val="2"/>
      </rPr>
      <t>ค้างชำระ</t>
    </r>
    <r>
      <rPr>
        <sz val="16"/>
        <color theme="1"/>
        <rFont val="TH SarabunPSK"/>
        <family val="2"/>
      </rPr>
      <t xml:space="preserve"> ณ 30 ก.ย.2561</t>
    </r>
  </si>
  <si>
    <t>ประมาณการลูกหนี้ปี 2562</t>
  </si>
  <si>
    <t xml:space="preserve">   รวมลูกหนี้ปี 2562</t>
  </si>
  <si>
    <t xml:space="preserve">  ประมาณการลูกหนี้ที่เรียกเก็บได้ในปี 2562 นำไปกรอกใน planfin  </t>
  </si>
  <si>
    <t>ลูกหนี้คงเหลือยกไปปี 2563</t>
  </si>
  <si>
    <t>[6] = [3+5]    รวมเงินลงทุนนำไปกรอกใน Planfin2562</t>
  </si>
  <si>
    <t>แผนทางการเงินสำหรับหน่วยบริการ สำนักงานปลัดกระทรวงสาธารณสุขประจำปี 2562</t>
  </si>
  <si>
    <t>1. แผนประมาณการรายได้-ควบคุมค่าใช้จ่าย ปีงบประมาณ 2562</t>
  </si>
  <si>
    <t xml:space="preserve">  ประมาณการปี 2562 ทั้งปีจากส่วนกลาง </t>
  </si>
  <si>
    <t>ประมาณการปี 2562</t>
  </si>
  <si>
    <t>มูลค่าการจัดซื้อปี 2562</t>
  </si>
  <si>
    <t>ประมาณการจ่ายชำระหนี้ปี 2562</t>
  </si>
  <si>
    <t>ประมาณการลูกหนี้ที่เรียกเก็บได้ปี 2562</t>
  </si>
  <si>
    <t>จัดซื้อ จัดหาด้วยเงินบำรุงของ รพ. ปี 2562</t>
  </si>
  <si>
    <t>จัดซื้อ ด้วยงบค่าบริการฯเบิกจ่ายลักษณะงบลงทุน ปี 2562</t>
  </si>
  <si>
    <t>จัดซื้อ จัดหาด้วยเงินงบประมาณ ของ รพ. ปี 2562</t>
  </si>
  <si>
    <t>แผนปี 2562</t>
  </si>
  <si>
    <t>6.1 รายละเอียดการจัดซื้อ จัดหาด้วยเงินบำรุงและเงินนอกงบประมาณอื่น ๆ ของ รพ.</t>
  </si>
  <si>
    <t>กลุ่มการพยาบาล</t>
  </si>
  <si>
    <t>แผน CSSD</t>
  </si>
  <si>
    <t>กลุ่มงานเภสัชกรรม</t>
  </si>
  <si>
    <t>กลุ่มงานทันตกรรม</t>
  </si>
  <si>
    <t>กลุ่มงานเวชกรรมฟื้นฟู</t>
  </si>
  <si>
    <t>กลุ่มงานปฐมภูมิ</t>
  </si>
  <si>
    <t>กลุ่มงานเทคนิคบริการ</t>
  </si>
  <si>
    <t>กลุ่มงานบริหารทั่วไป</t>
  </si>
  <si>
    <t>กลุ่มงานสิทธิประโยชน์ฯ</t>
  </si>
  <si>
    <t>กลุ่มงานเทคโนโลยีฯ</t>
  </si>
  <si>
    <t>ภาพรวมทั้งโรงพยาบาล</t>
  </si>
  <si>
    <t>(B)ครุภัณฑ์ (จำนวนรายการ)</t>
  </si>
  <si>
    <t>(C) มูลค่ารวม</t>
  </si>
  <si>
    <t>สิ่งก่อสร้าง (โรงเก็บออกซิเจน)</t>
  </si>
  <si>
    <t>ระบบถนนภายใน</t>
  </si>
  <si>
    <t>ครุภัณฑ์วิทยาศาสตร์การแพทย์</t>
  </si>
  <si>
    <t>ครุภัณฑ์สำนักงาน</t>
  </si>
  <si>
    <t>ครุภัณฑ์งานบ้านงานครัว</t>
  </si>
  <si>
    <t>ครุภํณฑ์เกษตร</t>
  </si>
  <si>
    <t>ครุภัณฑ์คอมพิวเตอร์</t>
  </si>
  <si>
    <t>ครุภัณฑ์ไฟฟ้าและวิทยุ</t>
  </si>
  <si>
    <t>ครุภัณฑ์โฆษณาและเผยแพร่</t>
  </si>
  <si>
    <t>ครุภัณฑ์ก่อสร้าง</t>
  </si>
  <si>
    <t>7. 1 รายละเอียดแผนการสนับสนุน รพ.สต.  (ไม่รวมเงินตามผลงาน)</t>
  </si>
  <si>
    <t>ขนาด รพสต. ตามประกาศ สธ 0204/22819 ลว15กค.59 ใช้ข้อมูลประชากร UC กค.59</t>
  </si>
  <si>
    <t>ค่าบริหารจัดการ</t>
  </si>
  <si>
    <t>ค่าตอบแทนนอกเวลา</t>
  </si>
  <si>
    <t>สมทบประกันสังคม5%</t>
  </si>
  <si>
    <t>กองทุนสำรองเลี้ยงชีพ พกส.2%</t>
  </si>
  <si>
    <t>ค่าสอบเทียบเครื่องมือแพทย์ (การพยาบาล)</t>
  </si>
  <si>
    <t>ค่าสอบเทียบเครื่องมือแพทย์ (LAB)</t>
  </si>
  <si>
    <t xml:space="preserve"> PAP Smear </t>
  </si>
  <si>
    <t>แผนงานโครงการ</t>
  </si>
  <si>
    <t>ยา+ยาโรคเรื้อรัง+วัคซีน</t>
  </si>
  <si>
    <t>วัสดุเภสัชกรรม</t>
  </si>
  <si>
    <t>ยาสมุนไพร</t>
  </si>
  <si>
    <t>วัสดุการแพทย์(การพยาบาล)</t>
  </si>
  <si>
    <t>วัสดุการแพทย์(LAB)</t>
  </si>
  <si>
    <t>วัสดุทันตกรรม</t>
  </si>
  <si>
    <t>สอ.หนองติม</t>
  </si>
  <si>
    <t>M</t>
  </si>
  <si>
    <t>สอ.ทัพไทย</t>
  </si>
  <si>
    <t>S</t>
  </si>
  <si>
    <t>ศสช.นวมินทราชินี</t>
  </si>
  <si>
    <t>ศสช.โคคลาน</t>
  </si>
  <si>
    <t>สอ.หนองผักแว่น</t>
  </si>
  <si>
    <t>ศสช.กุดเวียน</t>
  </si>
  <si>
    <t>สอ.แสง์</t>
  </si>
  <si>
    <t>สอ.มะกอก</t>
  </si>
  <si>
    <t>สอ.โคกไพล</t>
  </si>
  <si>
    <t>สอ.รัตนะ</t>
  </si>
  <si>
    <t>สอ.ทับทิมสยาม 03</t>
  </si>
  <si>
    <t>ศสช.นางาม</t>
  </si>
  <si>
    <t>ศสช.โคกเพร็ก</t>
  </si>
  <si>
    <t>สอ.โคกแจง</t>
  </si>
  <si>
    <t>สอ.ทัพเซียม</t>
  </si>
  <si>
    <t>สอบเทียบเครื่องมือแพทย์</t>
  </si>
  <si>
    <t>รวมยอดสนับสนุน</t>
  </si>
  <si>
    <t>สนับสนุนเงินกองทุน OP</t>
  </si>
  <si>
    <t>สนับสนุนเงินกองทุน PP</t>
  </si>
  <si>
    <t>มูลค่ารวมทั้งปี 62</t>
  </si>
  <si>
    <t>จำนวนเงิน(แผนต้นปี2561)</t>
  </si>
  <si>
    <t>จำนวนเงิน(แผนครึ่งปีหลัง2561)</t>
  </si>
  <si>
    <t>ผลการดำเนินงาน9เดือน(1ตค.60-30มิย61)</t>
  </si>
  <si>
    <t>เอกสารแนบ</t>
  </si>
  <si>
    <t xml:space="preserve">   - วัสดุเภสัชกรรม</t>
  </si>
  <si>
    <t xml:space="preserve">   - วัสดุการแพทย์(ออกซิเจน)</t>
  </si>
  <si>
    <t xml:space="preserve">   - วัสดุการแพทย์(LAB)</t>
  </si>
  <si>
    <t xml:space="preserve">   - วัสดุการแพทย์(กายอุปกรณ์)</t>
  </si>
  <si>
    <t xml:space="preserve">   - วัสดุทันตกรรม</t>
  </si>
  <si>
    <t>(C) มูลค่าจัดซื้อ (ตค.60-มิย.61) ปี 2561</t>
  </si>
  <si>
    <t>(C) เฉลี่ยมูลค่าจัดซื้อ ต่อเดือน  ปี 2561</t>
  </si>
  <si>
    <t>(C) ประมาณการมูลค่าจัดซื้อ (ตค.60-มิย.61) ปี 2561</t>
  </si>
  <si>
    <t>(D)มูลค่าการใช้ใน รพ.(ตค.60-มิย.61) ปี 2561</t>
  </si>
  <si>
    <t>(D)เฉลี่ยมูลค่าการใช้ใน รพ. ต่อเดือน ปี 2561</t>
  </si>
  <si>
    <t>(D)ประมาณการมูลค่าการใช้ใน รพ. (ตค.60-มิย.61) ปี 2561</t>
  </si>
  <si>
    <t>(E)มูลค่าการสนับสนุน รพ.สต.(ตค.60-มิย.61) ปี 2561</t>
  </si>
  <si>
    <t>(E)เฉลี่ยมูลค่าการสนับสนุน รพ.สต. ต่อเดือน   ปี 2561</t>
  </si>
  <si>
    <t>(E)ประมาณการมูลค่าการสนับสนุน รพ.สต. (ตค.60-มิย.61) ปี 2561</t>
  </si>
  <si>
    <t>(H) สินค้าคงคลัง (ยา เวชภัณฑ์ฯ วัสดุวิทย์ฯ) ณ 30 มิย.61</t>
  </si>
  <si>
    <t>(I)แผนจัดซื้อปี 2562 นำไปกรอกใน planfin</t>
  </si>
  <si>
    <t>ยอดจัดซื้อ ของโรงพยาบาล ปี2562</t>
  </si>
  <si>
    <t>ยอดสนับสนุน รพ.สต ปี2562</t>
  </si>
  <si>
    <t>รวมยอดจัดซื้อ ปี 2562</t>
  </si>
  <si>
    <t>เฉลี่ยต่อเดือน</t>
  </si>
  <si>
    <t>สินค้าคงเหลือ</t>
  </si>
  <si>
    <t>กลุ่มงานบริหาร</t>
  </si>
  <si>
    <t>กลุ่มงานเทคโนโลยีสารสนเทศ</t>
  </si>
  <si>
    <t>(D)มูลค่าการใช้ใน รพ.(ตค.60-มิย.61) ปี 61</t>
  </si>
  <si>
    <t>ประมาณการใช้ทั้งปี 61</t>
  </si>
  <si>
    <t>(E) วัสดุคงคลัง ณ 30 มิย. 2561</t>
  </si>
  <si>
    <t>(F)แผนจัดซื้อปี 2562 นำไปกรอกใน planfin62</t>
  </si>
  <si>
    <t>ภาพรวม รพ. แผนจัดซื้อวัสดุอื่น ปี2562</t>
  </si>
  <si>
    <t>ประมาณการการใช้ ปี2562</t>
  </si>
  <si>
    <t>วัสดุสำนักงาน (เทคโนโลยีสารสนเทศ)</t>
  </si>
  <si>
    <t>วัสดุสำนักงาน (เภสัชกรรม)</t>
  </si>
  <si>
    <t>วัสดุเชื้อเพลิงและหล่อลื่น(ยานพาหนะ+เครื่องปั่นไฟ)</t>
  </si>
  <si>
    <t>วัสดุเชื้อเพลิงและหล่อลื่น(แก๊สหุงต้ม)</t>
  </si>
  <si>
    <t>ยา-สมุนไพร(สนับสนุน)</t>
  </si>
  <si>
    <t>ยา-สมุนไพร</t>
  </si>
  <si>
    <t>ยา (สนับสนุน)</t>
  </si>
  <si>
    <t xml:space="preserve">   - วัสดุการแพทย์(เภสัชกรรม)</t>
  </si>
  <si>
    <t>รวมเวชภัณฑ์มิใช่ยาและวัสดุการแพทย์</t>
  </si>
  <si>
    <t>รวมยา</t>
  </si>
  <si>
    <t>รวมวัสดุวิทยาศาสตร์การแพทย์</t>
  </si>
  <si>
    <t>วัสดุสำนักงาน (กายภาพ)</t>
  </si>
  <si>
    <t>เงินเดือน พกส.</t>
  </si>
  <si>
    <t>เวชกรรมฟื้นฟู</t>
  </si>
  <si>
    <t>ทันตกรรม</t>
  </si>
  <si>
    <t>ค่าจ้างเหมาบริการทางการแพทย์(ทำฟันปลอม)</t>
  </si>
  <si>
    <t>สิทธิประโยชน์</t>
  </si>
  <si>
    <t xml:space="preserve">วัสดุสำนักงาน </t>
  </si>
  <si>
    <t xml:space="preserve">   - วัสดุการแพทย์(การพยาบาล)+เวชภัณฑ์</t>
  </si>
  <si>
    <t>ออกซิเจน</t>
  </si>
  <si>
    <t>ลงทุนได้20%</t>
  </si>
  <si>
    <t>ลงทุนเกิน20%</t>
  </si>
  <si>
    <t>สนับสนุน รพ.สต</t>
  </si>
  <si>
    <t>วงเงินที่ลงทุนได้20%</t>
  </si>
  <si>
    <t>ลงทุนด้วยเงินบำรุง</t>
  </si>
  <si>
    <t>ปฐมภูมิ</t>
  </si>
  <si>
    <t xml:space="preserve">   - วัสดุการแพทย์(ปฐมภูมิ)</t>
  </si>
  <si>
    <t xml:space="preserve"> </t>
  </si>
  <si>
    <t>เหมาจ่าย ฉบับ11 ข้าราชการ</t>
  </si>
  <si>
    <t>บริหาร</t>
  </si>
  <si>
    <t>อาคารและสิ่งปลูกสร้าง</t>
  </si>
  <si>
    <t>ค่าตอบแทน (ฉบับ 11)</t>
  </si>
  <si>
    <t>ค่าตอบแทน (ฉบับ 12,ส่วนเพิ่ม)</t>
  </si>
  <si>
    <t>ทุนสำรองสุทธิ (Networking Capital) ณ 31 ส.ค.61</t>
  </si>
  <si>
    <t>การเปรียบเทียบ HGR ปี 2560</t>
  </si>
  <si>
    <t xml:space="preserve"> ลูกหนี้-สุทธิค้างชำระ ณ 30 ก.ย.2561</t>
  </si>
  <si>
    <t>ประมาณการลูกหนี้ปี 2562 เฉลี่ยต่อเดือน</t>
  </si>
  <si>
    <t>[7]=[3-4-5-6]</t>
  </si>
  <si>
    <t>หน่วยบริการ โรงพยาบาลตาพระยา จังหวัดสระแก้ว</t>
  </si>
  <si>
    <t>แผน planfin 2562</t>
  </si>
  <si>
    <t>ยา/วัสดุ ,pap</t>
  </si>
  <si>
    <t>ตย. การคำนวณหา อัตราหมุนเวียนของเจ้าหนี้ (Payable Turnover)</t>
  </si>
  <si>
    <t xml:space="preserve">  ยอดซื้อเชื่อทั้งปี 2562</t>
  </si>
  <si>
    <t xml:space="preserve">  เจ้าหนี้คงเหลือสิ้นปี 2562</t>
  </si>
  <si>
    <t xml:space="preserve">  การ Turnover  (ครั้ง)</t>
  </si>
  <si>
    <t xml:space="preserve"> ระยะเวลาจ่ายคืน  (วัน)</t>
  </si>
  <si>
    <t>ตย. การคำนวณหา อัตราหมุนเวียนของลูกหนี้ (Account Receivable Turnover)</t>
  </si>
  <si>
    <t xml:space="preserve">  ยอดลูกหนี้ที่เกิดขึ้นทั้งปี</t>
  </si>
  <si>
    <t xml:space="preserve">  ลูกหนี้คงเหลือสิ้นปี</t>
  </si>
  <si>
    <t xml:space="preserve">  Receivable Turnover</t>
  </si>
  <si>
    <t>4.25 ครั้ง</t>
  </si>
  <si>
    <t xml:space="preserve">  เวลาเฉลี่ยในการเรียกเก็บ (collection period)</t>
  </si>
  <si>
    <t>85.88 วัน</t>
  </si>
  <si>
    <t>ลน.UC</t>
  </si>
  <si>
    <t>รพร.ยังไม่ดำเนินการจ่าย</t>
  </si>
  <si>
    <t>ประมาณการลูกหนี้ปี 2562 เรียกเก็บ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</si>
</sst>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0_ ;[Red]\-#,##0.00\ "/>
    <numFmt numFmtId="188" formatCode="#,##0_ ;[Red]\-#,##0\ "/>
  </numFmts>
  <fonts count="59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4"/>
      <name val="TH SarabunPSK"/>
      <family val="2"/>
    </font>
    <font>
      <b/>
      <sz val="16"/>
      <color theme="0"/>
      <name val="TH SarabunPSK"/>
      <family val="2"/>
    </font>
    <font>
      <b/>
      <sz val="12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i/>
      <u/>
      <sz val="10"/>
      <color theme="1"/>
      <name val="TH SarabunPSK"/>
      <family val="2"/>
    </font>
    <font>
      <b/>
      <sz val="9"/>
      <color indexed="81"/>
      <name val="Tahoma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b/>
      <u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0"/>
      <name val="TH SarabunPSK"/>
      <family val="2"/>
    </font>
    <font>
      <sz val="9"/>
      <color indexed="81"/>
      <name val="Tahoma"/>
      <family val="2"/>
    </font>
    <font>
      <sz val="18"/>
      <color theme="1"/>
      <name val="Tahoma"/>
      <family val="2"/>
      <charset val="222"/>
      <scheme val="minor"/>
    </font>
    <font>
      <sz val="10"/>
      <color indexed="8"/>
      <name val="Arial"/>
      <family val="2"/>
    </font>
    <font>
      <sz val="18"/>
      <color indexed="8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b/>
      <i/>
      <sz val="16"/>
      <color theme="1"/>
      <name val="TH SarabunPSK"/>
      <family val="2"/>
    </font>
    <font>
      <sz val="14"/>
      <color rgb="FFFF0000"/>
      <name val="TH SarabunPSK"/>
      <family val="2"/>
    </font>
    <font>
      <u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indexed="8"/>
      <name val="Leelawadee"/>
      <family val="2"/>
    </font>
    <font>
      <b/>
      <u/>
      <sz val="14"/>
      <color rgb="FFFF0000"/>
      <name val="TH SarabunPSK"/>
      <family val="2"/>
    </font>
    <font>
      <b/>
      <sz val="14"/>
      <name val="TH SarabunPSK"/>
      <family val="2"/>
    </font>
    <font>
      <b/>
      <sz val="9"/>
      <color rgb="FF0070C0"/>
      <name val="Tahoma"/>
      <family val="2"/>
    </font>
    <font>
      <sz val="9"/>
      <color rgb="FF0070C0"/>
      <name val="Tahoma"/>
      <family val="2"/>
    </font>
    <font>
      <b/>
      <sz val="14"/>
      <color rgb="FFFFFFFF"/>
      <name val="TH SarabunPSK"/>
      <family val="2"/>
    </font>
    <font>
      <b/>
      <u/>
      <sz val="14"/>
      <color rgb="FFFFFFFF"/>
      <name val="TH SarabunPSK"/>
      <family val="2"/>
    </font>
    <font>
      <sz val="14"/>
      <color rgb="FF000000"/>
      <name val="TH SarabunPSK"/>
      <family val="2"/>
    </font>
    <font>
      <sz val="9"/>
      <color theme="1"/>
      <name val="TH SarabunPSK"/>
      <family val="2"/>
    </font>
    <font>
      <b/>
      <sz val="18"/>
      <color rgb="FFFFFFFF"/>
      <name val="TH SarabunPSK"/>
      <family val="2"/>
    </font>
    <font>
      <b/>
      <u/>
      <sz val="18"/>
      <color rgb="FFFFFFFF"/>
      <name val="TH SarabunPSK"/>
      <family val="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20"/>
      <color theme="1"/>
      <name val="TH SarabunPSK"/>
      <family val="2"/>
    </font>
    <font>
      <b/>
      <u/>
      <sz val="18"/>
      <color theme="3"/>
      <name val="TH SarabunPSK"/>
      <family val="2"/>
    </font>
    <font>
      <sz val="10"/>
      <color indexed="8"/>
      <name val="Tahoma"/>
      <family val="2"/>
    </font>
    <font>
      <b/>
      <sz val="11"/>
      <color theme="1"/>
      <name val="Tahoma"/>
      <family val="2"/>
      <charset val="222"/>
      <scheme val="minor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0"/>
      <name val="Arial"/>
      <family val="2"/>
    </font>
    <font>
      <sz val="12"/>
      <color theme="1"/>
      <name val="Tahoma"/>
      <family val="2"/>
      <charset val="222"/>
      <scheme val="minor"/>
    </font>
    <font>
      <b/>
      <sz val="10"/>
      <name val="Tahoma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26" fillId="0" borderId="0"/>
    <xf numFmtId="0" fontId="26" fillId="0" borderId="0"/>
    <xf numFmtId="0" fontId="26" fillId="0" borderId="0"/>
    <xf numFmtId="0" fontId="52" fillId="0" borderId="0"/>
    <xf numFmtId="43" fontId="56" fillId="0" borderId="0" applyFont="0" applyFill="0" applyBorder="0" applyAlignment="0" applyProtection="0"/>
  </cellStyleXfs>
  <cellXfs count="6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87" fontId="1" fillId="0" borderId="8" xfId="0" applyNumberFormat="1" applyFont="1" applyBorder="1"/>
    <xf numFmtId="43" fontId="1" fillId="0" borderId="0" xfId="3" applyFont="1" applyBorder="1"/>
    <xf numFmtId="0" fontId="1" fillId="0" borderId="0" xfId="0" applyFont="1" applyBorder="1"/>
    <xf numFmtId="0" fontId="1" fillId="0" borderId="10" xfId="0" applyFont="1" applyBorder="1"/>
    <xf numFmtId="0" fontId="4" fillId="0" borderId="0" xfId="0" applyFont="1"/>
    <xf numFmtId="187" fontId="4" fillId="0" borderId="0" xfId="0" applyNumberFormat="1" applyFont="1"/>
    <xf numFmtId="0" fontId="4" fillId="0" borderId="10" xfId="0" applyFont="1" applyBorder="1"/>
    <xf numFmtId="0" fontId="4" fillId="0" borderId="0" xfId="0" applyFont="1" applyBorder="1"/>
    <xf numFmtId="187" fontId="4" fillId="0" borderId="10" xfId="0" applyNumberFormat="1" applyFont="1" applyBorder="1"/>
    <xf numFmtId="188" fontId="10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10" xfId="0" applyFont="1" applyBorder="1"/>
    <xf numFmtId="0" fontId="2" fillId="0" borderId="0" xfId="0" applyFont="1" applyBorder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43" fontId="4" fillId="0" borderId="2" xfId="3" applyFont="1" applyFill="1" applyBorder="1" applyAlignment="1">
      <alignment horizontal="center" vertical="center" wrapText="1"/>
    </xf>
    <xf numFmtId="43" fontId="3" fillId="0" borderId="2" xfId="3" applyFont="1" applyFill="1" applyBorder="1"/>
    <xf numFmtId="0" fontId="3" fillId="6" borderId="2" xfId="0" applyFont="1" applyFill="1" applyBorder="1"/>
    <xf numFmtId="0" fontId="3" fillId="0" borderId="0" xfId="0" applyFont="1" applyFill="1" applyBorder="1"/>
    <xf numFmtId="0" fontId="3" fillId="0" borderId="0" xfId="0" applyFont="1"/>
    <xf numFmtId="43" fontId="3" fillId="0" borderId="0" xfId="3" applyFont="1" applyFill="1"/>
    <xf numFmtId="43" fontId="3" fillId="0" borderId="0" xfId="3" applyFont="1" applyFill="1" applyBorder="1"/>
    <xf numFmtId="0" fontId="3" fillId="0" borderId="2" xfId="0" applyFont="1" applyBorder="1"/>
    <xf numFmtId="43" fontId="13" fillId="0" borderId="0" xfId="3" applyFont="1" applyFill="1"/>
    <xf numFmtId="0" fontId="4" fillId="0" borderId="0" xfId="0" applyFont="1" applyFill="1"/>
    <xf numFmtId="0" fontId="18" fillId="0" borderId="2" xfId="2" applyFont="1" applyFill="1" applyBorder="1" applyAlignment="1">
      <alignment horizontal="center"/>
    </xf>
    <xf numFmtId="187" fontId="15" fillId="0" borderId="2" xfId="3" applyNumberFormat="1" applyFont="1" applyFill="1" applyBorder="1"/>
    <xf numFmtId="187" fontId="1" fillId="7" borderId="9" xfId="0" applyNumberFormat="1" applyFont="1" applyFill="1" applyBorder="1"/>
    <xf numFmtId="187" fontId="1" fillId="7" borderId="10" xfId="3" applyNumberFormat="1" applyFont="1" applyFill="1" applyBorder="1"/>
    <xf numFmtId="187" fontId="1" fillId="7" borderId="10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187" fontId="4" fillId="0" borderId="10" xfId="3" applyNumberFormat="1" applyFont="1" applyBorder="1"/>
    <xf numFmtId="0" fontId="23" fillId="3" borderId="3" xfId="0" applyFont="1" applyFill="1" applyBorder="1" applyAlignment="1">
      <alignment horizontal="center"/>
    </xf>
    <xf numFmtId="0" fontId="3" fillId="0" borderId="2" xfId="0" applyFont="1" applyFill="1" applyBorder="1"/>
    <xf numFmtId="0" fontId="15" fillId="0" borderId="2" xfId="0" applyFont="1" applyFill="1" applyBorder="1"/>
    <xf numFmtId="187" fontId="3" fillId="0" borderId="0" xfId="0" applyNumberFormat="1" applyFont="1"/>
    <xf numFmtId="187" fontId="3" fillId="0" borderId="0" xfId="0" applyNumberFormat="1" applyFont="1" applyAlignment="1">
      <alignment wrapText="1"/>
    </xf>
    <xf numFmtId="187" fontId="1" fillId="0" borderId="0" xfId="0" applyNumberFormat="1" applyFont="1"/>
    <xf numFmtId="0" fontId="16" fillId="0" borderId="18" xfId="0" applyFont="1" applyFill="1" applyBorder="1" applyAlignment="1">
      <alignment wrapText="1"/>
    </xf>
    <xf numFmtId="0" fontId="4" fillId="12" borderId="20" xfId="0" applyFont="1" applyFill="1" applyBorder="1" applyAlignment="1">
      <alignment wrapText="1"/>
    </xf>
    <xf numFmtId="0" fontId="4" fillId="12" borderId="0" xfId="0" applyFont="1" applyFill="1" applyBorder="1" applyAlignment="1">
      <alignment horizontal="left" wrapText="1"/>
    </xf>
    <xf numFmtId="0" fontId="4" fillId="12" borderId="20" xfId="0" applyFont="1" applyFill="1" applyBorder="1"/>
    <xf numFmtId="0" fontId="4" fillId="12" borderId="0" xfId="0" applyFont="1" applyFill="1" applyBorder="1"/>
    <xf numFmtId="0" fontId="1" fillId="12" borderId="20" xfId="0" applyFont="1" applyFill="1" applyBorder="1"/>
    <xf numFmtId="0" fontId="1" fillId="12" borderId="0" xfId="0" applyFont="1" applyFill="1" applyBorder="1"/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/>
    </xf>
    <xf numFmtId="0" fontId="1" fillId="0" borderId="0" xfId="0" applyFont="1" applyBorder="1" applyAlignment="1"/>
    <xf numFmtId="187" fontId="1" fillId="0" borderId="21" xfId="0" applyNumberFormat="1" applyFont="1" applyBorder="1"/>
    <xf numFmtId="187" fontId="1" fillId="0" borderId="22" xfId="0" applyNumberFormat="1" applyFont="1" applyBorder="1"/>
    <xf numFmtId="187" fontId="4" fillId="0" borderId="22" xfId="0" applyNumberFormat="1" applyFont="1" applyBorder="1"/>
    <xf numFmtId="0" fontId="23" fillId="3" borderId="23" xfId="0" applyFont="1" applyFill="1" applyBorder="1" applyAlignment="1">
      <alignment horizontal="center"/>
    </xf>
    <xf numFmtId="0" fontId="9" fillId="0" borderId="0" xfId="0" applyFont="1" applyBorder="1" applyAlignment="1"/>
    <xf numFmtId="0" fontId="4" fillId="0" borderId="20" xfId="0" applyFont="1" applyFill="1" applyBorder="1" applyAlignment="1">
      <alignment horizontal="left"/>
    </xf>
    <xf numFmtId="0" fontId="7" fillId="0" borderId="0" xfId="0" applyFont="1" applyBorder="1" applyAlignment="1"/>
    <xf numFmtId="0" fontId="1" fillId="0" borderId="22" xfId="0" applyFont="1" applyBorder="1"/>
    <xf numFmtId="0" fontId="1" fillId="0" borderId="0" xfId="0" applyFont="1" applyFill="1" applyBorder="1"/>
    <xf numFmtId="0" fontId="9" fillId="0" borderId="0" xfId="0" applyFont="1" applyFill="1" applyBorder="1"/>
    <xf numFmtId="187" fontId="2" fillId="0" borderId="22" xfId="0" applyNumberFormat="1" applyFont="1" applyBorder="1"/>
    <xf numFmtId="0" fontId="1" fillId="0" borderId="20" xfId="0" applyFont="1" applyFill="1" applyBorder="1"/>
    <xf numFmtId="187" fontId="4" fillId="0" borderId="24" xfId="0" applyNumberFormat="1" applyFont="1" applyBorder="1"/>
    <xf numFmtId="0" fontId="1" fillId="0" borderId="25" xfId="0" applyFont="1" applyFill="1" applyBorder="1"/>
    <xf numFmtId="0" fontId="1" fillId="0" borderId="26" xfId="0" applyFont="1" applyBorder="1"/>
    <xf numFmtId="0" fontId="1" fillId="0" borderId="27" xfId="0" applyFont="1" applyBorder="1"/>
    <xf numFmtId="187" fontId="1" fillId="0" borderId="0" xfId="0" applyNumberFormat="1" applyFont="1" applyBorder="1"/>
    <xf numFmtId="0" fontId="1" fillId="4" borderId="7" xfId="0" applyFont="1" applyFill="1" applyBorder="1" applyAlignment="1">
      <alignment horizontal="centerContinuous"/>
    </xf>
    <xf numFmtId="10" fontId="1" fillId="0" borderId="22" xfId="4" applyNumberFormat="1" applyFont="1" applyBorder="1"/>
    <xf numFmtId="187" fontId="2" fillId="0" borderId="24" xfId="0" applyNumberFormat="1" applyFont="1" applyFill="1" applyBorder="1"/>
    <xf numFmtId="187" fontId="2" fillId="0" borderId="22" xfId="0" applyNumberFormat="1" applyFont="1" applyFill="1" applyBorder="1"/>
    <xf numFmtId="187" fontId="1" fillId="0" borderId="22" xfId="0" applyNumberFormat="1" applyFont="1" applyFill="1" applyBorder="1"/>
    <xf numFmtId="187" fontId="4" fillId="0" borderId="22" xfId="0" applyNumberFormat="1" applyFont="1" applyFill="1" applyBorder="1"/>
    <xf numFmtId="0" fontId="1" fillId="0" borderId="22" xfId="0" applyFont="1" applyFill="1" applyBorder="1"/>
    <xf numFmtId="187" fontId="4" fillId="0" borderId="21" xfId="0" applyNumberFormat="1" applyFont="1" applyFill="1" applyBorder="1"/>
    <xf numFmtId="0" fontId="4" fillId="0" borderId="21" xfId="0" applyFont="1" applyBorder="1"/>
    <xf numFmtId="0" fontId="4" fillId="0" borderId="28" xfId="0" applyFont="1" applyBorder="1"/>
    <xf numFmtId="187" fontId="3" fillId="0" borderId="2" xfId="3" applyNumberFormat="1" applyFont="1" applyFill="1" applyBorder="1"/>
    <xf numFmtId="0" fontId="25" fillId="0" borderId="0" xfId="0" applyFont="1"/>
    <xf numFmtId="0" fontId="0" fillId="0" borderId="2" xfId="0" applyBorder="1"/>
    <xf numFmtId="0" fontId="12" fillId="0" borderId="2" xfId="0" applyFont="1" applyBorder="1"/>
    <xf numFmtId="0" fontId="27" fillId="0" borderId="0" xfId="6" applyFont="1" applyFill="1" applyBorder="1" applyAlignment="1">
      <alignment wrapText="1"/>
    </xf>
    <xf numFmtId="0" fontId="27" fillId="6" borderId="0" xfId="6" applyFont="1" applyFill="1" applyBorder="1" applyAlignment="1">
      <alignment wrapText="1"/>
    </xf>
    <xf numFmtId="0" fontId="12" fillId="0" borderId="2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>
      <alignment vertical="top" wrapText="1"/>
    </xf>
    <xf numFmtId="43" fontId="13" fillId="0" borderId="2" xfId="3" applyFont="1" applyFill="1" applyBorder="1"/>
    <xf numFmtId="0" fontId="14" fillId="0" borderId="19" xfId="0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1" fillId="0" borderId="0" xfId="0" applyFont="1"/>
    <xf numFmtId="0" fontId="1" fillId="6" borderId="0" xfId="0" applyFont="1" applyFill="1" applyBorder="1" applyAlignment="1"/>
    <xf numFmtId="0" fontId="1" fillId="6" borderId="10" xfId="0" applyFont="1" applyFill="1" applyBorder="1"/>
    <xf numFmtId="0" fontId="1" fillId="6" borderId="0" xfId="0" applyFont="1" applyFill="1" applyBorder="1"/>
    <xf numFmtId="187" fontId="1" fillId="6" borderId="22" xfId="0" applyNumberFormat="1" applyFont="1" applyFill="1" applyBorder="1"/>
    <xf numFmtId="0" fontId="4" fillId="6" borderId="0" xfId="0" applyFont="1" applyFill="1" applyBorder="1"/>
    <xf numFmtId="187" fontId="4" fillId="6" borderId="22" xfId="0" applyNumberFormat="1" applyFont="1" applyFill="1" applyBorder="1"/>
    <xf numFmtId="0" fontId="8" fillId="0" borderId="2" xfId="0" applyFont="1" applyBorder="1"/>
    <xf numFmtId="0" fontId="1" fillId="4" borderId="23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/>
    </xf>
    <xf numFmtId="0" fontId="1" fillId="0" borderId="2" xfId="0" applyFont="1" applyBorder="1"/>
    <xf numFmtId="0" fontId="4" fillId="13" borderId="2" xfId="0" applyFont="1" applyFill="1" applyBorder="1"/>
    <xf numFmtId="0" fontId="2" fillId="0" borderId="2" xfId="0" applyFont="1" applyBorder="1"/>
    <xf numFmtId="0" fontId="4" fillId="0" borderId="2" xfId="0" applyFont="1" applyBorder="1"/>
    <xf numFmtId="0" fontId="9" fillId="0" borderId="2" xfId="0" applyFont="1" applyFill="1" applyBorder="1"/>
    <xf numFmtId="0" fontId="1" fillId="4" borderId="33" xfId="0" applyFont="1" applyFill="1" applyBorder="1" applyAlignment="1">
      <alignment horizontal="centerContinuous"/>
    </xf>
    <xf numFmtId="0" fontId="4" fillId="13" borderId="16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187" fontId="1" fillId="8" borderId="17" xfId="3" applyNumberFormat="1" applyFont="1" applyFill="1" applyBorder="1"/>
    <xf numFmtId="187" fontId="1" fillId="8" borderId="17" xfId="0" applyNumberFormat="1" applyFont="1" applyFill="1" applyBorder="1"/>
    <xf numFmtId="0" fontId="1" fillId="0" borderId="16" xfId="0" applyFont="1" applyBorder="1" applyAlignment="1">
      <alignment horizontal="center"/>
    </xf>
    <xf numFmtId="187" fontId="2" fillId="8" borderId="17" xfId="0" applyNumberFormat="1" applyFont="1" applyFill="1" applyBorder="1"/>
    <xf numFmtId="0" fontId="4" fillId="13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87" fontId="3" fillId="8" borderId="17" xfId="0" applyNumberFormat="1" applyFont="1" applyFill="1" applyBorder="1"/>
    <xf numFmtId="0" fontId="4" fillId="0" borderId="16" xfId="0" applyFont="1" applyBorder="1" applyAlignment="1">
      <alignment horizontal="center"/>
    </xf>
    <xf numFmtId="187" fontId="4" fillId="8" borderId="17" xfId="0" applyNumberFormat="1" applyFont="1" applyFill="1" applyBorder="1"/>
    <xf numFmtId="187" fontId="4" fillId="0" borderId="17" xfId="0" applyNumberFormat="1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/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4" fontId="15" fillId="6" borderId="2" xfId="0" applyNumberFormat="1" applyFont="1" applyFill="1" applyBorder="1"/>
    <xf numFmtId="43" fontId="15" fillId="0" borderId="2" xfId="3" applyFont="1" applyBorder="1"/>
    <xf numFmtId="0" fontId="15" fillId="0" borderId="2" xfId="0" applyFont="1" applyBorder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5" fillId="0" borderId="0" xfId="0" applyFont="1"/>
    <xf numFmtId="0" fontId="36" fillId="0" borderId="0" xfId="0" applyFont="1"/>
    <xf numFmtId="43" fontId="13" fillId="0" borderId="0" xfId="3" applyFont="1"/>
    <xf numFmtId="0" fontId="3" fillId="0" borderId="0" xfId="0" applyFont="1" applyFill="1"/>
    <xf numFmtId="187" fontId="4" fillId="0" borderId="0" xfId="0" applyNumberFormat="1" applyFont="1" applyFill="1" applyBorder="1" applyAlignment="1"/>
    <xf numFmtId="0" fontId="12" fillId="0" borderId="0" xfId="0" applyFont="1" applyFill="1" applyAlignment="1">
      <alignment horizontal="center"/>
    </xf>
    <xf numFmtId="0" fontId="38" fillId="0" borderId="0" xfId="0" applyFont="1" applyAlignment="1">
      <alignment horizontal="right"/>
    </xf>
    <xf numFmtId="187" fontId="3" fillId="11" borderId="2" xfId="0" applyNumberFormat="1" applyFont="1" applyFill="1" applyBorder="1"/>
    <xf numFmtId="0" fontId="19" fillId="16" borderId="2" xfId="7" applyFont="1" applyFill="1" applyBorder="1" applyAlignment="1"/>
    <xf numFmtId="0" fontId="3" fillId="16" borderId="2" xfId="0" applyFont="1" applyFill="1" applyBorder="1"/>
    <xf numFmtId="0" fontId="0" fillId="16" borderId="0" xfId="0" applyFill="1"/>
    <xf numFmtId="187" fontId="0" fillId="0" borderId="0" xfId="0" applyNumberFormat="1"/>
    <xf numFmtId="0" fontId="13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22" fillId="0" borderId="0" xfId="0" applyFont="1" applyFill="1"/>
    <xf numFmtId="187" fontId="4" fillId="0" borderId="0" xfId="3" applyNumberFormat="1" applyFont="1" applyFill="1" applyBorder="1"/>
    <xf numFmtId="0" fontId="34" fillId="0" borderId="0" xfId="0" applyFont="1" applyFill="1"/>
    <xf numFmtId="187" fontId="3" fillId="0" borderId="0" xfId="3" applyNumberFormat="1" applyFont="1" applyFill="1" applyBorder="1"/>
    <xf numFmtId="0" fontId="12" fillId="0" borderId="0" xfId="0" applyFont="1" applyFill="1"/>
    <xf numFmtId="0" fontId="4" fillId="0" borderId="0" xfId="0" applyFont="1" applyFill="1" applyAlignment="1">
      <alignment vertical="center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187" fontId="3" fillId="18" borderId="2" xfId="3" applyNumberFormat="1" applyFont="1" applyFill="1" applyBorder="1"/>
    <xf numFmtId="0" fontId="8" fillId="18" borderId="2" xfId="0" applyFont="1" applyFill="1" applyBorder="1" applyAlignment="1">
      <alignment horizontal="center"/>
    </xf>
    <xf numFmtId="0" fontId="4" fillId="18" borderId="2" xfId="0" applyFont="1" applyFill="1" applyBorder="1" applyAlignment="1">
      <alignment horizontal="center"/>
    </xf>
    <xf numFmtId="187" fontId="4" fillId="18" borderId="2" xfId="3" applyNumberFormat="1" applyFont="1" applyFill="1" applyBorder="1"/>
    <xf numFmtId="187" fontId="4" fillId="18" borderId="13" xfId="0" applyNumberFormat="1" applyFont="1" applyFill="1" applyBorder="1"/>
    <xf numFmtId="187" fontId="4" fillId="18" borderId="13" xfId="3" applyNumberFormat="1" applyFont="1" applyFill="1" applyBorder="1"/>
    <xf numFmtId="0" fontId="8" fillId="0" borderId="13" xfId="0" applyFont="1" applyFill="1" applyBorder="1" applyAlignment="1">
      <alignment horizontal="center"/>
    </xf>
    <xf numFmtId="0" fontId="4" fillId="0" borderId="13" xfId="0" applyFont="1" applyFill="1" applyBorder="1"/>
    <xf numFmtId="187" fontId="14" fillId="19" borderId="13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/>
    </xf>
    <xf numFmtId="0" fontId="4" fillId="0" borderId="11" xfId="0" applyFont="1" applyFill="1" applyBorder="1"/>
    <xf numFmtId="187" fontId="14" fillId="0" borderId="15" xfId="0" applyNumberFormat="1" applyFont="1" applyFill="1" applyBorder="1" applyAlignment="1">
      <alignment horizontal="right"/>
    </xf>
    <xf numFmtId="0" fontId="12" fillId="0" borderId="8" xfId="0" applyFont="1" applyFill="1" applyBorder="1" applyAlignment="1">
      <alignment horizontal="center"/>
    </xf>
    <xf numFmtId="187" fontId="21" fillId="0" borderId="9" xfId="0" applyNumberFormat="1" applyFont="1" applyFill="1" applyBorder="1" applyAlignment="1"/>
    <xf numFmtId="187" fontId="4" fillId="0" borderId="29" xfId="0" applyNumberFormat="1" applyFont="1" applyFill="1" applyBorder="1" applyAlignment="1"/>
    <xf numFmtId="187" fontId="4" fillId="21" borderId="3" xfId="0" applyNumberFormat="1" applyFont="1" applyFill="1" applyBorder="1" applyAlignment="1"/>
    <xf numFmtId="187" fontId="4" fillId="21" borderId="4" xfId="0" applyNumberFormat="1" applyFont="1" applyFill="1" applyBorder="1" applyAlignment="1"/>
    <xf numFmtId="187" fontId="4" fillId="21" borderId="11" xfId="0" applyNumberFormat="1" applyFont="1" applyFill="1" applyBorder="1" applyAlignment="1"/>
    <xf numFmtId="0" fontId="3" fillId="21" borderId="3" xfId="0" applyFont="1" applyFill="1" applyBorder="1" applyAlignment="1">
      <alignment horizontal="center"/>
    </xf>
    <xf numFmtId="187" fontId="28" fillId="21" borderId="15" xfId="0" applyNumberFormat="1" applyFont="1" applyFill="1" applyBorder="1" applyAlignment="1">
      <alignment horizontal="center" vertical="top"/>
    </xf>
    <xf numFmtId="43" fontId="3" fillId="18" borderId="2" xfId="3" applyFont="1" applyFill="1" applyBorder="1"/>
    <xf numFmtId="0" fontId="4" fillId="18" borderId="0" xfId="0" applyFont="1" applyFill="1" applyAlignment="1">
      <alignment vertical="center"/>
    </xf>
    <xf numFmtId="0" fontId="13" fillId="18" borderId="0" xfId="0" applyFont="1" applyFill="1"/>
    <xf numFmtId="43" fontId="4" fillId="0" borderId="13" xfId="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 wrapText="1"/>
    </xf>
    <xf numFmtId="43" fontId="15" fillId="18" borderId="2" xfId="3" applyFont="1" applyFill="1" applyBorder="1"/>
    <xf numFmtId="43" fontId="3" fillId="17" borderId="2" xfId="3" applyFont="1" applyFill="1" applyBorder="1"/>
    <xf numFmtId="43" fontId="4" fillId="18" borderId="13" xfId="3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43" fontId="3" fillId="18" borderId="0" xfId="0" applyNumberFormat="1" applyFont="1" applyFill="1"/>
    <xf numFmtId="43" fontId="14" fillId="0" borderId="12" xfId="3" applyFont="1" applyBorder="1" applyAlignment="1">
      <alignment vertical="center"/>
    </xf>
    <xf numFmtId="43" fontId="27" fillId="0" borderId="0" xfId="3" applyFont="1" applyFill="1" applyBorder="1" applyAlignment="1">
      <alignment wrapText="1"/>
    </xf>
    <xf numFmtId="43" fontId="27" fillId="6" borderId="0" xfId="3" applyFont="1" applyFill="1" applyBorder="1" applyAlignment="1">
      <alignment wrapText="1"/>
    </xf>
    <xf numFmtId="43" fontId="12" fillId="0" borderId="0" xfId="3" applyFont="1"/>
    <xf numFmtId="43" fontId="19" fillId="6" borderId="2" xfId="6" applyNumberFormat="1" applyFont="1" applyFill="1" applyBorder="1" applyAlignment="1">
      <alignment wrapText="1"/>
    </xf>
    <xf numFmtId="43" fontId="19" fillId="0" borderId="2" xfId="3" applyFont="1" applyFill="1" applyBorder="1" applyAlignment="1">
      <alignment wrapText="1"/>
    </xf>
    <xf numFmtId="43" fontId="3" fillId="0" borderId="2" xfId="0" applyNumberFormat="1" applyFont="1" applyBorder="1"/>
    <xf numFmtId="0" fontId="19" fillId="4" borderId="2" xfId="6" applyFont="1" applyFill="1" applyBorder="1" applyAlignment="1">
      <alignment wrapText="1"/>
    </xf>
    <xf numFmtId="0" fontId="19" fillId="18" borderId="2" xfId="6" applyFont="1" applyFill="1" applyBorder="1" applyAlignment="1">
      <alignment wrapText="1"/>
    </xf>
    <xf numFmtId="0" fontId="3" fillId="18" borderId="2" xfId="0" applyFont="1" applyFill="1" applyBorder="1" applyAlignment="1">
      <alignment horizontal="center"/>
    </xf>
    <xf numFmtId="43" fontId="19" fillId="18" borderId="2" xfId="3" applyFont="1" applyFill="1" applyBorder="1" applyAlignment="1">
      <alignment wrapText="1"/>
    </xf>
    <xf numFmtId="0" fontId="4" fillId="0" borderId="13" xfId="0" applyFont="1" applyBorder="1" applyAlignment="1">
      <alignment horizontal="center" vertical="center"/>
    </xf>
    <xf numFmtId="43" fontId="4" fillId="18" borderId="2" xfId="3" applyFont="1" applyFill="1" applyBorder="1" applyAlignment="1">
      <alignment horizontal="center"/>
    </xf>
    <xf numFmtId="0" fontId="0" fillId="0" borderId="0" xfId="0" applyFill="1"/>
    <xf numFmtId="0" fontId="3" fillId="18" borderId="2" xfId="0" applyFont="1" applyFill="1" applyBorder="1" applyAlignment="1">
      <alignment horizontal="center" vertical="center" wrapText="1"/>
    </xf>
    <xf numFmtId="43" fontId="3" fillId="0" borderId="2" xfId="3" applyFont="1" applyBorder="1"/>
    <xf numFmtId="0" fontId="4" fillId="17" borderId="2" xfId="0" applyFont="1" applyFill="1" applyBorder="1" applyAlignment="1">
      <alignment horizontal="center"/>
    </xf>
    <xf numFmtId="43" fontId="4" fillId="17" borderId="13" xfId="3" applyFont="1" applyFill="1" applyBorder="1" applyAlignment="1">
      <alignment horizontal="center" vertical="center"/>
    </xf>
    <xf numFmtId="0" fontId="14" fillId="0" borderId="3" xfId="0" applyFont="1" applyBorder="1" applyAlignment="1"/>
    <xf numFmtId="0" fontId="14" fillId="0" borderId="30" xfId="0" applyFont="1" applyBorder="1" applyAlignment="1"/>
    <xf numFmtId="0" fontId="14" fillId="0" borderId="4" xfId="0" applyFont="1" applyBorder="1" applyAlignment="1"/>
    <xf numFmtId="0" fontId="3" fillId="0" borderId="9" xfId="0" applyFont="1" applyBorder="1"/>
    <xf numFmtId="43" fontId="3" fillId="18" borderId="2" xfId="3" applyFont="1" applyFill="1" applyBorder="1" applyAlignment="1">
      <alignment vertical="top" wrapText="1"/>
    </xf>
    <xf numFmtId="0" fontId="4" fillId="18" borderId="2" xfId="0" applyFont="1" applyFill="1" applyBorder="1"/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187" fontId="3" fillId="0" borderId="2" xfId="0" applyNumberFormat="1" applyFont="1" applyBorder="1"/>
    <xf numFmtId="187" fontId="3" fillId="22" borderId="2" xfId="0" applyNumberFormat="1" applyFont="1" applyFill="1" applyBorder="1"/>
    <xf numFmtId="187" fontId="4" fillId="19" borderId="2" xfId="0" applyNumberFormat="1" applyFont="1" applyFill="1" applyBorder="1" applyAlignment="1">
      <alignment horizontal="center"/>
    </xf>
    <xf numFmtId="43" fontId="3" fillId="22" borderId="2" xfId="0" applyNumberFormat="1" applyFont="1" applyFill="1" applyBorder="1"/>
    <xf numFmtId="0" fontId="3" fillId="20" borderId="2" xfId="0" applyFont="1" applyFill="1" applyBorder="1" applyAlignment="1">
      <alignment horizontal="center" vertical="center" wrapText="1"/>
    </xf>
    <xf numFmtId="187" fontId="3" fillId="20" borderId="2" xfId="0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1" fillId="0" borderId="0" xfId="0" applyFont="1" applyAlignment="1">
      <alignment horizontal="center" vertical="top" wrapText="1"/>
    </xf>
    <xf numFmtId="0" fontId="40" fillId="0" borderId="0" xfId="0" applyFont="1" applyFill="1" applyAlignment="1">
      <alignment horizontal="center" vertical="top" wrapText="1"/>
    </xf>
    <xf numFmtId="0" fontId="41" fillId="0" borderId="0" xfId="0" applyFont="1" applyFill="1" applyAlignment="1">
      <alignment horizontal="center" vertical="top" wrapText="1"/>
    </xf>
    <xf numFmtId="0" fontId="39" fillId="0" borderId="2" xfId="0" applyFont="1" applyFill="1" applyBorder="1" applyAlignment="1">
      <alignment horizontal="center" vertical="center" wrapText="1" readingOrder="1"/>
    </xf>
    <xf numFmtId="0" fontId="7" fillId="23" borderId="39" xfId="0" applyFont="1" applyFill="1" applyBorder="1" applyAlignment="1">
      <alignment horizontal="center" vertical="center" wrapText="1" readingOrder="1"/>
    </xf>
    <xf numFmtId="0" fontId="15" fillId="22" borderId="2" xfId="0" applyFont="1" applyFill="1" applyBorder="1" applyAlignment="1">
      <alignment horizontal="center" vertical="center" wrapText="1"/>
    </xf>
    <xf numFmtId="187" fontId="3" fillId="0" borderId="14" xfId="3" applyNumberFormat="1" applyFont="1" applyBorder="1"/>
    <xf numFmtId="187" fontId="3" fillId="0" borderId="2" xfId="3" applyNumberFormat="1" applyFont="1" applyBorder="1"/>
    <xf numFmtId="187" fontId="4" fillId="0" borderId="13" xfId="3" applyNumberFormat="1" applyFont="1" applyFill="1" applyBorder="1"/>
    <xf numFmtId="43" fontId="3" fillId="0" borderId="2" xfId="3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34" fillId="6" borderId="0" xfId="0" applyFont="1" applyFill="1" applyBorder="1" applyAlignment="1">
      <alignment horizontal="center"/>
    </xf>
    <xf numFmtId="0" fontId="42" fillId="23" borderId="39" xfId="0" applyFont="1" applyFill="1" applyBorder="1" applyAlignment="1">
      <alignment horizontal="center" vertical="center" wrapText="1" readingOrder="1"/>
    </xf>
    <xf numFmtId="0" fontId="42" fillId="23" borderId="40" xfId="0" applyFont="1" applyFill="1" applyBorder="1" applyAlignment="1">
      <alignment horizontal="center" vertical="center" wrapText="1" readingOrder="1"/>
    </xf>
    <xf numFmtId="0" fontId="42" fillId="23" borderId="40" xfId="0" applyFont="1" applyFill="1" applyBorder="1" applyAlignment="1">
      <alignment horizontal="left" vertical="center" wrapText="1" readingOrder="1"/>
    </xf>
    <xf numFmtId="0" fontId="1" fillId="23" borderId="40" xfId="0" applyFont="1" applyFill="1" applyBorder="1" applyAlignment="1">
      <alignment horizontal="center" vertical="top" wrapText="1"/>
    </xf>
    <xf numFmtId="0" fontId="43" fillId="23" borderId="40" xfId="0" applyFont="1" applyFill="1" applyBorder="1" applyAlignment="1">
      <alignment horizontal="left" vertical="center" wrapText="1" readingOrder="1"/>
    </xf>
    <xf numFmtId="0" fontId="1" fillId="23" borderId="41" xfId="0" applyFont="1" applyFill="1" applyBorder="1" applyAlignment="1">
      <alignment horizontal="center" vertical="top" wrapText="1"/>
    </xf>
    <xf numFmtId="0" fontId="42" fillId="23" borderId="41" xfId="0" applyFont="1" applyFill="1" applyBorder="1" applyAlignment="1">
      <alignment horizontal="left" vertical="center" wrapText="1" readingOrder="1"/>
    </xf>
    <xf numFmtId="0" fontId="44" fillId="24" borderId="42" xfId="0" applyFont="1" applyFill="1" applyBorder="1" applyAlignment="1">
      <alignment horizontal="center" vertical="center" wrapText="1" readingOrder="1"/>
    </xf>
    <xf numFmtId="0" fontId="44" fillId="25" borderId="43" xfId="0" applyFont="1" applyFill="1" applyBorder="1" applyAlignment="1">
      <alignment horizontal="center" vertical="center" wrapText="1" readingOrder="1"/>
    </xf>
    <xf numFmtId="0" fontId="34" fillId="25" borderId="43" xfId="0" applyFont="1" applyFill="1" applyBorder="1" applyAlignment="1">
      <alignment horizontal="center" vertical="center" wrapText="1" readingOrder="1"/>
    </xf>
    <xf numFmtId="0" fontId="44" fillId="24" borderId="43" xfId="0" applyFont="1" applyFill="1" applyBorder="1" applyAlignment="1">
      <alignment horizontal="center" vertical="center" wrapText="1" readingOrder="1"/>
    </xf>
    <xf numFmtId="0" fontId="34" fillId="24" borderId="43" xfId="0" applyFont="1" applyFill="1" applyBorder="1" applyAlignment="1">
      <alignment horizontal="center" vertical="center" wrapText="1" readingOrder="1"/>
    </xf>
    <xf numFmtId="0" fontId="44" fillId="24" borderId="39" xfId="0" applyFont="1" applyFill="1" applyBorder="1" applyAlignment="1">
      <alignment horizontal="center" vertical="center" wrapText="1" readingOrder="1"/>
    </xf>
    <xf numFmtId="0" fontId="44" fillId="25" borderId="39" xfId="0" applyFont="1" applyFill="1" applyBorder="1" applyAlignment="1">
      <alignment horizontal="center" vertical="center" wrapText="1" readingOrder="1"/>
    </xf>
    <xf numFmtId="0" fontId="34" fillId="25" borderId="39" xfId="0" applyFont="1" applyFill="1" applyBorder="1" applyAlignment="1">
      <alignment horizontal="center" vertical="center" wrapText="1" readingOrder="1"/>
    </xf>
    <xf numFmtId="0" fontId="34" fillId="24" borderId="39" xfId="0" applyFont="1" applyFill="1" applyBorder="1" applyAlignment="1">
      <alignment horizontal="center" vertical="center" wrapText="1" readingOrder="1"/>
    </xf>
    <xf numFmtId="0" fontId="44" fillId="24" borderId="42" xfId="0" applyFont="1" applyFill="1" applyBorder="1" applyAlignment="1">
      <alignment horizontal="left" vertical="center" readingOrder="1"/>
    </xf>
    <xf numFmtId="0" fontId="44" fillId="25" borderId="43" xfId="0" applyFont="1" applyFill="1" applyBorder="1" applyAlignment="1">
      <alignment horizontal="left" vertical="center" readingOrder="1"/>
    </xf>
    <xf numFmtId="0" fontId="44" fillId="24" borderId="39" xfId="0" applyFont="1" applyFill="1" applyBorder="1" applyAlignment="1">
      <alignment horizontal="left" vertical="center" readingOrder="1"/>
    </xf>
    <xf numFmtId="0" fontId="44" fillId="25" borderId="39" xfId="0" applyFont="1" applyFill="1" applyBorder="1" applyAlignment="1">
      <alignment horizontal="left" vertical="center" readingOrder="1"/>
    </xf>
    <xf numFmtId="0" fontId="44" fillId="24" borderId="43" xfId="0" applyFont="1" applyFill="1" applyBorder="1" applyAlignment="1">
      <alignment horizontal="left" vertical="center" readingOrder="1"/>
    </xf>
    <xf numFmtId="0" fontId="1" fillId="0" borderId="2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0" fontId="36" fillId="6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49" fontId="39" fillId="0" borderId="3" xfId="3" applyNumberFormat="1" applyFont="1" applyFill="1" applyBorder="1" applyAlignment="1">
      <alignment horizontal="center" vertical="center" wrapText="1"/>
    </xf>
    <xf numFmtId="187" fontId="3" fillId="0" borderId="3" xfId="3" applyNumberFormat="1" applyFont="1" applyFill="1" applyBorder="1"/>
    <xf numFmtId="187" fontId="3" fillId="5" borderId="2" xfId="3" applyNumberFormat="1" applyFont="1" applyFill="1" applyBorder="1"/>
    <xf numFmtId="187" fontId="4" fillId="5" borderId="2" xfId="3" applyNumberFormat="1" applyFont="1" applyFill="1" applyBorder="1"/>
    <xf numFmtId="43" fontId="0" fillId="0" borderId="0" xfId="3" applyFont="1"/>
    <xf numFmtId="49" fontId="39" fillId="5" borderId="3" xfId="3" applyNumberFormat="1" applyFont="1" applyFill="1" applyBorder="1" applyAlignment="1">
      <alignment horizontal="center" vertical="center" wrapText="1"/>
    </xf>
    <xf numFmtId="187" fontId="0" fillId="5" borderId="0" xfId="0" applyNumberFormat="1" applyFill="1" applyAlignment="1">
      <alignment horizontal="center"/>
    </xf>
    <xf numFmtId="43" fontId="0" fillId="5" borderId="0" xfId="3" applyFont="1" applyFill="1"/>
    <xf numFmtId="0" fontId="29" fillId="0" borderId="0" xfId="0" applyFont="1" applyFill="1" applyAlignment="1">
      <alignment horizontal="center"/>
    </xf>
    <xf numFmtId="43" fontId="29" fillId="0" borderId="0" xfId="3" applyFont="1" applyFill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22" fillId="19" borderId="0" xfId="0" applyFont="1" applyFill="1"/>
    <xf numFmtId="0" fontId="13" fillId="26" borderId="0" xfId="0" applyFont="1" applyFill="1"/>
    <xf numFmtId="0" fontId="3" fillId="2" borderId="0" xfId="0" applyFont="1" applyFill="1"/>
    <xf numFmtId="0" fontId="46" fillId="23" borderId="39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left" vertical="center" wrapText="1" readingOrder="1"/>
    </xf>
    <xf numFmtId="0" fontId="12" fillId="23" borderId="40" xfId="0" applyFont="1" applyFill="1" applyBorder="1" applyAlignment="1">
      <alignment horizontal="center" vertical="top" wrapText="1"/>
    </xf>
    <xf numFmtId="0" fontId="47" fillId="23" borderId="40" xfId="0" applyFont="1" applyFill="1" applyBorder="1" applyAlignment="1">
      <alignment horizontal="left" vertical="center" wrapText="1" readingOrder="1"/>
    </xf>
    <xf numFmtId="0" fontId="12" fillId="23" borderId="41" xfId="0" applyFont="1" applyFill="1" applyBorder="1" applyAlignment="1">
      <alignment horizontal="center" vertical="top" wrapText="1"/>
    </xf>
    <xf numFmtId="0" fontId="46" fillId="23" borderId="41" xfId="0" applyFont="1" applyFill="1" applyBorder="1" applyAlignment="1">
      <alignment horizontal="left" vertical="center" wrapText="1" readingOrder="1"/>
    </xf>
    <xf numFmtId="0" fontId="48" fillId="24" borderId="42" xfId="0" applyFont="1" applyFill="1" applyBorder="1" applyAlignment="1">
      <alignment horizontal="center" vertical="center" wrapText="1" readingOrder="1"/>
    </xf>
    <xf numFmtId="0" fontId="48" fillId="24" borderId="42" xfId="0" applyFont="1" applyFill="1" applyBorder="1" applyAlignment="1">
      <alignment horizontal="left" vertical="center" readingOrder="1"/>
    </xf>
    <xf numFmtId="0" fontId="48" fillId="25" borderId="43" xfId="0" applyFont="1" applyFill="1" applyBorder="1" applyAlignment="1">
      <alignment horizontal="center" vertical="center" wrapText="1" readingOrder="1"/>
    </xf>
    <xf numFmtId="0" fontId="49" fillId="25" borderId="43" xfId="0" applyFont="1" applyFill="1" applyBorder="1" applyAlignment="1">
      <alignment horizontal="center" vertical="center" wrapText="1" readingOrder="1"/>
    </xf>
    <xf numFmtId="0" fontId="48" fillId="25" borderId="43" xfId="0" applyFont="1" applyFill="1" applyBorder="1" applyAlignment="1">
      <alignment horizontal="left" vertical="center" readingOrder="1"/>
    </xf>
    <xf numFmtId="0" fontId="48" fillId="24" borderId="39" xfId="0" applyFont="1" applyFill="1" applyBorder="1" applyAlignment="1">
      <alignment horizontal="center" vertical="center" wrapText="1" readingOrder="1"/>
    </xf>
    <xf numFmtId="0" fontId="48" fillId="24" borderId="39" xfId="0" applyFont="1" applyFill="1" applyBorder="1" applyAlignment="1">
      <alignment horizontal="left" vertical="center" readingOrder="1"/>
    </xf>
    <xf numFmtId="0" fontId="48" fillId="25" borderId="39" xfId="0" applyFont="1" applyFill="1" applyBorder="1" applyAlignment="1">
      <alignment horizontal="center" vertical="center" wrapText="1" readingOrder="1"/>
    </xf>
    <xf numFmtId="0" fontId="49" fillId="25" borderId="39" xfId="0" applyFont="1" applyFill="1" applyBorder="1" applyAlignment="1">
      <alignment horizontal="center" vertical="center" wrapText="1" readingOrder="1"/>
    </xf>
    <xf numFmtId="0" fontId="48" fillId="25" borderId="39" xfId="0" applyFont="1" applyFill="1" applyBorder="1" applyAlignment="1">
      <alignment horizontal="left" vertical="center" readingOrder="1"/>
    </xf>
    <xf numFmtId="0" fontId="48" fillId="24" borderId="43" xfId="0" applyFont="1" applyFill="1" applyBorder="1" applyAlignment="1">
      <alignment horizontal="center" vertical="center" wrapText="1" readingOrder="1"/>
    </xf>
    <xf numFmtId="0" fontId="49" fillId="24" borderId="43" xfId="0" applyFont="1" applyFill="1" applyBorder="1" applyAlignment="1">
      <alignment horizontal="center" vertical="center" wrapText="1" readingOrder="1"/>
    </xf>
    <xf numFmtId="0" fontId="48" fillId="24" borderId="43" xfId="0" applyFont="1" applyFill="1" applyBorder="1" applyAlignment="1">
      <alignment horizontal="left" vertical="center" readingOrder="1"/>
    </xf>
    <xf numFmtId="0" fontId="49" fillId="24" borderId="39" xfId="0" applyFont="1" applyFill="1" applyBorder="1" applyAlignment="1">
      <alignment horizontal="center" vertical="center" wrapText="1" readingOrder="1"/>
    </xf>
    <xf numFmtId="0" fontId="3" fillId="4" borderId="0" xfId="0" applyFont="1" applyFill="1"/>
    <xf numFmtId="0" fontId="3" fillId="15" borderId="0" xfId="0" applyFont="1" applyFill="1"/>
    <xf numFmtId="0" fontId="3" fillId="27" borderId="0" xfId="0" applyFont="1" applyFill="1"/>
    <xf numFmtId="0" fontId="50" fillId="0" borderId="0" xfId="0" applyFont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187" fontId="31" fillId="0" borderId="0" xfId="0" applyNumberFormat="1" applyFont="1"/>
    <xf numFmtId="0" fontId="39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2" fillId="0" borderId="0" xfId="0" applyFont="1"/>
    <xf numFmtId="0" fontId="40" fillId="18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vertical="top"/>
    </xf>
    <xf numFmtId="0" fontId="3" fillId="9" borderId="0" xfId="0" applyFont="1" applyFill="1" applyBorder="1" applyAlignment="1">
      <alignment vertical="top"/>
    </xf>
    <xf numFmtId="0" fontId="3" fillId="10" borderId="0" xfId="0" applyFont="1" applyFill="1" applyAlignment="1">
      <alignment horizontal="center" vertical="top"/>
    </xf>
    <xf numFmtId="0" fontId="3" fillId="10" borderId="0" xfId="0" applyFont="1" applyFill="1" applyAlignment="1">
      <alignment vertical="top"/>
    </xf>
    <xf numFmtId="0" fontId="37" fillId="14" borderId="38" xfId="8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19" fillId="0" borderId="1" xfId="8" applyFont="1" applyFill="1" applyBorder="1" applyAlignment="1">
      <alignment vertical="top"/>
    </xf>
    <xf numFmtId="0" fontId="37" fillId="0" borderId="1" xfId="8" applyFont="1" applyFill="1" applyBorder="1" applyAlignment="1">
      <alignment horizontal="right" vertical="top"/>
    </xf>
    <xf numFmtId="0" fontId="37" fillId="0" borderId="1" xfId="8" applyFont="1" applyFill="1" applyBorder="1" applyAlignment="1">
      <alignment vertical="top"/>
    </xf>
    <xf numFmtId="0" fontId="19" fillId="19" borderId="1" xfId="8" applyFont="1" applyFill="1" applyBorder="1" applyAlignment="1">
      <alignment vertical="top"/>
    </xf>
    <xf numFmtId="0" fontId="12" fillId="0" borderId="0" xfId="0" applyFont="1" applyFill="1" applyAlignment="1">
      <alignment horizontal="center" vertical="top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vertical="top"/>
    </xf>
    <xf numFmtId="43" fontId="3" fillId="19" borderId="2" xfId="0" applyNumberFormat="1" applyFont="1" applyFill="1" applyBorder="1"/>
    <xf numFmtId="0" fontId="3" fillId="19" borderId="0" xfId="0" applyFont="1" applyFill="1" applyAlignment="1">
      <alignment vertical="top"/>
    </xf>
    <xf numFmtId="0" fontId="45" fillId="0" borderId="0" xfId="0" applyFont="1" applyAlignment="1">
      <alignment vertical="top"/>
    </xf>
    <xf numFmtId="0" fontId="4" fillId="7" borderId="11" xfId="0" applyFont="1" applyFill="1" applyBorder="1" applyAlignment="1">
      <alignment horizontal="centerContinuous" vertical="top"/>
    </xf>
    <xf numFmtId="0" fontId="45" fillId="7" borderId="12" xfId="0" applyFont="1" applyFill="1" applyBorder="1" applyAlignment="1">
      <alignment horizontal="centerContinuous" vertical="top"/>
    </xf>
    <xf numFmtId="0" fontId="45" fillId="7" borderId="0" xfId="0" applyFont="1" applyFill="1" applyBorder="1" applyAlignment="1">
      <alignment horizontal="centerContinuous" vertical="top"/>
    </xf>
    <xf numFmtId="0" fontId="19" fillId="16" borderId="1" xfId="8" applyFont="1" applyFill="1" applyBorder="1" applyAlignment="1">
      <alignment vertical="top"/>
    </xf>
    <xf numFmtId="0" fontId="19" fillId="4" borderId="1" xfId="8" applyFont="1" applyFill="1" applyBorder="1" applyAlignment="1">
      <alignment vertical="top"/>
    </xf>
    <xf numFmtId="43" fontId="1" fillId="0" borderId="0" xfId="3" applyFont="1"/>
    <xf numFmtId="43" fontId="4" fillId="0" borderId="0" xfId="3" applyFont="1"/>
    <xf numFmtId="0" fontId="4" fillId="0" borderId="2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0" fontId="55" fillId="0" borderId="1" xfId="9" applyFont="1" applyFill="1" applyBorder="1" applyAlignment="1"/>
    <xf numFmtId="0" fontId="55" fillId="0" borderId="1" xfId="8" applyFont="1" applyFill="1" applyBorder="1" applyAlignment="1"/>
    <xf numFmtId="0" fontId="4" fillId="0" borderId="0" xfId="0" applyFont="1" applyFill="1" applyBorder="1" applyAlignment="1"/>
    <xf numFmtId="0" fontId="3" fillId="0" borderId="2" xfId="0" applyFont="1" applyFill="1" applyBorder="1" applyAlignment="1"/>
    <xf numFmtId="43" fontId="3" fillId="0" borderId="2" xfId="3" applyFont="1" applyFill="1" applyBorder="1" applyAlignment="1"/>
    <xf numFmtId="43" fontId="3" fillId="0" borderId="2" xfId="0" applyNumberFormat="1" applyFont="1" applyFill="1" applyBorder="1" applyAlignment="1">
      <alignment horizontal="center" wrapText="1"/>
    </xf>
    <xf numFmtId="43" fontId="3" fillId="0" borderId="2" xfId="3" applyFont="1" applyFill="1" applyBorder="1" applyAlignment="1">
      <alignment horizontal="left"/>
    </xf>
    <xf numFmtId="43" fontId="3" fillId="0" borderId="13" xfId="0" applyNumberFormat="1" applyFont="1" applyFill="1" applyBorder="1" applyAlignment="1">
      <alignment horizontal="center" wrapText="1"/>
    </xf>
    <xf numFmtId="0" fontId="3" fillId="0" borderId="0" xfId="0" applyFont="1" applyFill="1" applyAlignment="1"/>
    <xf numFmtId="0" fontId="4" fillId="0" borderId="44" xfId="0" applyFont="1" applyFill="1" applyBorder="1" applyAlignment="1">
      <alignment horizontal="center"/>
    </xf>
    <xf numFmtId="43" fontId="4" fillId="0" borderId="45" xfId="0" applyNumberFormat="1" applyFont="1" applyFill="1" applyBorder="1" applyAlignment="1"/>
    <xf numFmtId="43" fontId="4" fillId="0" borderId="45" xfId="3" applyFont="1" applyFill="1" applyBorder="1" applyAlignment="1"/>
    <xf numFmtId="43" fontId="4" fillId="0" borderId="46" xfId="0" applyNumberFormat="1" applyFont="1" applyFill="1" applyBorder="1" applyAlignment="1">
      <alignment horizontal="center" wrapText="1"/>
    </xf>
    <xf numFmtId="43" fontId="4" fillId="0" borderId="47" xfId="0" applyNumberFormat="1" applyFont="1" applyFill="1" applyBorder="1" applyAlignment="1">
      <alignment horizontal="center" wrapText="1"/>
    </xf>
    <xf numFmtId="43" fontId="3" fillId="0" borderId="0" xfId="3" applyFont="1" applyFill="1" applyAlignment="1"/>
    <xf numFmtId="0" fontId="8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0" fontId="53" fillId="0" borderId="0" xfId="0" applyFont="1" applyBorder="1"/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43" fontId="3" fillId="0" borderId="14" xfId="3" applyFont="1" applyBorder="1" applyAlignment="1">
      <alignment horizontal="center"/>
    </xf>
    <xf numFmtId="43" fontId="4" fillId="0" borderId="2" xfId="3" applyFont="1" applyBorder="1" applyAlignment="1">
      <alignment horizontal="center"/>
    </xf>
    <xf numFmtId="43" fontId="0" fillId="0" borderId="0" xfId="0" applyNumberFormat="1"/>
    <xf numFmtId="43" fontId="3" fillId="0" borderId="2" xfId="3" applyFont="1" applyBorder="1" applyAlignment="1">
      <alignment horizontal="center"/>
    </xf>
    <xf numFmtId="43" fontId="4" fillId="0" borderId="4" xfId="0" applyNumberFormat="1" applyFont="1" applyBorder="1" applyAlignment="1">
      <alignment horizontal="center" vertical="center"/>
    </xf>
    <xf numFmtId="43" fontId="4" fillId="0" borderId="4" xfId="3" applyFont="1" applyBorder="1" applyAlignment="1">
      <alignment horizontal="center" vertical="center"/>
    </xf>
    <xf numFmtId="43" fontId="4" fillId="0" borderId="2" xfId="3" applyFont="1" applyBorder="1"/>
    <xf numFmtId="0" fontId="8" fillId="0" borderId="2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43" fontId="12" fillId="0" borderId="0" xfId="0" applyNumberFormat="1" applyFont="1"/>
    <xf numFmtId="43" fontId="12" fillId="0" borderId="2" xfId="0" applyNumberFormat="1" applyFont="1" applyBorder="1"/>
    <xf numFmtId="43" fontId="8" fillId="4" borderId="2" xfId="0" applyNumberFormat="1" applyFont="1" applyFill="1" applyBorder="1"/>
    <xf numFmtId="0" fontId="53" fillId="0" borderId="0" xfId="0" applyFont="1"/>
    <xf numFmtId="0" fontId="2" fillId="0" borderId="2" xfId="0" applyFont="1" applyFill="1" applyBorder="1" applyAlignment="1">
      <alignment horizontal="center" vertical="center" wrapText="1"/>
    </xf>
    <xf numFmtId="43" fontId="3" fillId="0" borderId="0" xfId="3" applyFont="1"/>
    <xf numFmtId="43" fontId="2" fillId="0" borderId="2" xfId="3" applyFont="1" applyBorder="1" applyAlignment="1">
      <alignment horizontal="center" vertical="center" wrapText="1"/>
    </xf>
    <xf numFmtId="0" fontId="54" fillId="4" borderId="2" xfId="2" applyFont="1" applyFill="1" applyBorder="1" applyAlignment="1">
      <alignment horizontal="center" vertical="center"/>
    </xf>
    <xf numFmtId="0" fontId="54" fillId="0" borderId="2" xfId="2" applyFont="1" applyFill="1" applyBorder="1" applyAlignment="1">
      <alignment horizontal="center" vertical="center"/>
    </xf>
    <xf numFmtId="43" fontId="15" fillId="0" borderId="2" xfId="3" applyFont="1" applyFill="1" applyBorder="1"/>
    <xf numFmtId="43" fontId="15" fillId="4" borderId="2" xfId="3" applyFont="1" applyFill="1" applyBorder="1"/>
    <xf numFmtId="43" fontId="3" fillId="4" borderId="2" xfId="3" applyFont="1" applyFill="1" applyBorder="1"/>
    <xf numFmtId="4" fontId="3" fillId="0" borderId="2" xfId="0" applyNumberFormat="1" applyFont="1" applyBorder="1" applyAlignment="1">
      <alignment vertical="top"/>
    </xf>
    <xf numFmtId="43" fontId="3" fillId="29" borderId="2" xfId="0" applyNumberFormat="1" applyFont="1" applyFill="1" applyBorder="1"/>
    <xf numFmtId="43" fontId="3" fillId="29" borderId="2" xfId="3" applyFont="1" applyFill="1" applyBorder="1"/>
    <xf numFmtId="43" fontId="15" fillId="0" borderId="2" xfId="3" applyFont="1" applyBorder="1" applyAlignment="1" applyProtection="1">
      <alignment vertical="center"/>
    </xf>
    <xf numFmtId="0" fontId="19" fillId="0" borderId="2" xfId="1" applyFont="1" applyFill="1" applyBorder="1" applyAlignment="1"/>
    <xf numFmtId="43" fontId="3" fillId="4" borderId="2" xfId="0" applyNumberFormat="1" applyFont="1" applyFill="1" applyBorder="1"/>
    <xf numFmtId="0" fontId="3" fillId="4" borderId="2" xfId="0" applyFont="1" applyFill="1" applyBorder="1"/>
    <xf numFmtId="0" fontId="8" fillId="0" borderId="2" xfId="0" applyFont="1" applyBorder="1" applyAlignment="1">
      <alignment horizontal="center" vertical="center"/>
    </xf>
    <xf numFmtId="43" fontId="15" fillId="6" borderId="2" xfId="3" applyFont="1" applyFill="1" applyBorder="1"/>
    <xf numFmtId="43" fontId="3" fillId="18" borderId="2" xfId="0" applyNumberFormat="1" applyFont="1" applyFill="1" applyBorder="1"/>
    <xf numFmtId="0" fontId="3" fillId="18" borderId="2" xfId="0" applyFont="1" applyFill="1" applyBorder="1" applyAlignment="1">
      <alignment horizontal="center" vertical="center"/>
    </xf>
    <xf numFmtId="43" fontId="3" fillId="18" borderId="2" xfId="3" applyFont="1" applyFill="1" applyBorder="1" applyAlignment="1">
      <alignment horizontal="center" vertical="center" wrapText="1"/>
    </xf>
    <xf numFmtId="0" fontId="4" fillId="18" borderId="14" xfId="0" applyFont="1" applyFill="1" applyBorder="1" applyAlignment="1">
      <alignment horizontal="center" vertical="center"/>
    </xf>
    <xf numFmtId="43" fontId="7" fillId="18" borderId="2" xfId="3" applyFont="1" applyFill="1" applyBorder="1"/>
    <xf numFmtId="43" fontId="4" fillId="18" borderId="2" xfId="3" applyFont="1" applyFill="1" applyBorder="1"/>
    <xf numFmtId="43" fontId="4" fillId="18" borderId="2" xfId="0" applyNumberFormat="1" applyFont="1" applyFill="1" applyBorder="1"/>
    <xf numFmtId="43" fontId="4" fillId="18" borderId="14" xfId="0" applyNumberFormat="1" applyFont="1" applyFill="1" applyBorder="1" applyAlignment="1">
      <alignment horizontal="center" vertical="center" wrapText="1"/>
    </xf>
    <xf numFmtId="43" fontId="8" fillId="0" borderId="2" xfId="3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28" borderId="2" xfId="0" applyFont="1" applyFill="1" applyBorder="1" applyAlignment="1">
      <alignment horizontal="center" vertical="center" wrapText="1"/>
    </xf>
    <xf numFmtId="43" fontId="4" fillId="28" borderId="3" xfId="0" applyNumberFormat="1" applyFont="1" applyFill="1" applyBorder="1" applyAlignment="1"/>
    <xf numFmtId="43" fontId="4" fillId="28" borderId="30" xfId="0" applyNumberFormat="1" applyFont="1" applyFill="1" applyBorder="1" applyAlignment="1"/>
    <xf numFmtId="43" fontId="4" fillId="28" borderId="4" xfId="0" applyNumberFormat="1" applyFont="1" applyFill="1" applyBorder="1" applyAlignment="1"/>
    <xf numFmtId="43" fontId="4" fillId="28" borderId="4" xfId="0" applyNumberFormat="1" applyFont="1" applyFill="1" applyBorder="1" applyAlignment="1">
      <alignment horizontal="center" vertical="center"/>
    </xf>
    <xf numFmtId="43" fontId="4" fillId="28" borderId="2" xfId="0" applyNumberFormat="1" applyFont="1" applyFill="1" applyBorder="1" applyAlignment="1"/>
    <xf numFmtId="0" fontId="3" fillId="0" borderId="2" xfId="0" applyFont="1" applyBorder="1" applyAlignment="1">
      <alignment horizontal="left" vertical="center" wrapText="1"/>
    </xf>
    <xf numFmtId="43" fontId="3" fillId="0" borderId="2" xfId="3" applyFont="1" applyBorder="1" applyAlignment="1">
      <alignment horizontal="center" vertical="center" wrapText="1"/>
    </xf>
    <xf numFmtId="43" fontId="3" fillId="0" borderId="2" xfId="3" applyFont="1" applyBorder="1" applyAlignment="1">
      <alignment horizontal="center" vertical="center"/>
    </xf>
    <xf numFmtId="43" fontId="3" fillId="17" borderId="13" xfId="3" applyFont="1" applyFill="1" applyBorder="1" applyAlignment="1">
      <alignment horizontal="center" vertical="center"/>
    </xf>
    <xf numFmtId="43" fontId="3" fillId="17" borderId="2" xfId="3" applyFont="1" applyFill="1" applyBorder="1" applyAlignment="1">
      <alignment horizontal="center" vertical="center"/>
    </xf>
    <xf numFmtId="43" fontId="3" fillId="17" borderId="4" xfId="3" applyFont="1" applyFill="1" applyBorder="1" applyAlignment="1">
      <alignment horizontal="center" vertical="center"/>
    </xf>
    <xf numFmtId="43" fontId="57" fillId="0" borderId="0" xfId="0" applyNumberFormat="1" applyFont="1"/>
    <xf numFmtId="0" fontId="4" fillId="0" borderId="2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/>
    </xf>
    <xf numFmtId="187" fontId="1" fillId="16" borderId="0" xfId="0" applyNumberFormat="1" applyFont="1" applyFill="1"/>
    <xf numFmtId="0" fontId="1" fillId="16" borderId="0" xfId="0" applyFont="1" applyFill="1"/>
    <xf numFmtId="43" fontId="2" fillId="16" borderId="2" xfId="3" applyFont="1" applyFill="1" applyBorder="1" applyAlignment="1">
      <alignment horizontal="center" vertical="center"/>
    </xf>
    <xf numFmtId="43" fontId="1" fillId="16" borderId="0" xfId="3" applyFont="1" applyFill="1"/>
    <xf numFmtId="0" fontId="7" fillId="18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15" fillId="0" borderId="2" xfId="0" applyFont="1" applyFill="1" applyBorder="1" applyAlignment="1">
      <alignment wrapText="1"/>
    </xf>
    <xf numFmtId="43" fontId="15" fillId="0" borderId="14" xfId="10" applyFont="1" applyFill="1" applyBorder="1" applyAlignment="1">
      <alignment horizontal="right"/>
    </xf>
    <xf numFmtId="0" fontId="15" fillId="0" borderId="2" xfId="0" applyFont="1" applyFill="1" applyBorder="1" applyAlignment="1"/>
    <xf numFmtId="0" fontId="25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43" fontId="0" fillId="17" borderId="0" xfId="3" applyFont="1" applyFill="1"/>
    <xf numFmtId="0" fontId="0" fillId="17" borderId="0" xfId="0" applyFill="1"/>
    <xf numFmtId="43" fontId="0" fillId="17" borderId="0" xfId="0" applyNumberFormat="1" applyFill="1"/>
    <xf numFmtId="43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 wrapText="1"/>
    </xf>
    <xf numFmtId="43" fontId="3" fillId="0" borderId="2" xfId="0" applyNumberFormat="1" applyFont="1" applyBorder="1" applyAlignment="1">
      <alignment vertical="top" wrapText="1"/>
    </xf>
    <xf numFmtId="43" fontId="19" fillId="4" borderId="2" xfId="3" applyFont="1" applyFill="1" applyBorder="1" applyAlignment="1">
      <alignment wrapText="1"/>
    </xf>
    <xf numFmtId="43" fontId="19" fillId="0" borderId="2" xfId="6" applyNumberFormat="1" applyFont="1" applyFill="1" applyBorder="1" applyAlignment="1">
      <alignment wrapText="1"/>
    </xf>
    <xf numFmtId="43" fontId="0" fillId="0" borderId="0" xfId="0" applyNumberFormat="1" applyFill="1"/>
    <xf numFmtId="43" fontId="2" fillId="0" borderId="2" xfId="3" applyFont="1" applyFill="1" applyBorder="1" applyAlignment="1">
      <alignment horizontal="center" vertical="center"/>
    </xf>
    <xf numFmtId="43" fontId="1" fillId="4" borderId="0" xfId="3" applyFont="1" applyFill="1"/>
    <xf numFmtId="43" fontId="1" fillId="16" borderId="48" xfId="3" applyFont="1" applyFill="1" applyBorder="1" applyAlignment="1">
      <alignment horizontal="center"/>
    </xf>
    <xf numFmtId="43" fontId="1" fillId="16" borderId="49" xfId="3" applyFont="1" applyFill="1" applyBorder="1"/>
    <xf numFmtId="187" fontId="14" fillId="0" borderId="0" xfId="0" applyNumberFormat="1" applyFont="1" applyFill="1" applyBorder="1" applyAlignment="1">
      <alignment horizontal="right"/>
    </xf>
    <xf numFmtId="187" fontId="4" fillId="0" borderId="50" xfId="3" applyNumberFormat="1" applyFont="1" applyFill="1" applyBorder="1"/>
    <xf numFmtId="0" fontId="4" fillId="0" borderId="2" xfId="0" applyFont="1" applyFill="1" applyBorder="1" applyAlignment="1">
      <alignment horizontal="center" vertical="center" wrapText="1"/>
    </xf>
    <xf numFmtId="43" fontId="3" fillId="0" borderId="2" xfId="3" applyFont="1" applyBorder="1" applyAlignment="1">
      <alignment wrapText="1"/>
    </xf>
    <xf numFmtId="43" fontId="15" fillId="6" borderId="51" xfId="0" applyNumberFormat="1" applyFont="1" applyFill="1" applyBorder="1"/>
    <xf numFmtId="43" fontId="1" fillId="8" borderId="17" xfId="3" applyFont="1" applyFill="1" applyBorder="1"/>
    <xf numFmtId="43" fontId="25" fillId="0" borderId="0" xfId="0" applyNumberFormat="1" applyFont="1"/>
    <xf numFmtId="43" fontId="31" fillId="0" borderId="0" xfId="0" applyNumberFormat="1" applyFont="1"/>
    <xf numFmtId="0" fontId="3" fillId="0" borderId="0" xfId="0" applyFont="1" applyAlignment="1">
      <alignment horizontal="center"/>
    </xf>
    <xf numFmtId="43" fontId="3" fillId="0" borderId="0" xfId="0" applyNumberFormat="1" applyFont="1"/>
    <xf numFmtId="0" fontId="3" fillId="0" borderId="0" xfId="0" applyFont="1" applyAlignment="1">
      <alignment vertical="top"/>
    </xf>
    <xf numFmtId="43" fontId="36" fillId="0" borderId="2" xfId="3" applyFont="1" applyFill="1" applyBorder="1"/>
    <xf numFmtId="187" fontId="4" fillId="18" borderId="3" xfId="3" applyNumberFormat="1" applyFont="1" applyFill="1" applyBorder="1"/>
    <xf numFmtId="0" fontId="4" fillId="18" borderId="2" xfId="0" applyFont="1" applyFill="1" applyBorder="1" applyAlignment="1">
      <alignment horizontal="left"/>
    </xf>
    <xf numFmtId="0" fontId="58" fillId="0" borderId="29" xfId="0" applyFont="1" applyFill="1" applyBorder="1" applyAlignment="1">
      <alignment horizontal="center" vertical="center" shrinkToFit="1"/>
    </xf>
    <xf numFmtId="0" fontId="58" fillId="0" borderId="37" xfId="0" applyFont="1" applyFill="1" applyBorder="1" applyAlignment="1">
      <alignment horizontal="center" vertical="center" shrinkToFit="1"/>
    </xf>
    <xf numFmtId="188" fontId="3" fillId="0" borderId="3" xfId="3" applyNumberFormat="1" applyFont="1" applyFill="1" applyBorder="1" applyAlignment="1">
      <alignment horizontal="center"/>
    </xf>
    <xf numFmtId="49" fontId="39" fillId="0" borderId="2" xfId="0" applyNumberFormat="1" applyFont="1" applyFill="1" applyBorder="1" applyAlignment="1">
      <alignment horizontal="center" vertical="center" wrapText="1" shrinkToFit="1"/>
    </xf>
    <xf numFmtId="188" fontId="4" fillId="18" borderId="3" xfId="3" applyNumberFormat="1" applyFont="1" applyFill="1" applyBorder="1" applyAlignment="1">
      <alignment horizontal="center"/>
    </xf>
    <xf numFmtId="187" fontId="4" fillId="0" borderId="19" xfId="3" applyNumberFormat="1" applyFont="1" applyFill="1" applyBorder="1"/>
    <xf numFmtId="187" fontId="4" fillId="0" borderId="45" xfId="0" applyNumberFormat="1" applyFont="1" applyFill="1" applyBorder="1" applyAlignment="1"/>
    <xf numFmtId="187" fontId="4" fillId="0" borderId="52" xfId="0" applyNumberFormat="1" applyFont="1" applyFill="1" applyBorder="1" applyAlignment="1"/>
    <xf numFmtId="187" fontId="4" fillId="0" borderId="18" xfId="3" applyNumberFormat="1" applyFont="1" applyFill="1" applyBorder="1" applyAlignment="1">
      <alignment horizontal="left"/>
    </xf>
    <xf numFmtId="187" fontId="4" fillId="0" borderId="44" xfId="0" applyNumberFormat="1" applyFont="1" applyFill="1" applyBorder="1" applyAlignment="1">
      <alignment horizontal="left"/>
    </xf>
    <xf numFmtId="188" fontId="3" fillId="13" borderId="3" xfId="3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9" fillId="0" borderId="0" xfId="6" applyFont="1" applyFill="1" applyBorder="1" applyAlignment="1">
      <alignment horizontal="center" vertical="top" wrapText="1"/>
    </xf>
    <xf numFmtId="43" fontId="19" fillId="0" borderId="0" xfId="3" applyFont="1" applyFill="1" applyBorder="1" applyAlignment="1">
      <alignment horizontal="center" vertical="top" wrapText="1"/>
    </xf>
    <xf numFmtId="43" fontId="3" fillId="0" borderId="0" xfId="3" applyFont="1" applyAlignment="1">
      <alignment horizontal="center"/>
    </xf>
    <xf numFmtId="43" fontId="19" fillId="0" borderId="0" xfId="6" applyNumberFormat="1" applyFont="1" applyFill="1" applyBorder="1" applyAlignment="1">
      <alignment vertical="top" wrapText="1"/>
    </xf>
    <xf numFmtId="43" fontId="19" fillId="0" borderId="0" xfId="3" applyFont="1" applyFill="1" applyBorder="1" applyAlignment="1">
      <alignment vertical="top" wrapText="1"/>
    </xf>
    <xf numFmtId="43" fontId="19" fillId="0" borderId="0" xfId="6" applyNumberFormat="1" applyFont="1" applyFill="1" applyBorder="1" applyAlignment="1">
      <alignment wrapText="1"/>
    </xf>
    <xf numFmtId="43" fontId="19" fillId="0" borderId="0" xfId="3" applyFont="1" applyFill="1" applyBorder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43" fontId="1" fillId="0" borderId="0" xfId="3" applyFont="1" applyAlignment="1">
      <alignment horizontal="right"/>
    </xf>
    <xf numFmtId="0" fontId="1" fillId="0" borderId="0" xfId="0" applyFont="1" applyFill="1" applyBorder="1" applyAlignment="1">
      <alignment horizontal="left" wrapText="1"/>
    </xf>
    <xf numFmtId="43" fontId="1" fillId="0" borderId="0" xfId="0" applyNumberFormat="1" applyFont="1"/>
    <xf numFmtId="43" fontId="1" fillId="0" borderId="0" xfId="0" applyNumberFormat="1" applyFont="1" applyFill="1"/>
    <xf numFmtId="0" fontId="4" fillId="21" borderId="2" xfId="0" applyFont="1" applyFill="1" applyBorder="1" applyAlignment="1">
      <alignment horizontal="center"/>
    </xf>
    <xf numFmtId="0" fontId="4" fillId="21" borderId="11" xfId="0" applyFont="1" applyFill="1" applyBorder="1"/>
    <xf numFmtId="187" fontId="4" fillId="21" borderId="14" xfId="3" applyNumberFormat="1" applyFont="1" applyFill="1" applyBorder="1"/>
    <xf numFmtId="0" fontId="4" fillId="21" borderId="3" xfId="0" applyFont="1" applyFill="1" applyBorder="1"/>
    <xf numFmtId="187" fontId="4" fillId="21" borderId="2" xfId="3" applyNumberFormat="1" applyFont="1" applyFill="1" applyBorder="1"/>
    <xf numFmtId="0" fontId="7" fillId="18" borderId="2" xfId="0" applyFont="1" applyFill="1" applyBorder="1" applyAlignment="1">
      <alignment horizontal="center"/>
    </xf>
    <xf numFmtId="0" fontId="8" fillId="0" borderId="0" xfId="0" applyFont="1" applyFill="1" applyAlignment="1"/>
    <xf numFmtId="0" fontId="8" fillId="0" borderId="12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Border="1" applyAlignment="1">
      <alignment horizontal="left" vertical="center"/>
    </xf>
    <xf numFmtId="0" fontId="4" fillId="18" borderId="0" xfId="0" applyFont="1" applyFill="1" applyBorder="1" applyAlignment="1">
      <alignment horizontal="center" vertical="center" wrapText="1"/>
    </xf>
    <xf numFmtId="43" fontId="15" fillId="18" borderId="0" xfId="3" applyFont="1" applyFill="1" applyBorder="1"/>
    <xf numFmtId="0" fontId="13" fillId="0" borderId="0" xfId="0" applyFont="1" applyAlignment="1">
      <alignment wrapText="1"/>
    </xf>
    <xf numFmtId="43" fontId="3" fillId="18" borderId="2" xfId="3" applyFont="1" applyFill="1" applyBorder="1" applyAlignment="1">
      <alignment horizontal="center" shrinkToFit="1"/>
    </xf>
    <xf numFmtId="0" fontId="3" fillId="18" borderId="2" xfId="0" applyFont="1" applyFill="1" applyBorder="1" applyAlignment="1">
      <alignment horizontal="center" shrinkToFit="1"/>
    </xf>
    <xf numFmtId="0" fontId="3" fillId="18" borderId="2" xfId="0" applyFont="1" applyFill="1" applyBorder="1" applyAlignment="1">
      <alignment horizontal="left" shrinkToFit="1"/>
    </xf>
    <xf numFmtId="0" fontId="8" fillId="0" borderId="0" xfId="0" applyFont="1" applyFill="1" applyBorder="1" applyAlignment="1">
      <alignment horizontal="center" vertical="center" wrapText="1"/>
    </xf>
    <xf numFmtId="43" fontId="15" fillId="0" borderId="0" xfId="3" applyFont="1" applyFill="1" applyBorder="1"/>
    <xf numFmtId="43" fontId="3" fillId="0" borderId="0" xfId="0" applyNumberFormat="1" applyFont="1" applyFill="1" applyBorder="1"/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 wrapText="1"/>
    </xf>
    <xf numFmtId="0" fontId="3" fillId="18" borderId="2" xfId="0" applyFont="1" applyFill="1" applyBorder="1" applyAlignment="1">
      <alignment horizontal="center" vertical="top" wrapText="1"/>
    </xf>
    <xf numFmtId="43" fontId="4" fillId="0" borderId="2" xfId="0" applyNumberFormat="1" applyFont="1" applyBorder="1"/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top" wrapText="1"/>
    </xf>
    <xf numFmtId="43" fontId="3" fillId="0" borderId="2" xfId="3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9" fillId="0" borderId="2" xfId="1" applyFont="1" applyFill="1" applyBorder="1" applyAlignment="1">
      <alignment horizontal="left"/>
    </xf>
    <xf numFmtId="0" fontId="8" fillId="0" borderId="0" xfId="0" applyFont="1" applyFill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left"/>
    </xf>
    <xf numFmtId="0" fontId="7" fillId="18" borderId="3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left"/>
    </xf>
    <xf numFmtId="0" fontId="33" fillId="0" borderId="4" xfId="0" applyFont="1" applyFill="1" applyBorder="1" applyAlignment="1">
      <alignment horizontal="left"/>
    </xf>
    <xf numFmtId="0" fontId="7" fillId="18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0" fontId="3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42" fillId="23" borderId="39" xfId="0" applyFont="1" applyFill="1" applyBorder="1" applyAlignment="1">
      <alignment horizontal="center" vertical="center" wrapText="1" readingOrder="1"/>
    </xf>
    <xf numFmtId="0" fontId="42" fillId="23" borderId="40" xfId="0" applyFont="1" applyFill="1" applyBorder="1" applyAlignment="1">
      <alignment horizontal="center" vertical="center" wrapText="1" readingOrder="1"/>
    </xf>
    <xf numFmtId="0" fontId="42" fillId="23" borderId="41" xfId="0" applyFont="1" applyFill="1" applyBorder="1" applyAlignment="1">
      <alignment horizontal="center" vertical="center" wrapText="1" readingOrder="1"/>
    </xf>
    <xf numFmtId="0" fontId="40" fillId="18" borderId="0" xfId="0" applyFont="1" applyFill="1" applyAlignment="1">
      <alignment horizontal="center" vertical="top" wrapText="1"/>
    </xf>
    <xf numFmtId="0" fontId="40" fillId="18" borderId="12" xfId="0" applyFont="1" applyFill="1" applyBorder="1" applyAlignment="1">
      <alignment horizontal="center" vertical="top" wrapText="1"/>
    </xf>
    <xf numFmtId="0" fontId="40" fillId="19" borderId="0" xfId="0" applyFont="1" applyFill="1" applyAlignment="1">
      <alignment horizontal="center" vertical="top" wrapText="1"/>
    </xf>
    <xf numFmtId="0" fontId="40" fillId="19" borderId="12" xfId="0" applyFont="1" applyFill="1" applyBorder="1" applyAlignment="1">
      <alignment horizontal="center" vertical="top" wrapText="1"/>
    </xf>
    <xf numFmtId="0" fontId="3" fillId="19" borderId="8" xfId="0" applyFont="1" applyFill="1" applyBorder="1" applyAlignment="1">
      <alignment horizontal="center" vertical="top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/>
    </xf>
    <xf numFmtId="0" fontId="3" fillId="18" borderId="8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top" wrapText="1" shrinkToFit="1"/>
    </xf>
    <xf numFmtId="0" fontId="3" fillId="18" borderId="3" xfId="0" applyFont="1" applyFill="1" applyBorder="1" applyAlignment="1">
      <alignment horizontal="center" vertical="center" shrinkToFit="1"/>
    </xf>
    <xf numFmtId="0" fontId="3" fillId="18" borderId="30" xfId="0" applyFont="1" applyFill="1" applyBorder="1" applyAlignment="1">
      <alignment horizontal="center" vertical="center" shrinkToFit="1"/>
    </xf>
    <xf numFmtId="0" fontId="3" fillId="18" borderId="4" xfId="0" applyFont="1" applyFill="1" applyBorder="1" applyAlignment="1">
      <alignment horizontal="center" vertical="center" shrinkToFit="1"/>
    </xf>
    <xf numFmtId="0" fontId="19" fillId="18" borderId="2" xfId="1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 vertical="top" wrapText="1" shrinkToFit="1"/>
    </xf>
    <xf numFmtId="0" fontId="3" fillId="4" borderId="14" xfId="0" applyFont="1" applyFill="1" applyBorder="1" applyAlignment="1">
      <alignment horizontal="center" vertical="top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43" fontId="4" fillId="0" borderId="13" xfId="3" applyFont="1" applyFill="1" applyBorder="1" applyAlignment="1">
      <alignment horizontal="center" vertical="center" wrapText="1"/>
    </xf>
    <xf numFmtId="43" fontId="4" fillId="18" borderId="9" xfId="3" applyFont="1" applyFill="1" applyBorder="1" applyAlignment="1">
      <alignment horizontal="center" vertical="center" wrapText="1"/>
    </xf>
    <xf numFmtId="43" fontId="4" fillId="18" borderId="11" xfId="3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3" fillId="17" borderId="3" xfId="0" applyFont="1" applyFill="1" applyBorder="1" applyAlignment="1">
      <alignment horizontal="center"/>
    </xf>
    <xf numFmtId="0" fontId="3" fillId="17" borderId="4" xfId="0" applyFont="1" applyFill="1" applyBorder="1" applyAlignment="1">
      <alignment horizontal="center"/>
    </xf>
    <xf numFmtId="43" fontId="4" fillId="0" borderId="13" xfId="3" applyFont="1" applyFill="1" applyBorder="1" applyAlignment="1">
      <alignment horizontal="center" vertical="center"/>
    </xf>
    <xf numFmtId="43" fontId="4" fillId="0" borderId="14" xfId="3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3" xfId="3" applyFont="1" applyBorder="1" applyAlignment="1">
      <alignment horizontal="center"/>
    </xf>
    <xf numFmtId="43" fontId="4" fillId="0" borderId="30" xfId="3" applyFont="1" applyBorder="1" applyAlignment="1">
      <alignment horizontal="center"/>
    </xf>
    <xf numFmtId="43" fontId="4" fillId="0" borderId="4" xfId="3" applyFont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/>
    </xf>
    <xf numFmtId="0" fontId="4" fillId="0" borderId="30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6" fillId="23" borderId="39" xfId="0" applyFont="1" applyFill="1" applyBorder="1" applyAlignment="1">
      <alignment horizontal="center" vertical="center" wrapText="1" readingOrder="1"/>
    </xf>
    <xf numFmtId="0" fontId="46" fillId="23" borderId="40" xfId="0" applyFont="1" applyFill="1" applyBorder="1" applyAlignment="1">
      <alignment horizontal="center" vertical="center" wrapText="1" readingOrder="1"/>
    </xf>
    <xf numFmtId="0" fontId="46" fillId="23" borderId="41" xfId="0" applyFont="1" applyFill="1" applyBorder="1" applyAlignment="1">
      <alignment horizontal="center" vertical="center" wrapText="1" readingOrder="1"/>
    </xf>
  </cellXfs>
  <cellStyles count="11">
    <cellStyle name="Comma" xfId="3" builtinId="3"/>
    <cellStyle name="Normal" xfId="0" builtinId="0"/>
    <cellStyle name="Normal 2" xfId="5"/>
    <cellStyle name="Normal_Sheet2" xfId="1"/>
    <cellStyle name="Normal_Sheet4" xfId="2"/>
    <cellStyle name="Normal_Sheet7" xfId="6"/>
    <cellStyle name="Percent" xfId="4" builtinId="5"/>
    <cellStyle name="เครื่องหมายจุลภาค 2" xfId="10"/>
    <cellStyle name="ปกติ_Sheet1" xfId="8"/>
    <cellStyle name="ปกติ_Sheet7" xfId="7"/>
    <cellStyle name="ปกติ_งบทดลอง รพ." xfId="9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99FF99"/>
        </patternFill>
      </fill>
    </dxf>
    <dxf>
      <fill>
        <patternFill>
          <bgColor theme="5" tint="0.39994506668294322"/>
        </patternFill>
      </fill>
    </dxf>
    <dxf>
      <fill>
        <patternFill>
          <bgColor rgb="FF00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9FF99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12</xdr:row>
      <xdr:rowOff>57150</xdr:rowOff>
    </xdr:from>
    <xdr:to>
      <xdr:col>1</xdr:col>
      <xdr:colOff>4305300</xdr:colOff>
      <xdr:row>20</xdr:row>
      <xdr:rowOff>222250</xdr:rowOff>
    </xdr:to>
    <xdr:pic>
      <xdr:nvPicPr>
        <xdr:cNvPr id="17" name="รูปภาพ 16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8" t="20837" r="34081" b="7323"/>
        <a:stretch/>
      </xdr:blipFill>
      <xdr:spPr bwMode="auto">
        <a:xfrm>
          <a:off x="1447800" y="4171950"/>
          <a:ext cx="3790950" cy="2298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1"/>
  <sheetViews>
    <sheetView workbookViewId="0">
      <selection activeCell="E8" sqref="E8"/>
    </sheetView>
  </sheetViews>
  <sheetFormatPr defaultColWidth="9" defaultRowHeight="17.25" x14ac:dyDescent="0.4"/>
  <cols>
    <col min="1" max="1" width="16.875" style="21" customWidth="1"/>
    <col min="2" max="2" width="87.375" style="21" bestFit="1" customWidth="1"/>
    <col min="3" max="16384" width="9" style="21"/>
  </cols>
  <sheetData>
    <row r="1" spans="1:2" ht="27.75" x14ac:dyDescent="0.65">
      <c r="A1" s="91" t="s">
        <v>804</v>
      </c>
      <c r="B1" s="147" t="s">
        <v>1339</v>
      </c>
    </row>
    <row r="2" spans="1:2" ht="27.75" x14ac:dyDescent="0.65">
      <c r="A2" s="20" t="s">
        <v>1330</v>
      </c>
      <c r="B2" s="319" t="s">
        <v>1331</v>
      </c>
    </row>
    <row r="3" spans="1:2" s="26" customFormat="1" ht="24" x14ac:dyDescent="0.55000000000000004">
      <c r="A3" s="26" t="s">
        <v>815</v>
      </c>
      <c r="B3" s="26" t="s">
        <v>1340</v>
      </c>
    </row>
    <row r="4" spans="1:2" s="26" customFormat="1" ht="27.75" x14ac:dyDescent="0.65">
      <c r="B4" s="26" t="s">
        <v>1341</v>
      </c>
    </row>
    <row r="5" spans="1:2" s="26" customFormat="1" ht="24" x14ac:dyDescent="0.55000000000000004">
      <c r="B5" s="141" t="s">
        <v>808</v>
      </c>
    </row>
    <row r="6" spans="1:2" s="26" customFormat="1" ht="24" x14ac:dyDescent="0.55000000000000004">
      <c r="B6" s="142" t="s">
        <v>809</v>
      </c>
    </row>
    <row r="7" spans="1:2" s="26" customFormat="1" ht="24" x14ac:dyDescent="0.55000000000000004">
      <c r="B7" s="142" t="s">
        <v>1333</v>
      </c>
    </row>
    <row r="8" spans="1:2" s="26" customFormat="1" ht="24" x14ac:dyDescent="0.55000000000000004">
      <c r="B8" s="142" t="s">
        <v>810</v>
      </c>
    </row>
    <row r="9" spans="1:2" s="26" customFormat="1" ht="24" x14ac:dyDescent="0.55000000000000004">
      <c r="B9" s="142" t="s">
        <v>1334</v>
      </c>
    </row>
    <row r="10" spans="1:2" s="26" customFormat="1" ht="24" x14ac:dyDescent="0.55000000000000004">
      <c r="B10" s="142"/>
    </row>
    <row r="11" spans="1:2" s="26" customFormat="1" ht="24" x14ac:dyDescent="0.55000000000000004">
      <c r="B11" s="142" t="s">
        <v>1228</v>
      </c>
    </row>
    <row r="12" spans="1:2" s="26" customFormat="1" ht="24" x14ac:dyDescent="0.55000000000000004">
      <c r="B12" s="142" t="s">
        <v>1229</v>
      </c>
    </row>
    <row r="13" spans="1:2" s="26" customFormat="1" ht="24" x14ac:dyDescent="0.55000000000000004">
      <c r="B13" s="142"/>
    </row>
    <row r="14" spans="1:2" s="26" customFormat="1" ht="24" x14ac:dyDescent="0.55000000000000004">
      <c r="B14" s="142"/>
    </row>
    <row r="15" spans="1:2" s="26" customFormat="1" ht="24" x14ac:dyDescent="0.55000000000000004">
      <c r="B15" s="142"/>
    </row>
    <row r="16" spans="1:2" s="26" customFormat="1" ht="24" x14ac:dyDescent="0.55000000000000004">
      <c r="B16" s="142"/>
    </row>
    <row r="17" spans="1:2" s="26" customFormat="1" ht="24" x14ac:dyDescent="0.55000000000000004">
      <c r="B17" s="142"/>
    </row>
    <row r="18" spans="1:2" s="26" customFormat="1" ht="24" x14ac:dyDescent="0.55000000000000004">
      <c r="B18" s="142"/>
    </row>
    <row r="19" spans="1:2" s="26" customFormat="1" ht="24" x14ac:dyDescent="0.55000000000000004">
      <c r="B19" s="142"/>
    </row>
    <row r="20" spans="1:2" s="26" customFormat="1" ht="24" x14ac:dyDescent="0.55000000000000004">
      <c r="B20" s="142"/>
    </row>
    <row r="21" spans="1:2" s="26" customFormat="1" ht="24" x14ac:dyDescent="0.55000000000000004">
      <c r="B21" s="142"/>
    </row>
    <row r="22" spans="1:2" s="26" customFormat="1" ht="24" x14ac:dyDescent="0.55000000000000004">
      <c r="A22" s="10" t="s">
        <v>740</v>
      </c>
      <c r="B22" s="26" t="s">
        <v>812</v>
      </c>
    </row>
    <row r="23" spans="1:2" s="26" customFormat="1" ht="24" x14ac:dyDescent="0.55000000000000004">
      <c r="A23" s="10"/>
      <c r="B23" s="26" t="s">
        <v>1343</v>
      </c>
    </row>
    <row r="24" spans="1:2" s="26" customFormat="1" ht="24" x14ac:dyDescent="0.55000000000000004">
      <c r="A24" s="10"/>
      <c r="B24" s="26" t="s">
        <v>813</v>
      </c>
    </row>
    <row r="25" spans="1:2" s="26" customFormat="1" ht="24" x14ac:dyDescent="0.55000000000000004">
      <c r="A25" s="10" t="s">
        <v>805</v>
      </c>
      <c r="B25" s="26" t="s">
        <v>814</v>
      </c>
    </row>
    <row r="26" spans="1:2" s="26" customFormat="1" ht="48" x14ac:dyDescent="0.55000000000000004">
      <c r="A26" s="321" t="s">
        <v>1335</v>
      </c>
      <c r="B26" s="320" t="s">
        <v>1342</v>
      </c>
    </row>
    <row r="27" spans="1:2" s="26" customFormat="1" ht="24" x14ac:dyDescent="0.55000000000000004">
      <c r="A27" s="10"/>
      <c r="B27" s="26" t="s">
        <v>806</v>
      </c>
    </row>
    <row r="28" spans="1:2" s="26" customFormat="1" ht="24" x14ac:dyDescent="0.55000000000000004">
      <c r="A28" s="10"/>
      <c r="B28" s="26" t="s">
        <v>807</v>
      </c>
    </row>
    <row r="29" spans="1:2" ht="24" x14ac:dyDescent="0.55000000000000004">
      <c r="A29" s="322"/>
      <c r="B29" s="26" t="s">
        <v>1336</v>
      </c>
    </row>
    <row r="30" spans="1:2" s="26" customFormat="1" ht="24" x14ac:dyDescent="0.55000000000000004">
      <c r="A30" s="321" t="s">
        <v>1337</v>
      </c>
      <c r="B30" s="320" t="s">
        <v>1344</v>
      </c>
    </row>
    <row r="31" spans="1:2" ht="24" x14ac:dyDescent="0.55000000000000004">
      <c r="B31" s="26" t="s">
        <v>1338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="70" zoomScaleNormal="70" workbookViewId="0">
      <selection activeCell="K14" sqref="K14:K30"/>
    </sheetView>
  </sheetViews>
  <sheetFormatPr defaultColWidth="9" defaultRowHeight="27.75" x14ac:dyDescent="0.65"/>
  <cols>
    <col min="1" max="1" width="31" style="20" customWidth="1"/>
    <col min="2" max="2" width="15.75" style="20" customWidth="1"/>
    <col min="3" max="3" width="14.625" style="20" customWidth="1"/>
    <col min="4" max="4" width="15.25" style="20" customWidth="1"/>
    <col min="5" max="5" width="15.875" style="20" customWidth="1"/>
    <col min="6" max="6" width="15.5" style="20" customWidth="1"/>
    <col min="7" max="7" width="15.75" style="20" customWidth="1"/>
    <col min="8" max="8" width="18.75" style="20" customWidth="1"/>
    <col min="9" max="9" width="20.25" style="20" customWidth="1"/>
    <col min="10" max="10" width="22.25" style="20" customWidth="1"/>
    <col min="11" max="11" width="32.75" style="20" bestFit="1" customWidth="1"/>
    <col min="12" max="15" width="17.5" style="20" customWidth="1"/>
    <col min="16" max="16" width="17" style="207" customWidth="1"/>
    <col min="17" max="16384" width="9" style="20"/>
  </cols>
  <sheetData>
    <row r="1" spans="1:16" x14ac:dyDescent="0.65">
      <c r="A1" s="557" t="s">
        <v>701</v>
      </c>
      <c r="B1" s="557"/>
      <c r="C1" s="557"/>
      <c r="D1" s="557"/>
      <c r="E1" s="557"/>
      <c r="F1" s="557"/>
      <c r="G1" s="557"/>
      <c r="H1" s="557"/>
      <c r="I1" s="557"/>
      <c r="J1" s="557"/>
      <c r="K1" s="504"/>
    </row>
    <row r="2" spans="1:16" s="10" customFormat="1" ht="72" x14ac:dyDescent="0.55000000000000004">
      <c r="A2" s="435" t="s">
        <v>754</v>
      </c>
      <c r="B2" s="434" t="s">
        <v>1360</v>
      </c>
      <c r="C2" s="434" t="s">
        <v>1361</v>
      </c>
      <c r="D2" s="434" t="s">
        <v>1362</v>
      </c>
      <c r="E2" s="436" t="s">
        <v>1363</v>
      </c>
      <c r="F2" s="436" t="s">
        <v>1364</v>
      </c>
      <c r="G2" s="436" t="s">
        <v>1365</v>
      </c>
      <c r="H2" s="195" t="s">
        <v>1366</v>
      </c>
      <c r="I2" s="434" t="s">
        <v>1367</v>
      </c>
      <c r="J2" s="195" t="s">
        <v>1368</v>
      </c>
      <c r="K2" s="505"/>
      <c r="P2" s="346"/>
    </row>
    <row r="3" spans="1:16" s="26" customFormat="1" ht="24" x14ac:dyDescent="0.55000000000000004">
      <c r="A3" s="135" t="s">
        <v>623</v>
      </c>
      <c r="B3" s="136">
        <v>5780939.9699999997</v>
      </c>
      <c r="C3" s="136">
        <v>6990028.2436363632</v>
      </c>
      <c r="D3" s="137">
        <f>D16</f>
        <v>7098889.7333333334</v>
      </c>
      <c r="E3" s="137">
        <f>G16</f>
        <v>8101127.293333333</v>
      </c>
      <c r="F3" s="137">
        <f>J16</f>
        <v>3222232.6933333329</v>
      </c>
      <c r="G3" s="137">
        <v>0</v>
      </c>
      <c r="H3" s="196">
        <f>SUM(E3:G3)</f>
        <v>11323359.986666666</v>
      </c>
      <c r="I3" s="137">
        <f>L16</f>
        <v>3173804.74</v>
      </c>
      <c r="J3" s="196">
        <f>O16</f>
        <v>9260589.4199999999</v>
      </c>
      <c r="K3" s="506"/>
      <c r="P3" s="387"/>
    </row>
    <row r="4" spans="1:16" s="26" customFormat="1" ht="24" x14ac:dyDescent="0.55000000000000004">
      <c r="A4" s="138" t="s">
        <v>755</v>
      </c>
      <c r="B4" s="136">
        <v>2420016.2945454544</v>
      </c>
      <c r="C4" s="136">
        <v>3825025.2436363632</v>
      </c>
      <c r="D4" s="137">
        <f>D21</f>
        <v>2992837.6933333329</v>
      </c>
      <c r="E4" s="137">
        <f>G21</f>
        <v>2531041.0799999996</v>
      </c>
      <c r="F4" s="137">
        <f>J21</f>
        <v>284834.5333333335</v>
      </c>
      <c r="G4" s="137">
        <v>0</v>
      </c>
      <c r="H4" s="196">
        <f t="shared" ref="H4:H5" si="0">SUM(E4:G4)</f>
        <v>2815875.6133333333</v>
      </c>
      <c r="I4" s="137">
        <f>L21</f>
        <v>1106465.8</v>
      </c>
      <c r="J4" s="196">
        <f>O21</f>
        <v>4638217.9405000005</v>
      </c>
      <c r="K4" s="506"/>
      <c r="P4" s="387"/>
    </row>
    <row r="5" spans="1:16" s="26" customFormat="1" ht="24" x14ac:dyDescent="0.55000000000000004">
      <c r="A5" s="138" t="s">
        <v>756</v>
      </c>
      <c r="B5" s="136">
        <v>1884092.9454545453</v>
      </c>
      <c r="C5" s="136">
        <v>1827152.7272727271</v>
      </c>
      <c r="D5" s="137">
        <f>D30</f>
        <v>1768773.3333333335</v>
      </c>
      <c r="E5" s="137">
        <f>G30</f>
        <v>1760663.0933333333</v>
      </c>
      <c r="F5" s="137">
        <f>J30</f>
        <v>960</v>
      </c>
      <c r="G5" s="137">
        <v>0</v>
      </c>
      <c r="H5" s="196">
        <f t="shared" si="0"/>
        <v>1761623.0933333333</v>
      </c>
      <c r="I5" s="137">
        <f>L30</f>
        <v>292233.8</v>
      </c>
      <c r="J5" s="196">
        <f>O30</f>
        <v>1066488.8999999999</v>
      </c>
      <c r="K5" s="506"/>
      <c r="P5" s="387"/>
    </row>
    <row r="6" spans="1:16" x14ac:dyDescent="0.65">
      <c r="A6" s="558" t="s">
        <v>666</v>
      </c>
      <c r="B6" s="558"/>
      <c r="C6" s="558"/>
      <c r="D6" s="558"/>
      <c r="E6" s="558"/>
      <c r="F6" s="558"/>
      <c r="G6" s="558"/>
      <c r="H6" s="558"/>
      <c r="I6" s="558"/>
      <c r="J6" s="203">
        <f>SUM(J3:J5)</f>
        <v>14965296.260500001</v>
      </c>
      <c r="K6" s="203"/>
    </row>
    <row r="7" spans="1:16" hidden="1" x14ac:dyDescent="0.65"/>
    <row r="8" spans="1:16" hidden="1" x14ac:dyDescent="0.65"/>
    <row r="9" spans="1:16" hidden="1" x14ac:dyDescent="0.65"/>
    <row r="10" spans="1:16" hidden="1" x14ac:dyDescent="0.65"/>
    <row r="11" spans="1:16" hidden="1" x14ac:dyDescent="0.65"/>
    <row r="12" spans="1:16" ht="13.5" customHeight="1" x14ac:dyDescent="0.65"/>
    <row r="13" spans="1:16" x14ac:dyDescent="0.65">
      <c r="A13" s="10" t="s">
        <v>1461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387"/>
    </row>
    <row r="14" spans="1:16" ht="42" customHeight="1" x14ac:dyDescent="0.65">
      <c r="A14" s="559" t="s">
        <v>754</v>
      </c>
      <c r="B14" s="553" t="s">
        <v>1467</v>
      </c>
      <c r="C14" s="553" t="s">
        <v>1468</v>
      </c>
      <c r="D14" s="553" t="s">
        <v>1469</v>
      </c>
      <c r="E14" s="553" t="s">
        <v>1470</v>
      </c>
      <c r="F14" s="553" t="s">
        <v>1471</v>
      </c>
      <c r="G14" s="553" t="s">
        <v>1472</v>
      </c>
      <c r="H14" s="553" t="s">
        <v>1473</v>
      </c>
      <c r="I14" s="553" t="s">
        <v>1474</v>
      </c>
      <c r="J14" s="553" t="s">
        <v>1475</v>
      </c>
      <c r="K14" s="559" t="s">
        <v>754</v>
      </c>
      <c r="L14" s="553" t="s">
        <v>1476</v>
      </c>
      <c r="M14" s="555" t="s">
        <v>1477</v>
      </c>
      <c r="N14" s="556"/>
      <c r="O14" s="553" t="s">
        <v>1480</v>
      </c>
      <c r="P14" s="387"/>
    </row>
    <row r="15" spans="1:16" ht="56.25" customHeight="1" x14ac:dyDescent="0.65">
      <c r="A15" s="560"/>
      <c r="B15" s="554"/>
      <c r="C15" s="554"/>
      <c r="D15" s="554"/>
      <c r="E15" s="554"/>
      <c r="F15" s="554"/>
      <c r="G15" s="554"/>
      <c r="H15" s="554"/>
      <c r="I15" s="554"/>
      <c r="J15" s="554"/>
      <c r="K15" s="560"/>
      <c r="L15" s="554"/>
      <c r="M15" s="433" t="s">
        <v>1478</v>
      </c>
      <c r="N15" s="433" t="s">
        <v>1479</v>
      </c>
      <c r="O15" s="554"/>
      <c r="P15" s="387"/>
    </row>
    <row r="16" spans="1:16" s="91" customFormat="1" x14ac:dyDescent="0.65">
      <c r="A16" s="406" t="s">
        <v>1500</v>
      </c>
      <c r="B16" s="410">
        <f>SUM(B17:B20)</f>
        <v>5324167.3</v>
      </c>
      <c r="C16" s="410">
        <f t="shared" ref="C16:G16" si="1">SUM(C17:C20)</f>
        <v>591574.14444444433</v>
      </c>
      <c r="D16" s="410">
        <f t="shared" si="1"/>
        <v>7098889.7333333334</v>
      </c>
      <c r="E16" s="410">
        <f t="shared" si="1"/>
        <v>6075845.4700000007</v>
      </c>
      <c r="F16" s="410">
        <f t="shared" si="1"/>
        <v>675093.94111111108</v>
      </c>
      <c r="G16" s="410">
        <f t="shared" si="1"/>
        <v>8101127.293333333</v>
      </c>
      <c r="H16" s="410">
        <f>SUM(H17:H20)</f>
        <v>2416674.5199999996</v>
      </c>
      <c r="I16" s="410">
        <f t="shared" ref="I16" si="2">SUM(I17:I20)</f>
        <v>268519.39111111104</v>
      </c>
      <c r="J16" s="410">
        <f t="shared" ref="J16" si="3">SUM(J17:J20)</f>
        <v>3222232.6933333329</v>
      </c>
      <c r="K16" s="406" t="s">
        <v>1500</v>
      </c>
      <c r="L16" s="410">
        <f t="shared" ref="L16" si="4">SUM(L17:L20)</f>
        <v>3173804.74</v>
      </c>
      <c r="M16" s="410">
        <f t="shared" ref="M16" si="5">SUM(M17:M20)</f>
        <v>8290025.7300000004</v>
      </c>
      <c r="N16" s="410">
        <f t="shared" ref="N16" si="6">SUM(N17:N20)</f>
        <v>970563.69</v>
      </c>
      <c r="O16" s="410">
        <f t="shared" ref="O16" si="7">SUM(O17:O20)</f>
        <v>9260589.4199999999</v>
      </c>
      <c r="P16" s="346"/>
    </row>
    <row r="17" spans="1:16" x14ac:dyDescent="0.65">
      <c r="A17" s="135" t="s">
        <v>623</v>
      </c>
      <c r="B17" s="137">
        <v>5278667.3</v>
      </c>
      <c r="C17" s="137">
        <f>B17/9</f>
        <v>586518.58888888883</v>
      </c>
      <c r="D17" s="137">
        <f>C17*12</f>
        <v>7038223.0666666664</v>
      </c>
      <c r="E17" s="137">
        <v>4284827.03</v>
      </c>
      <c r="F17" s="391">
        <f>E17/9</f>
        <v>476091.89222222223</v>
      </c>
      <c r="G17" s="392">
        <f>F17*12</f>
        <v>5713102.706666667</v>
      </c>
      <c r="H17" s="137">
        <f>4759433.02-E17</f>
        <v>474605.98999999929</v>
      </c>
      <c r="I17" s="219">
        <f>H17/9</f>
        <v>52733.998888888811</v>
      </c>
      <c r="J17" s="393">
        <f>I17*12</f>
        <v>632807.98666666576</v>
      </c>
      <c r="K17" s="135" t="s">
        <v>623</v>
      </c>
      <c r="L17" s="23">
        <v>1406674.62</v>
      </c>
      <c r="M17" s="394">
        <f>8673370.42-N17</f>
        <v>8100251.7300000004</v>
      </c>
      <c r="N17" s="394">
        <v>573118.68999999994</v>
      </c>
      <c r="O17" s="395">
        <f>SUM(M17:N17)</f>
        <v>8673370.4199999999</v>
      </c>
      <c r="P17" s="387"/>
    </row>
    <row r="18" spans="1:16" x14ac:dyDescent="0.65">
      <c r="A18" s="135" t="s">
        <v>1496</v>
      </c>
      <c r="B18" s="137">
        <v>45500</v>
      </c>
      <c r="C18" s="137">
        <f>B18/9</f>
        <v>5055.5555555555557</v>
      </c>
      <c r="D18" s="137">
        <f>C18*12</f>
        <v>60666.666666666672</v>
      </c>
      <c r="E18" s="137">
        <v>22408</v>
      </c>
      <c r="F18" s="391">
        <f>E18/9</f>
        <v>2489.7777777777778</v>
      </c>
      <c r="G18" s="392">
        <f>F18*12</f>
        <v>29877.333333333336</v>
      </c>
      <c r="H18" s="137">
        <f>41848-E18</f>
        <v>19440</v>
      </c>
      <c r="I18" s="219">
        <f>H18/9</f>
        <v>2160</v>
      </c>
      <c r="J18" s="393">
        <f>I18*12</f>
        <v>25920</v>
      </c>
      <c r="K18" s="135" t="s">
        <v>1496</v>
      </c>
      <c r="L18" s="23">
        <v>7872</v>
      </c>
      <c r="M18" s="210">
        <f>587219-N18</f>
        <v>189774</v>
      </c>
      <c r="N18" s="23">
        <v>397445</v>
      </c>
      <c r="O18" s="395">
        <f>SUM(M18:N18)</f>
        <v>587219</v>
      </c>
      <c r="P18" s="387"/>
    </row>
    <row r="19" spans="1:16" x14ac:dyDescent="0.65">
      <c r="A19" s="135" t="s">
        <v>1497</v>
      </c>
      <c r="B19" s="137">
        <v>0</v>
      </c>
      <c r="C19" s="137">
        <f t="shared" ref="C19:C20" si="8">B19/9</f>
        <v>0</v>
      </c>
      <c r="D19" s="137">
        <f t="shared" ref="D19:D20" si="9">C19*12</f>
        <v>0</v>
      </c>
      <c r="E19" s="137">
        <v>1715176.44</v>
      </c>
      <c r="F19" s="391">
        <f t="shared" ref="F19:F20" si="10">E19/9</f>
        <v>190575.16</v>
      </c>
      <c r="G19" s="392">
        <f t="shared" ref="G19:G20" si="11">F19*12</f>
        <v>2286901.92</v>
      </c>
      <c r="H19" s="137">
        <f>3560808.97-E19</f>
        <v>1845632.5300000003</v>
      </c>
      <c r="I19" s="219">
        <f>H19/9</f>
        <v>205070.28111111114</v>
      </c>
      <c r="J19" s="393">
        <f t="shared" ref="J19:J20" si="12">I19*12</f>
        <v>2460843.3733333335</v>
      </c>
      <c r="K19" s="135" t="s">
        <v>1497</v>
      </c>
      <c r="L19" s="23">
        <v>1742933.12</v>
      </c>
      <c r="M19" s="394">
        <v>0</v>
      </c>
      <c r="N19" s="394">
        <v>0</v>
      </c>
      <c r="O19" s="395">
        <f t="shared" ref="O19:O20" si="13">SUM(M19:N19)</f>
        <v>0</v>
      </c>
      <c r="P19" s="387"/>
    </row>
    <row r="20" spans="1:16" x14ac:dyDescent="0.65">
      <c r="A20" s="135" t="s">
        <v>1495</v>
      </c>
      <c r="B20" s="137">
        <v>0</v>
      </c>
      <c r="C20" s="137">
        <f t="shared" si="8"/>
        <v>0</v>
      </c>
      <c r="D20" s="137">
        <f t="shared" si="9"/>
        <v>0</v>
      </c>
      <c r="E20" s="137">
        <v>53434</v>
      </c>
      <c r="F20" s="391">
        <f t="shared" si="10"/>
        <v>5937.1111111111113</v>
      </c>
      <c r="G20" s="392">
        <f t="shared" si="11"/>
        <v>71245.333333333343</v>
      </c>
      <c r="H20" s="137">
        <f>130430-E20</f>
        <v>76996</v>
      </c>
      <c r="I20" s="219">
        <f t="shared" ref="I20:I30" si="14">H20/9</f>
        <v>8555.1111111111113</v>
      </c>
      <c r="J20" s="393">
        <f t="shared" si="12"/>
        <v>102661.33333333334</v>
      </c>
      <c r="K20" s="135" t="s">
        <v>1495</v>
      </c>
      <c r="L20" s="23">
        <v>16325</v>
      </c>
      <c r="M20" s="210">
        <v>0</v>
      </c>
      <c r="N20" s="23">
        <v>0</v>
      </c>
      <c r="O20" s="395">
        <f t="shared" si="13"/>
        <v>0</v>
      </c>
      <c r="P20" s="387"/>
    </row>
    <row r="21" spans="1:16" s="91" customFormat="1" x14ac:dyDescent="0.65">
      <c r="A21" s="432" t="s">
        <v>1499</v>
      </c>
      <c r="B21" s="407">
        <f>SUM(B22:B29)</f>
        <v>2244628.27</v>
      </c>
      <c r="C21" s="407">
        <f t="shared" ref="C21:O21" si="15">SUM(C22:C29)</f>
        <v>249403.14111111112</v>
      </c>
      <c r="D21" s="407">
        <f t="shared" si="15"/>
        <v>2992837.6933333329</v>
      </c>
      <c r="E21" s="407">
        <f t="shared" si="15"/>
        <v>1898280.8099999998</v>
      </c>
      <c r="F21" s="407">
        <f t="shared" si="15"/>
        <v>210920.09</v>
      </c>
      <c r="G21" s="407">
        <f t="shared" si="15"/>
        <v>2531041.0799999996</v>
      </c>
      <c r="H21" s="407">
        <f t="shared" si="15"/>
        <v>213625.90000000011</v>
      </c>
      <c r="I21" s="407">
        <f t="shared" si="15"/>
        <v>23736.211111111126</v>
      </c>
      <c r="J21" s="407">
        <f t="shared" si="15"/>
        <v>284834.5333333335</v>
      </c>
      <c r="K21" s="500" t="s">
        <v>1499</v>
      </c>
      <c r="L21" s="407">
        <f t="shared" si="15"/>
        <v>1106465.8</v>
      </c>
      <c r="M21" s="407">
        <f t="shared" si="15"/>
        <v>3979635.5387999997</v>
      </c>
      <c r="N21" s="407">
        <f t="shared" si="15"/>
        <v>658582.40170000005</v>
      </c>
      <c r="O21" s="407">
        <f t="shared" si="15"/>
        <v>4638217.9405000005</v>
      </c>
      <c r="P21" s="346"/>
    </row>
    <row r="22" spans="1:16" x14ac:dyDescent="0.65">
      <c r="A22" s="138" t="s">
        <v>1462</v>
      </c>
      <c r="B22" s="137">
        <v>116750</v>
      </c>
      <c r="C22" s="137">
        <f t="shared" ref="C22:C30" si="16">B22/9</f>
        <v>12972.222222222223</v>
      </c>
      <c r="D22" s="137">
        <f t="shared" ref="D22:D30" si="17">C22*12</f>
        <v>155666.66666666669</v>
      </c>
      <c r="E22" s="137">
        <v>89566</v>
      </c>
      <c r="F22" s="391">
        <f t="shared" ref="F22:F30" si="18">E22/9</f>
        <v>9951.7777777777774</v>
      </c>
      <c r="G22" s="392">
        <f t="shared" ref="G22:G30" si="19">F22*12</f>
        <v>119421.33333333333</v>
      </c>
      <c r="H22" s="137">
        <f>101765-E22</f>
        <v>12199</v>
      </c>
      <c r="I22" s="219">
        <f t="shared" si="14"/>
        <v>1355.4444444444443</v>
      </c>
      <c r="J22" s="393">
        <f t="shared" ref="J22:J30" si="20">I22*12</f>
        <v>16265.333333333332</v>
      </c>
      <c r="K22" s="138" t="s">
        <v>1462</v>
      </c>
      <c r="L22" s="219">
        <v>33160</v>
      </c>
      <c r="M22" s="394">
        <f>106250-N22</f>
        <v>41801</v>
      </c>
      <c r="N22" s="394">
        <v>64449</v>
      </c>
      <c r="O22" s="396">
        <f>M22+N22</f>
        <v>106250</v>
      </c>
      <c r="P22" s="387"/>
    </row>
    <row r="23" spans="1:16" x14ac:dyDescent="0.65">
      <c r="A23" s="138" t="s">
        <v>1463</v>
      </c>
      <c r="B23" s="137">
        <v>178347.6</v>
      </c>
      <c r="C23" s="137">
        <f t="shared" si="16"/>
        <v>19816.400000000001</v>
      </c>
      <c r="D23" s="137">
        <f t="shared" si="17"/>
        <v>237796.80000000002</v>
      </c>
      <c r="E23" s="137">
        <v>174741.7</v>
      </c>
      <c r="F23" s="391">
        <f t="shared" si="18"/>
        <v>19415.744444444445</v>
      </c>
      <c r="G23" s="392">
        <f t="shared" si="19"/>
        <v>232988.93333333335</v>
      </c>
      <c r="H23" s="137">
        <v>0</v>
      </c>
      <c r="I23" s="219">
        <f t="shared" si="14"/>
        <v>0</v>
      </c>
      <c r="J23" s="393">
        <f t="shared" si="20"/>
        <v>0</v>
      </c>
      <c r="K23" s="138" t="s">
        <v>1463</v>
      </c>
      <c r="L23" s="219">
        <v>4536.8</v>
      </c>
      <c r="M23" s="23">
        <f>353100-N23</f>
        <v>299172</v>
      </c>
      <c r="N23" s="23">
        <f>3595.2*15</f>
        <v>53928</v>
      </c>
      <c r="O23" s="395">
        <f t="shared" ref="O23:O28" si="21">SUM(M23:N23)</f>
        <v>353100</v>
      </c>
      <c r="P23" s="387"/>
    </row>
    <row r="24" spans="1:16" x14ac:dyDescent="0.65">
      <c r="A24" s="138" t="s">
        <v>1509</v>
      </c>
      <c r="B24" s="137">
        <v>1058685.79</v>
      </c>
      <c r="C24" s="137">
        <f t="shared" si="16"/>
        <v>117631.75444444445</v>
      </c>
      <c r="D24" s="137">
        <f t="shared" si="17"/>
        <v>1411581.0533333335</v>
      </c>
      <c r="E24" s="137">
        <v>861344.33</v>
      </c>
      <c r="F24" s="391">
        <f t="shared" si="18"/>
        <v>95704.925555555557</v>
      </c>
      <c r="G24" s="392">
        <f t="shared" si="19"/>
        <v>1148459.1066666667</v>
      </c>
      <c r="H24" s="137">
        <f>1001106.13-E24</f>
        <v>139761.80000000005</v>
      </c>
      <c r="I24" s="219">
        <f t="shared" si="14"/>
        <v>15529.088888888895</v>
      </c>
      <c r="J24" s="393">
        <f t="shared" si="20"/>
        <v>186349.06666666674</v>
      </c>
      <c r="K24" s="138" t="s">
        <v>1509</v>
      </c>
      <c r="L24" s="219">
        <v>629051.65</v>
      </c>
      <c r="M24" s="23">
        <f>1464406.65+659410</f>
        <v>2123816.65</v>
      </c>
      <c r="N24" s="23">
        <v>318535.65050000005</v>
      </c>
      <c r="O24" s="395">
        <f t="shared" si="21"/>
        <v>2442352.3004999999</v>
      </c>
      <c r="P24" s="387"/>
    </row>
    <row r="25" spans="1:16" x14ac:dyDescent="0.65">
      <c r="A25" s="138" t="s">
        <v>1464</v>
      </c>
      <c r="B25" s="137">
        <v>449195</v>
      </c>
      <c r="C25" s="137">
        <f t="shared" si="16"/>
        <v>49910.555555555555</v>
      </c>
      <c r="D25" s="137">
        <f t="shared" si="17"/>
        <v>598926.66666666663</v>
      </c>
      <c r="E25" s="137">
        <v>512873.42</v>
      </c>
      <c r="F25" s="391">
        <f t="shared" si="18"/>
        <v>56985.935555555552</v>
      </c>
      <c r="G25" s="392">
        <f t="shared" si="19"/>
        <v>683831.22666666657</v>
      </c>
      <c r="H25" s="137">
        <f>529910.92-E25</f>
        <v>17037.500000000058</v>
      </c>
      <c r="I25" s="219">
        <f t="shared" si="14"/>
        <v>1893.055555555562</v>
      </c>
      <c r="J25" s="393">
        <f t="shared" si="20"/>
        <v>22716.666666666744</v>
      </c>
      <c r="K25" s="138" t="s">
        <v>1464</v>
      </c>
      <c r="L25" s="219">
        <v>128027</v>
      </c>
      <c r="M25" s="23">
        <f>870638.64-N25</f>
        <v>833449.88879999996</v>
      </c>
      <c r="N25" s="23">
        <v>37188.751200000006</v>
      </c>
      <c r="O25" s="395">
        <f t="shared" si="21"/>
        <v>870638.64</v>
      </c>
      <c r="P25" s="387"/>
    </row>
    <row r="26" spans="1:16" x14ac:dyDescent="0.65">
      <c r="A26" s="138" t="s">
        <v>1498</v>
      </c>
      <c r="B26" s="137">
        <v>0</v>
      </c>
      <c r="C26" s="137">
        <f t="shared" si="16"/>
        <v>0</v>
      </c>
      <c r="D26" s="137">
        <f t="shared" si="17"/>
        <v>0</v>
      </c>
      <c r="E26" s="137">
        <v>0</v>
      </c>
      <c r="F26" s="391">
        <f t="shared" si="18"/>
        <v>0</v>
      </c>
      <c r="G26" s="392">
        <f t="shared" si="19"/>
        <v>0</v>
      </c>
      <c r="H26" s="137">
        <v>0</v>
      </c>
      <c r="I26" s="219">
        <f t="shared" si="14"/>
        <v>0</v>
      </c>
      <c r="J26" s="393">
        <f t="shared" si="20"/>
        <v>0</v>
      </c>
      <c r="K26" s="138" t="s">
        <v>1498</v>
      </c>
      <c r="L26" s="219">
        <v>1947.68</v>
      </c>
      <c r="M26" s="23">
        <v>9962</v>
      </c>
      <c r="N26" s="23">
        <v>0</v>
      </c>
      <c r="O26" s="395">
        <f t="shared" si="21"/>
        <v>9962</v>
      </c>
      <c r="P26" s="387"/>
    </row>
    <row r="27" spans="1:16" x14ac:dyDescent="0.65">
      <c r="A27" s="138" t="s">
        <v>1465</v>
      </c>
      <c r="B27" s="137">
        <v>91687.15</v>
      </c>
      <c r="C27" s="137">
        <f t="shared" si="16"/>
        <v>10187.46111111111</v>
      </c>
      <c r="D27" s="137">
        <f t="shared" si="17"/>
        <v>122249.53333333333</v>
      </c>
      <c r="E27" s="137">
        <v>111187.15</v>
      </c>
      <c r="F27" s="391">
        <f t="shared" si="18"/>
        <v>12354.127777777778</v>
      </c>
      <c r="G27" s="392">
        <f t="shared" si="19"/>
        <v>148249.53333333333</v>
      </c>
      <c r="H27" s="137">
        <v>0</v>
      </c>
      <c r="I27" s="219">
        <f t="shared" si="14"/>
        <v>0</v>
      </c>
      <c r="J27" s="393">
        <f t="shared" si="20"/>
        <v>0</v>
      </c>
      <c r="K27" s="138" t="s">
        <v>1465</v>
      </c>
      <c r="L27" s="219">
        <v>34850</v>
      </c>
      <c r="M27" s="23">
        <v>89470</v>
      </c>
      <c r="N27" s="23">
        <v>0</v>
      </c>
      <c r="O27" s="395">
        <f t="shared" si="21"/>
        <v>89470</v>
      </c>
      <c r="P27" s="387"/>
    </row>
    <row r="28" spans="1:16" x14ac:dyDescent="0.65">
      <c r="A28" s="138" t="s">
        <v>1517</v>
      </c>
      <c r="B28" s="137"/>
      <c r="C28" s="137"/>
      <c r="D28" s="137"/>
      <c r="E28" s="137"/>
      <c r="F28" s="391"/>
      <c r="G28" s="392"/>
      <c r="H28" s="137"/>
      <c r="I28" s="219"/>
      <c r="J28" s="393"/>
      <c r="K28" s="138" t="s">
        <v>1517</v>
      </c>
      <c r="L28" s="219"/>
      <c r="M28" s="23">
        <v>21280</v>
      </c>
      <c r="N28" s="23">
        <v>0</v>
      </c>
      <c r="O28" s="395">
        <f t="shared" si="21"/>
        <v>21280</v>
      </c>
      <c r="P28" s="387"/>
    </row>
    <row r="29" spans="1:16" x14ac:dyDescent="0.65">
      <c r="A29" s="138" t="s">
        <v>1466</v>
      </c>
      <c r="B29" s="137">
        <v>349962.73</v>
      </c>
      <c r="C29" s="137">
        <f t="shared" si="16"/>
        <v>38884.747777777775</v>
      </c>
      <c r="D29" s="137">
        <f t="shared" si="17"/>
        <v>466616.97333333327</v>
      </c>
      <c r="E29" s="397">
        <v>148568.21</v>
      </c>
      <c r="F29" s="391">
        <f t="shared" si="18"/>
        <v>16507.578888888889</v>
      </c>
      <c r="G29" s="392">
        <f t="shared" si="19"/>
        <v>198090.94666666666</v>
      </c>
      <c r="H29" s="137">
        <f>193195.81-E29</f>
        <v>44627.600000000006</v>
      </c>
      <c r="I29" s="219">
        <f t="shared" si="14"/>
        <v>4958.6222222222232</v>
      </c>
      <c r="J29" s="393">
        <f t="shared" si="20"/>
        <v>59503.466666666674</v>
      </c>
      <c r="K29" s="138" t="s">
        <v>1466</v>
      </c>
      <c r="L29" s="219">
        <v>274892.67</v>
      </c>
      <c r="M29" s="23">
        <f>745165-N29</f>
        <v>560684</v>
      </c>
      <c r="N29" s="23">
        <v>184481</v>
      </c>
      <c r="O29" s="395">
        <f>SUM(M29:N29)</f>
        <v>745165</v>
      </c>
      <c r="P29" s="387"/>
    </row>
    <row r="30" spans="1:16" s="91" customFormat="1" x14ac:dyDescent="0.65">
      <c r="A30" s="432" t="s">
        <v>1501</v>
      </c>
      <c r="B30" s="407">
        <v>1326580</v>
      </c>
      <c r="C30" s="407">
        <f t="shared" si="16"/>
        <v>147397.77777777778</v>
      </c>
      <c r="D30" s="407">
        <f t="shared" si="17"/>
        <v>1768773.3333333335</v>
      </c>
      <c r="E30" s="407">
        <v>1320497.32</v>
      </c>
      <c r="F30" s="407">
        <f t="shared" si="18"/>
        <v>146721.92444444445</v>
      </c>
      <c r="G30" s="407">
        <f t="shared" si="19"/>
        <v>1760663.0933333333</v>
      </c>
      <c r="H30" s="407">
        <f>1321217.32-E30</f>
        <v>720</v>
      </c>
      <c r="I30" s="408">
        <f t="shared" si="14"/>
        <v>80</v>
      </c>
      <c r="J30" s="408">
        <f t="shared" si="20"/>
        <v>960</v>
      </c>
      <c r="K30" s="500" t="s">
        <v>1501</v>
      </c>
      <c r="L30" s="408">
        <v>292233.8</v>
      </c>
      <c r="M30" s="408">
        <f>1066488.9-N30</f>
        <v>1062648.8999999999</v>
      </c>
      <c r="N30" s="408">
        <v>3840</v>
      </c>
      <c r="O30" s="409">
        <f>SUM(M30:N30)</f>
        <v>1066488.8999999999</v>
      </c>
      <c r="P30" s="346"/>
    </row>
  </sheetData>
  <mergeCells count="16">
    <mergeCell ref="L14:L15"/>
    <mergeCell ref="M14:N14"/>
    <mergeCell ref="O14:O15"/>
    <mergeCell ref="A1:J1"/>
    <mergeCell ref="A6:I6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</mergeCells>
  <pageMargins left="0.19685039370078741" right="0.19685039370078741" top="0.24" bottom="0.31" header="0.26" footer="0.15748031496062992"/>
  <pageSetup paperSize="9" scale="73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="70" zoomScaleNormal="70" workbookViewId="0">
      <selection activeCell="T41" sqref="T41"/>
    </sheetView>
  </sheetViews>
  <sheetFormatPr defaultRowHeight="17.25" x14ac:dyDescent="0.4"/>
  <cols>
    <col min="1" max="1" width="28.5" style="21" customWidth="1"/>
    <col min="2" max="3" width="20.625" style="21" customWidth="1"/>
    <col min="4" max="4" width="20.625" style="143" customWidth="1"/>
    <col min="5" max="5" width="16.875" style="21" customWidth="1"/>
    <col min="6" max="6" width="16.625" style="21" customWidth="1"/>
    <col min="7" max="7" width="19.5" style="21" customWidth="1"/>
    <col min="8" max="8" width="28.375" style="21" customWidth="1"/>
    <col min="9" max="13" width="13.25" style="21" customWidth="1"/>
    <col min="14" max="14" width="11.5" style="21" customWidth="1"/>
    <col min="15" max="15" width="12.75" style="21" customWidth="1"/>
    <col min="16" max="16" width="13.25" style="21" customWidth="1"/>
    <col min="17" max="17" width="13.25" style="21" bestFit="1" customWidth="1"/>
    <col min="18" max="18" width="11.75" style="21" customWidth="1"/>
    <col min="19" max="19" width="13.25" style="21" bestFit="1" customWidth="1"/>
    <col min="20" max="16384" width="9" style="21"/>
  </cols>
  <sheetData>
    <row r="1" spans="1:8" ht="27.75" x14ac:dyDescent="0.4">
      <c r="A1" s="557" t="s">
        <v>757</v>
      </c>
      <c r="B1" s="557"/>
      <c r="C1" s="557"/>
      <c r="D1" s="557"/>
      <c r="E1" s="557"/>
      <c r="F1" s="557"/>
      <c r="G1" s="557"/>
      <c r="H1" s="504"/>
    </row>
    <row r="2" spans="1:8" ht="83.25" x14ac:dyDescent="0.4">
      <c r="A2" s="401" t="s">
        <v>754</v>
      </c>
      <c r="B2" s="199" t="s">
        <v>1360</v>
      </c>
      <c r="C2" s="199" t="s">
        <v>1361</v>
      </c>
      <c r="D2" s="411" t="s">
        <v>1362</v>
      </c>
      <c r="E2" s="200" t="s">
        <v>1369</v>
      </c>
      <c r="F2" s="199" t="s">
        <v>1370</v>
      </c>
      <c r="G2" s="201" t="s">
        <v>1371</v>
      </c>
      <c r="H2" s="511"/>
    </row>
    <row r="3" spans="1:8" s="26" customFormat="1" ht="24" x14ac:dyDescent="0.55000000000000004">
      <c r="A3" s="398" t="s">
        <v>624</v>
      </c>
      <c r="B3" s="402">
        <v>120565.85</v>
      </c>
      <c r="C3" s="402">
        <v>168768</v>
      </c>
      <c r="D3" s="137">
        <f>107372+20800+52000+1200</f>
        <v>181372</v>
      </c>
      <c r="E3" s="137">
        <f>D29+D30+D31+D32</f>
        <v>205428.33333333334</v>
      </c>
      <c r="F3" s="137">
        <f>E29+E30+E31+E32</f>
        <v>83832</v>
      </c>
      <c r="G3" s="196">
        <f>P29+P30+P31+P32</f>
        <v>1004098.2</v>
      </c>
      <c r="H3" s="512"/>
    </row>
    <row r="4" spans="1:8" s="26" customFormat="1" ht="24" x14ac:dyDescent="0.55000000000000004">
      <c r="A4" s="398" t="s">
        <v>625</v>
      </c>
      <c r="B4" s="402">
        <v>3000</v>
      </c>
      <c r="C4" s="402">
        <v>0</v>
      </c>
      <c r="D4" s="137">
        <v>0</v>
      </c>
      <c r="E4" s="137">
        <f>D33</f>
        <v>0</v>
      </c>
      <c r="F4" s="137">
        <f>E33</f>
        <v>0</v>
      </c>
      <c r="G4" s="196">
        <f>P33</f>
        <v>0</v>
      </c>
      <c r="H4" s="512"/>
    </row>
    <row r="5" spans="1:8" s="26" customFormat="1" ht="24" x14ac:dyDescent="0.55000000000000004">
      <c r="A5" s="398" t="s">
        <v>626</v>
      </c>
      <c r="B5" s="402">
        <v>631529.21</v>
      </c>
      <c r="C5" s="402">
        <v>742404</v>
      </c>
      <c r="D5" s="137">
        <f>548255.2+15960</f>
        <v>564215.19999999995</v>
      </c>
      <c r="E5" s="137">
        <f>D34+D35</f>
        <v>621365.77777777775</v>
      </c>
      <c r="F5" s="137">
        <f>E34+E35</f>
        <v>4984</v>
      </c>
      <c r="G5" s="196">
        <f>P34+P35</f>
        <v>632690</v>
      </c>
      <c r="H5" s="512"/>
    </row>
    <row r="6" spans="1:8" s="26" customFormat="1" ht="24" x14ac:dyDescent="0.55000000000000004">
      <c r="A6" s="398" t="s">
        <v>627</v>
      </c>
      <c r="B6" s="219">
        <v>0</v>
      </c>
      <c r="C6" s="219">
        <v>0</v>
      </c>
      <c r="D6" s="219">
        <v>0</v>
      </c>
      <c r="E6" s="210">
        <f t="shared" ref="E6:F13" si="0">D36</f>
        <v>0</v>
      </c>
      <c r="F6" s="210">
        <f t="shared" si="0"/>
        <v>0</v>
      </c>
      <c r="G6" s="196">
        <f t="shared" ref="G6:G13" si="1">P36</f>
        <v>19950</v>
      </c>
      <c r="H6" s="512"/>
    </row>
    <row r="7" spans="1:8" s="26" customFormat="1" ht="24" x14ac:dyDescent="0.55000000000000004">
      <c r="A7" s="398" t="s">
        <v>628</v>
      </c>
      <c r="B7" s="219">
        <v>0</v>
      </c>
      <c r="C7" s="219">
        <v>0</v>
      </c>
      <c r="D7" s="219">
        <v>0</v>
      </c>
      <c r="E7" s="210">
        <f t="shared" si="0"/>
        <v>0</v>
      </c>
      <c r="F7" s="210">
        <f t="shared" si="0"/>
        <v>0</v>
      </c>
      <c r="G7" s="196">
        <f t="shared" si="1"/>
        <v>0</v>
      </c>
      <c r="H7" s="512"/>
    </row>
    <row r="8" spans="1:8" s="26" customFormat="1" ht="24" x14ac:dyDescent="0.55000000000000004">
      <c r="A8" s="398" t="s">
        <v>629</v>
      </c>
      <c r="B8" s="219">
        <v>375360</v>
      </c>
      <c r="C8" s="219">
        <v>184649.7</v>
      </c>
      <c r="D8" s="219">
        <v>226225</v>
      </c>
      <c r="E8" s="210">
        <f t="shared" si="0"/>
        <v>176657</v>
      </c>
      <c r="F8" s="210">
        <f t="shared" si="0"/>
        <v>142833</v>
      </c>
      <c r="G8" s="196">
        <f t="shared" si="1"/>
        <v>537270</v>
      </c>
      <c r="H8" s="512"/>
    </row>
    <row r="9" spans="1:8" s="26" customFormat="1" ht="24" x14ac:dyDescent="0.55000000000000004">
      <c r="A9" s="398" t="s">
        <v>630</v>
      </c>
      <c r="B9" s="219">
        <v>184499</v>
      </c>
      <c r="C9" s="219">
        <v>401018.5</v>
      </c>
      <c r="D9" s="219">
        <v>423305</v>
      </c>
      <c r="E9" s="210">
        <f t="shared" si="0"/>
        <v>469573.3666666667</v>
      </c>
      <c r="F9" s="210">
        <f t="shared" si="0"/>
        <v>83777.55</v>
      </c>
      <c r="G9" s="196">
        <f t="shared" si="1"/>
        <v>1034361</v>
      </c>
      <c r="H9" s="512"/>
    </row>
    <row r="10" spans="1:8" s="26" customFormat="1" ht="24" x14ac:dyDescent="0.55000000000000004">
      <c r="A10" s="398" t="s">
        <v>631</v>
      </c>
      <c r="B10" s="219">
        <v>505817</v>
      </c>
      <c r="C10" s="219">
        <v>496945</v>
      </c>
      <c r="D10" s="219">
        <v>338035</v>
      </c>
      <c r="E10" s="210">
        <f t="shared" si="0"/>
        <v>398127.77777777775</v>
      </c>
      <c r="F10" s="210">
        <f t="shared" si="0"/>
        <v>15420</v>
      </c>
      <c r="G10" s="196">
        <f t="shared" si="1"/>
        <v>794420</v>
      </c>
      <c r="H10" s="512"/>
    </row>
    <row r="11" spans="1:8" s="26" customFormat="1" ht="24" x14ac:dyDescent="0.55000000000000004">
      <c r="A11" s="398" t="s">
        <v>632</v>
      </c>
      <c r="B11" s="219">
        <v>0</v>
      </c>
      <c r="C11" s="219">
        <v>0</v>
      </c>
      <c r="D11" s="219">
        <v>104350</v>
      </c>
      <c r="E11" s="210">
        <f t="shared" si="0"/>
        <v>105277.77777777778</v>
      </c>
      <c r="F11" s="210">
        <f t="shared" si="0"/>
        <v>0</v>
      </c>
      <c r="G11" s="196">
        <f t="shared" si="1"/>
        <v>174000</v>
      </c>
      <c r="H11" s="512"/>
    </row>
    <row r="12" spans="1:8" s="26" customFormat="1" ht="24" x14ac:dyDescent="0.55000000000000004">
      <c r="A12" s="398" t="s">
        <v>633</v>
      </c>
      <c r="B12" s="219">
        <v>114574</v>
      </c>
      <c r="C12" s="219">
        <v>165205</v>
      </c>
      <c r="D12" s="219">
        <v>139824</v>
      </c>
      <c r="E12" s="210">
        <f t="shared" si="0"/>
        <v>155360</v>
      </c>
      <c r="F12" s="210">
        <f t="shared" si="0"/>
        <v>0</v>
      </c>
      <c r="G12" s="196">
        <f t="shared" si="1"/>
        <v>756649.5</v>
      </c>
      <c r="H12" s="512"/>
    </row>
    <row r="13" spans="1:8" s="26" customFormat="1" ht="24" x14ac:dyDescent="0.55000000000000004">
      <c r="A13" s="398" t="s">
        <v>634</v>
      </c>
      <c r="B13" s="219">
        <v>39772</v>
      </c>
      <c r="C13" s="219">
        <v>2120</v>
      </c>
      <c r="D13" s="219"/>
      <c r="E13" s="210">
        <f t="shared" si="0"/>
        <v>0</v>
      </c>
      <c r="F13" s="210">
        <f t="shared" si="0"/>
        <v>0</v>
      </c>
      <c r="G13" s="196">
        <f t="shared" si="1"/>
        <v>76495</v>
      </c>
      <c r="H13" s="512"/>
    </row>
    <row r="14" spans="1:8" s="26" customFormat="1" ht="24" x14ac:dyDescent="0.55000000000000004">
      <c r="A14" s="565" t="s">
        <v>666</v>
      </c>
      <c r="B14" s="565"/>
      <c r="C14" s="565"/>
      <c r="D14" s="565"/>
      <c r="E14" s="565"/>
      <c r="F14" s="565"/>
      <c r="G14" s="403">
        <f>SUM(G3:G13)</f>
        <v>5029933.7</v>
      </c>
      <c r="H14" s="513"/>
    </row>
    <row r="26" spans="1:18" ht="24" x14ac:dyDescent="0.55000000000000004">
      <c r="A26" s="10" t="s">
        <v>1461</v>
      </c>
    </row>
    <row r="27" spans="1:18" ht="48" x14ac:dyDescent="0.4">
      <c r="A27" s="404" t="s">
        <v>754</v>
      </c>
      <c r="B27" s="218" t="s">
        <v>1485</v>
      </c>
      <c r="C27" s="404" t="s">
        <v>1481</v>
      </c>
      <c r="D27" s="405" t="s">
        <v>1486</v>
      </c>
      <c r="E27" s="405" t="s">
        <v>1487</v>
      </c>
      <c r="F27" s="562" t="s">
        <v>1488</v>
      </c>
      <c r="G27" s="563"/>
      <c r="H27" s="563"/>
      <c r="I27" s="563"/>
      <c r="J27" s="563"/>
      <c r="K27" s="563"/>
      <c r="L27" s="563"/>
      <c r="M27" s="563"/>
      <c r="N27" s="563"/>
      <c r="O27" s="564"/>
      <c r="P27" s="566" t="s">
        <v>1489</v>
      </c>
      <c r="Q27" s="561" t="s">
        <v>1490</v>
      </c>
      <c r="R27" s="561" t="s">
        <v>1482</v>
      </c>
    </row>
    <row r="28" spans="1:18" s="507" customFormat="1" ht="24" x14ac:dyDescent="0.55000000000000004">
      <c r="A28" s="218"/>
      <c r="B28" s="218"/>
      <c r="C28" s="218"/>
      <c r="D28" s="405"/>
      <c r="E28" s="405"/>
      <c r="F28" s="508" t="s">
        <v>1397</v>
      </c>
      <c r="G28" s="509" t="s">
        <v>1399</v>
      </c>
      <c r="H28" s="509"/>
      <c r="I28" s="508" t="s">
        <v>1400</v>
      </c>
      <c r="J28" s="509" t="s">
        <v>1401</v>
      </c>
      <c r="K28" s="509" t="s">
        <v>1402</v>
      </c>
      <c r="L28" s="509" t="s">
        <v>1403</v>
      </c>
      <c r="M28" s="509" t="s">
        <v>1483</v>
      </c>
      <c r="N28" s="509" t="s">
        <v>1405</v>
      </c>
      <c r="O28" s="510" t="s">
        <v>1484</v>
      </c>
      <c r="P28" s="567"/>
      <c r="Q28" s="561"/>
      <c r="R28" s="561"/>
    </row>
    <row r="29" spans="1:18" ht="24" x14ac:dyDescent="0.55000000000000004">
      <c r="A29" s="398" t="s">
        <v>1508</v>
      </c>
      <c r="B29" s="137">
        <v>123827.5</v>
      </c>
      <c r="C29" s="210">
        <f>B29/9</f>
        <v>13758.611111111111</v>
      </c>
      <c r="D29" s="219">
        <f>B29+C29</f>
        <v>137586.11111111112</v>
      </c>
      <c r="E29" s="137">
        <v>48660</v>
      </c>
      <c r="F29" s="23">
        <v>2600</v>
      </c>
      <c r="G29" s="23"/>
      <c r="H29" s="398" t="s">
        <v>1508</v>
      </c>
      <c r="I29" s="23"/>
      <c r="J29" s="23"/>
      <c r="K29" s="23">
        <v>14000</v>
      </c>
      <c r="L29" s="23">
        <v>59000</v>
      </c>
      <c r="M29" s="23">
        <v>715958.2</v>
      </c>
      <c r="N29" s="23">
        <f>5000+48000</f>
        <v>53000</v>
      </c>
      <c r="O29" s="23"/>
      <c r="P29" s="399">
        <f>SUM(F29:O29)</f>
        <v>844558.2</v>
      </c>
      <c r="Q29" s="399">
        <f>E29+P29-R29</f>
        <v>805218.2</v>
      </c>
      <c r="R29" s="393">
        <v>88000</v>
      </c>
    </row>
    <row r="30" spans="1:18" ht="24" x14ac:dyDescent="0.55000000000000004">
      <c r="A30" s="398" t="s">
        <v>1491</v>
      </c>
      <c r="B30" s="137">
        <v>40430</v>
      </c>
      <c r="C30" s="210">
        <f t="shared" ref="C30:C32" si="2">B30/9</f>
        <v>4492.2222222222226</v>
      </c>
      <c r="D30" s="219">
        <f t="shared" ref="D30:D32" si="3">B30+C30</f>
        <v>44922.222222222219</v>
      </c>
      <c r="E30" s="137">
        <v>2600</v>
      </c>
      <c r="F30" s="23"/>
      <c r="G30" s="23"/>
      <c r="H30" s="398" t="s">
        <v>1491</v>
      </c>
      <c r="I30" s="23"/>
      <c r="J30" s="23"/>
      <c r="K30" s="23"/>
      <c r="L30" s="23"/>
      <c r="M30" s="23"/>
      <c r="N30" s="23"/>
      <c r="O30" s="23">
        <v>67340</v>
      </c>
      <c r="P30" s="399">
        <f t="shared" ref="P30:P43" si="4">SUM(F30:O30)</f>
        <v>67340</v>
      </c>
      <c r="Q30" s="399"/>
      <c r="R30" s="393"/>
    </row>
    <row r="31" spans="1:18" ht="24" x14ac:dyDescent="0.55000000000000004">
      <c r="A31" s="398" t="s">
        <v>1492</v>
      </c>
      <c r="B31" s="137">
        <v>19428</v>
      </c>
      <c r="C31" s="210">
        <f t="shared" si="2"/>
        <v>2158.6666666666665</v>
      </c>
      <c r="D31" s="219">
        <f t="shared" si="3"/>
        <v>21586.666666666668</v>
      </c>
      <c r="E31" s="137">
        <v>32572</v>
      </c>
      <c r="F31" s="23"/>
      <c r="G31" s="23">
        <v>92200</v>
      </c>
      <c r="H31" s="398" t="s">
        <v>1492</v>
      </c>
      <c r="I31" s="23"/>
      <c r="J31" s="23"/>
      <c r="K31" s="23"/>
      <c r="L31" s="23"/>
      <c r="M31" s="23"/>
      <c r="N31" s="23"/>
      <c r="O31" s="23"/>
      <c r="P31" s="399">
        <f t="shared" si="4"/>
        <v>92200</v>
      </c>
      <c r="Q31" s="399"/>
      <c r="R31" s="393"/>
    </row>
    <row r="32" spans="1:18" ht="24" x14ac:dyDescent="0.55000000000000004">
      <c r="A32" s="398" t="s">
        <v>1502</v>
      </c>
      <c r="B32" s="137">
        <v>1200</v>
      </c>
      <c r="C32" s="210">
        <f t="shared" si="2"/>
        <v>133.33333333333334</v>
      </c>
      <c r="D32" s="219">
        <f t="shared" si="3"/>
        <v>1333.3333333333333</v>
      </c>
      <c r="E32" s="137">
        <v>0</v>
      </c>
      <c r="F32" s="23"/>
      <c r="G32" s="23"/>
      <c r="H32" s="398" t="s">
        <v>1502</v>
      </c>
      <c r="I32" s="23"/>
      <c r="J32" s="23"/>
      <c r="K32" s="23"/>
      <c r="L32" s="23"/>
      <c r="M32" s="23"/>
      <c r="N32" s="23"/>
      <c r="O32" s="23"/>
      <c r="P32" s="399">
        <f t="shared" si="4"/>
        <v>0</v>
      </c>
      <c r="Q32" s="399"/>
      <c r="R32" s="393"/>
    </row>
    <row r="33" spans="1:18" ht="24" x14ac:dyDescent="0.55000000000000004">
      <c r="A33" s="398" t="s">
        <v>625</v>
      </c>
      <c r="B33" s="137">
        <v>0</v>
      </c>
      <c r="C33" s="210">
        <f t="shared" ref="C33:C43" si="5">B33/9</f>
        <v>0</v>
      </c>
      <c r="D33" s="219">
        <f t="shared" ref="D33:D43" si="6">B33+C33</f>
        <v>0</v>
      </c>
      <c r="E33" s="137">
        <v>0</v>
      </c>
      <c r="F33" s="23"/>
      <c r="G33" s="23"/>
      <c r="H33" s="398" t="s">
        <v>625</v>
      </c>
      <c r="I33" s="23"/>
      <c r="J33" s="23"/>
      <c r="K33" s="23"/>
      <c r="L33" s="23"/>
      <c r="M33" s="23"/>
      <c r="N33" s="23"/>
      <c r="O33" s="23"/>
      <c r="P33" s="399">
        <f t="shared" si="4"/>
        <v>0</v>
      </c>
      <c r="Q33" s="399">
        <f>E33+P33-R33</f>
        <v>0</v>
      </c>
      <c r="R33" s="393">
        <v>0</v>
      </c>
    </row>
    <row r="34" spans="1:18" ht="24" x14ac:dyDescent="0.55000000000000004">
      <c r="A34" s="398" t="s">
        <v>1493</v>
      </c>
      <c r="B34" s="137">
        <v>543269.19999999995</v>
      </c>
      <c r="C34" s="210">
        <f t="shared" si="5"/>
        <v>60363.244444444441</v>
      </c>
      <c r="D34" s="219">
        <f t="shared" si="6"/>
        <v>603632.44444444438</v>
      </c>
      <c r="E34" s="137">
        <v>4984</v>
      </c>
      <c r="F34" s="23"/>
      <c r="G34" s="23"/>
      <c r="H34" s="398" t="s">
        <v>1493</v>
      </c>
      <c r="I34" s="23"/>
      <c r="J34" s="23"/>
      <c r="K34" s="23"/>
      <c r="L34" s="23"/>
      <c r="M34" s="23">
        <v>610850</v>
      </c>
      <c r="N34" s="23"/>
      <c r="O34" s="23"/>
      <c r="P34" s="399">
        <f t="shared" si="4"/>
        <v>610850</v>
      </c>
      <c r="Q34" s="399">
        <f>E34+P34-R34</f>
        <v>615834</v>
      </c>
      <c r="R34" s="393">
        <v>0</v>
      </c>
    </row>
    <row r="35" spans="1:18" ht="24" x14ac:dyDescent="0.55000000000000004">
      <c r="A35" s="398" t="s">
        <v>1494</v>
      </c>
      <c r="B35" s="137">
        <v>15960</v>
      </c>
      <c r="C35" s="210">
        <f t="shared" si="5"/>
        <v>1773.3333333333333</v>
      </c>
      <c r="D35" s="219">
        <f t="shared" si="6"/>
        <v>17733.333333333332</v>
      </c>
      <c r="E35" s="137">
        <v>0</v>
      </c>
      <c r="F35" s="23">
        <v>21840</v>
      </c>
      <c r="G35" s="23"/>
      <c r="H35" s="398" t="s">
        <v>1494</v>
      </c>
      <c r="I35" s="23"/>
      <c r="J35" s="23"/>
      <c r="K35" s="23"/>
      <c r="L35" s="23"/>
      <c r="M35" s="23"/>
      <c r="N35" s="23"/>
      <c r="O35" s="23"/>
      <c r="P35" s="399">
        <f t="shared" si="4"/>
        <v>21840</v>
      </c>
      <c r="Q35" s="399"/>
      <c r="R35" s="393"/>
    </row>
    <row r="36" spans="1:18" ht="24" x14ac:dyDescent="0.55000000000000004">
      <c r="A36" s="398" t="s">
        <v>627</v>
      </c>
      <c r="B36" s="137">
        <v>0</v>
      </c>
      <c r="C36" s="210">
        <f t="shared" si="5"/>
        <v>0</v>
      </c>
      <c r="D36" s="219">
        <f t="shared" si="6"/>
        <v>0</v>
      </c>
      <c r="E36" s="137">
        <v>0</v>
      </c>
      <c r="F36" s="23"/>
      <c r="G36" s="23"/>
      <c r="H36" s="398" t="s">
        <v>627</v>
      </c>
      <c r="I36" s="23"/>
      <c r="J36" s="23"/>
      <c r="K36" s="23">
        <v>19950</v>
      </c>
      <c r="L36" s="23"/>
      <c r="M36" s="23"/>
      <c r="N36" s="23"/>
      <c r="O36" s="23"/>
      <c r="P36" s="399">
        <f t="shared" si="4"/>
        <v>19950</v>
      </c>
      <c r="Q36" s="399">
        <f t="shared" ref="Q36:Q43" si="7">E36+P36-R36</f>
        <v>19950</v>
      </c>
      <c r="R36" s="393">
        <v>0</v>
      </c>
    </row>
    <row r="37" spans="1:18" ht="24" x14ac:dyDescent="0.55000000000000004">
      <c r="A37" s="398" t="s">
        <v>628</v>
      </c>
      <c r="B37" s="219">
        <v>0</v>
      </c>
      <c r="C37" s="210">
        <f t="shared" si="5"/>
        <v>0</v>
      </c>
      <c r="D37" s="219">
        <f t="shared" si="6"/>
        <v>0</v>
      </c>
      <c r="E37" s="137">
        <v>0</v>
      </c>
      <c r="F37" s="23"/>
      <c r="G37" s="23"/>
      <c r="H37" s="398" t="s">
        <v>628</v>
      </c>
      <c r="I37" s="23"/>
      <c r="J37" s="23"/>
      <c r="K37" s="23"/>
      <c r="L37" s="23"/>
      <c r="M37" s="23"/>
      <c r="N37" s="23"/>
      <c r="O37" s="23"/>
      <c r="P37" s="399">
        <f t="shared" si="4"/>
        <v>0</v>
      </c>
      <c r="Q37" s="399">
        <f t="shared" si="7"/>
        <v>0</v>
      </c>
      <c r="R37" s="393">
        <v>0</v>
      </c>
    </row>
    <row r="38" spans="1:18" ht="24" x14ac:dyDescent="0.55000000000000004">
      <c r="A38" s="398" t="s">
        <v>629</v>
      </c>
      <c r="B38" s="219">
        <v>158991.29999999999</v>
      </c>
      <c r="C38" s="210">
        <f t="shared" si="5"/>
        <v>17665.699999999997</v>
      </c>
      <c r="D38" s="219">
        <f t="shared" si="6"/>
        <v>176657</v>
      </c>
      <c r="E38" s="219">
        <v>142833</v>
      </c>
      <c r="F38" s="23"/>
      <c r="G38" s="23"/>
      <c r="H38" s="398" t="s">
        <v>629</v>
      </c>
      <c r="I38" s="23"/>
      <c r="J38" s="23"/>
      <c r="K38" s="23"/>
      <c r="L38" s="23"/>
      <c r="M38" s="23"/>
      <c r="N38" s="23"/>
      <c r="O38" s="23">
        <v>537270</v>
      </c>
      <c r="P38" s="399">
        <f t="shared" si="4"/>
        <v>537270</v>
      </c>
      <c r="Q38" s="399">
        <f t="shared" si="7"/>
        <v>530103</v>
      </c>
      <c r="R38" s="393">
        <v>150000</v>
      </c>
    </row>
    <row r="39" spans="1:18" ht="24" x14ac:dyDescent="0.55000000000000004">
      <c r="A39" s="398" t="s">
        <v>630</v>
      </c>
      <c r="B39" s="219">
        <v>422616.03</v>
      </c>
      <c r="C39" s="210">
        <f t="shared" si="5"/>
        <v>46957.33666666667</v>
      </c>
      <c r="D39" s="219">
        <f t="shared" si="6"/>
        <v>469573.3666666667</v>
      </c>
      <c r="E39" s="219">
        <v>83777.55</v>
      </c>
      <c r="F39" s="23">
        <v>43400</v>
      </c>
      <c r="G39" s="23">
        <v>17000</v>
      </c>
      <c r="H39" s="398" t="s">
        <v>630</v>
      </c>
      <c r="I39" s="23"/>
      <c r="J39" s="23">
        <v>10180</v>
      </c>
      <c r="K39" s="23"/>
      <c r="L39" s="23"/>
      <c r="M39" s="23">
        <v>963781</v>
      </c>
      <c r="N39" s="23"/>
      <c r="O39" s="23"/>
      <c r="P39" s="399">
        <f t="shared" si="4"/>
        <v>1034361</v>
      </c>
      <c r="Q39" s="399">
        <f t="shared" si="7"/>
        <v>1013138.55</v>
      </c>
      <c r="R39" s="393">
        <v>105000</v>
      </c>
    </row>
    <row r="40" spans="1:18" ht="24" x14ac:dyDescent="0.55000000000000004">
      <c r="A40" s="398" t="s">
        <v>631</v>
      </c>
      <c r="B40" s="219">
        <v>358315</v>
      </c>
      <c r="C40" s="210">
        <f t="shared" si="5"/>
        <v>39812.777777777781</v>
      </c>
      <c r="D40" s="219">
        <f t="shared" si="6"/>
        <v>398127.77777777775</v>
      </c>
      <c r="E40" s="219">
        <v>15420</v>
      </c>
      <c r="F40" s="23">
        <v>750000</v>
      </c>
      <c r="G40" s="23"/>
      <c r="H40" s="398" t="s">
        <v>631</v>
      </c>
      <c r="I40" s="23"/>
      <c r="J40" s="23"/>
      <c r="K40" s="23"/>
      <c r="L40" s="23"/>
      <c r="M40" s="23">
        <v>44420</v>
      </c>
      <c r="N40" s="23"/>
      <c r="O40" s="23"/>
      <c r="P40" s="399">
        <f t="shared" si="4"/>
        <v>794420</v>
      </c>
      <c r="Q40" s="399">
        <f t="shared" si="7"/>
        <v>809840</v>
      </c>
      <c r="R40" s="400">
        <v>0</v>
      </c>
    </row>
    <row r="41" spans="1:18" ht="24" x14ac:dyDescent="0.55000000000000004">
      <c r="A41" s="398" t="s">
        <v>632</v>
      </c>
      <c r="B41" s="219">
        <v>94750</v>
      </c>
      <c r="C41" s="210">
        <f t="shared" si="5"/>
        <v>10527.777777777777</v>
      </c>
      <c r="D41" s="219">
        <f t="shared" si="6"/>
        <v>105277.77777777778</v>
      </c>
      <c r="E41" s="219">
        <v>0</v>
      </c>
      <c r="F41" s="23">
        <v>174000</v>
      </c>
      <c r="G41" s="23"/>
      <c r="H41" s="398" t="s">
        <v>632</v>
      </c>
      <c r="I41" s="23"/>
      <c r="J41" s="23"/>
      <c r="K41" s="23"/>
      <c r="L41" s="23"/>
      <c r="M41" s="23"/>
      <c r="N41" s="23"/>
      <c r="O41" s="23"/>
      <c r="P41" s="399">
        <f t="shared" si="4"/>
        <v>174000</v>
      </c>
      <c r="Q41" s="399">
        <f t="shared" si="7"/>
        <v>174000</v>
      </c>
      <c r="R41" s="400">
        <v>0</v>
      </c>
    </row>
    <row r="42" spans="1:18" ht="24" x14ac:dyDescent="0.55000000000000004">
      <c r="A42" s="398" t="s">
        <v>633</v>
      </c>
      <c r="B42" s="219">
        <v>139824</v>
      </c>
      <c r="C42" s="210">
        <f t="shared" si="5"/>
        <v>15536</v>
      </c>
      <c r="D42" s="219">
        <f t="shared" si="6"/>
        <v>155360</v>
      </c>
      <c r="E42" s="219">
        <v>0</v>
      </c>
      <c r="F42" s="23"/>
      <c r="G42" s="23"/>
      <c r="H42" s="398" t="s">
        <v>633</v>
      </c>
      <c r="I42" s="23"/>
      <c r="J42" s="23"/>
      <c r="K42" s="23">
        <v>75400</v>
      </c>
      <c r="L42" s="23"/>
      <c r="M42" s="23">
        <v>681249.5</v>
      </c>
      <c r="N42" s="23"/>
      <c r="O42" s="23"/>
      <c r="P42" s="399">
        <f t="shared" si="4"/>
        <v>756649.5</v>
      </c>
      <c r="Q42" s="399">
        <f t="shared" si="7"/>
        <v>756649.5</v>
      </c>
      <c r="R42" s="400">
        <v>0</v>
      </c>
    </row>
    <row r="43" spans="1:18" ht="24" x14ac:dyDescent="0.55000000000000004">
      <c r="A43" s="398" t="s">
        <v>634</v>
      </c>
      <c r="B43" s="219">
        <v>0</v>
      </c>
      <c r="C43" s="210">
        <f t="shared" si="5"/>
        <v>0</v>
      </c>
      <c r="D43" s="219">
        <f t="shared" si="6"/>
        <v>0</v>
      </c>
      <c r="E43" s="219">
        <v>0</v>
      </c>
      <c r="F43" s="23"/>
      <c r="G43" s="23"/>
      <c r="H43" s="398" t="s">
        <v>634</v>
      </c>
      <c r="I43" s="23"/>
      <c r="J43" s="23"/>
      <c r="K43" s="23">
        <v>21000</v>
      </c>
      <c r="L43" s="23"/>
      <c r="M43" s="23">
        <v>55495</v>
      </c>
      <c r="N43" s="23"/>
      <c r="O43" s="23"/>
      <c r="P43" s="399">
        <f t="shared" si="4"/>
        <v>76495</v>
      </c>
      <c r="Q43" s="399">
        <f t="shared" si="7"/>
        <v>76495</v>
      </c>
      <c r="R43" s="400">
        <v>0</v>
      </c>
    </row>
    <row r="44" spans="1:18" ht="24" x14ac:dyDescent="0.55000000000000004">
      <c r="A44" s="26"/>
      <c r="B44" s="26"/>
      <c r="C44" s="26"/>
      <c r="D44" s="387"/>
      <c r="E44" s="387"/>
      <c r="F44" s="387">
        <f>SUM(F29:F43)</f>
        <v>991840</v>
      </c>
      <c r="G44" s="387">
        <f t="shared" ref="G44:O44" si="8">SUM(G29:G43)</f>
        <v>109200</v>
      </c>
      <c r="H44" s="387"/>
      <c r="I44" s="387">
        <f t="shared" si="8"/>
        <v>0</v>
      </c>
      <c r="J44" s="387">
        <f t="shared" si="8"/>
        <v>10180</v>
      </c>
      <c r="K44" s="387">
        <f t="shared" si="8"/>
        <v>130350</v>
      </c>
      <c r="L44" s="387">
        <f t="shared" si="8"/>
        <v>59000</v>
      </c>
      <c r="M44" s="387">
        <f t="shared" si="8"/>
        <v>3071753.7</v>
      </c>
      <c r="N44" s="387">
        <f t="shared" si="8"/>
        <v>53000</v>
      </c>
      <c r="O44" s="387">
        <f t="shared" si="8"/>
        <v>604610</v>
      </c>
      <c r="P44" s="26"/>
      <c r="Q44" s="26"/>
      <c r="R44" s="26"/>
    </row>
    <row r="45" spans="1:18" ht="24" x14ac:dyDescent="0.55000000000000004">
      <c r="A45" s="26"/>
      <c r="B45" s="26"/>
      <c r="C45" s="26"/>
      <c r="D45" s="387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</row>
  </sheetData>
  <mergeCells count="6">
    <mergeCell ref="R27:R28"/>
    <mergeCell ref="F27:O27"/>
    <mergeCell ref="A1:G1"/>
    <mergeCell ref="A14:F14"/>
    <mergeCell ref="P27:P28"/>
    <mergeCell ref="Q27:Q28"/>
  </mergeCells>
  <pageMargins left="0.2" right="0.2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="70" zoomScaleNormal="70" workbookViewId="0">
      <selection activeCell="H3" sqref="H3"/>
    </sheetView>
  </sheetViews>
  <sheetFormatPr defaultColWidth="9" defaultRowHeight="17.25" x14ac:dyDescent="0.4"/>
  <cols>
    <col min="1" max="1" width="23.625" style="21" customWidth="1"/>
    <col min="2" max="2" width="19" style="21" customWidth="1"/>
    <col min="3" max="3" width="19.625" style="21" customWidth="1"/>
    <col min="4" max="4" width="24.125" style="143" customWidth="1"/>
    <col min="5" max="5" width="22.5" style="143" customWidth="1"/>
    <col min="6" max="6" width="22.25" style="21" customWidth="1"/>
    <col min="7" max="7" width="23.125" style="21" bestFit="1" customWidth="1"/>
    <col min="8" max="9" width="12.625" style="21" bestFit="1" customWidth="1"/>
    <col min="10" max="10" width="8.875" style="21" customWidth="1"/>
    <col min="11" max="16384" width="9" style="21"/>
  </cols>
  <sheetData>
    <row r="1" spans="1:10" ht="30.75" x14ac:dyDescent="0.4">
      <c r="A1" s="202" t="s">
        <v>750</v>
      </c>
      <c r="C1" s="202"/>
      <c r="D1" s="204"/>
      <c r="E1" s="204"/>
      <c r="F1" s="202"/>
      <c r="G1" s="202"/>
      <c r="H1" s="202"/>
      <c r="I1" s="202"/>
      <c r="J1" s="202"/>
    </row>
    <row r="2" spans="1:10" ht="24" x14ac:dyDescent="0.4">
      <c r="A2" s="570" t="s">
        <v>754</v>
      </c>
      <c r="B2" s="572" t="s">
        <v>1372</v>
      </c>
      <c r="C2" s="572" t="s">
        <v>1373</v>
      </c>
      <c r="D2" s="574" t="s">
        <v>1374</v>
      </c>
      <c r="E2" s="576" t="s">
        <v>1375</v>
      </c>
      <c r="F2" s="568" t="s">
        <v>1376</v>
      </c>
      <c r="G2" s="569" t="s">
        <v>758</v>
      </c>
      <c r="H2" s="569"/>
      <c r="I2" s="569"/>
      <c r="J2" s="569"/>
    </row>
    <row r="3" spans="1:10" ht="56.25" customHeight="1" x14ac:dyDescent="0.4">
      <c r="A3" s="571"/>
      <c r="B3" s="573"/>
      <c r="C3" s="573"/>
      <c r="D3" s="575"/>
      <c r="E3" s="577"/>
      <c r="F3" s="568"/>
      <c r="G3" s="215" t="s">
        <v>759</v>
      </c>
      <c r="H3" s="215" t="s">
        <v>760</v>
      </c>
      <c r="I3" s="215" t="s">
        <v>1377</v>
      </c>
      <c r="J3" s="215" t="s">
        <v>1378</v>
      </c>
    </row>
    <row r="4" spans="1:10" ht="26.1" customHeight="1" x14ac:dyDescent="0.55000000000000004">
      <c r="A4" s="29" t="s">
        <v>761</v>
      </c>
      <c r="B4" s="209">
        <v>1647061.12</v>
      </c>
      <c r="C4" s="208">
        <f>SUM('2.WS-ยา วชภฯ'!J3)</f>
        <v>9260589.4199999999</v>
      </c>
      <c r="D4" s="209">
        <f>SUM(B4:C4)</f>
        <v>10907650.539999999</v>
      </c>
      <c r="E4" s="190">
        <v>9364218.9700000007</v>
      </c>
      <c r="F4" s="210">
        <f>SUM(D4-E4)</f>
        <v>1543431.5699999984</v>
      </c>
      <c r="G4" s="210">
        <f>F4</f>
        <v>1543431.5699999984</v>
      </c>
      <c r="H4" s="29"/>
      <c r="I4" s="29"/>
      <c r="J4" s="29"/>
    </row>
    <row r="5" spans="1:10" ht="26.1" customHeight="1" x14ac:dyDescent="0.55000000000000004">
      <c r="A5" s="29" t="s">
        <v>762</v>
      </c>
      <c r="B5" s="209">
        <v>597625.4</v>
      </c>
      <c r="C5" s="208">
        <f>SUM('2.WS-ยา วชภฯ'!J4)</f>
        <v>4638217.9405000005</v>
      </c>
      <c r="D5" s="209">
        <f t="shared" ref="D5:D16" si="0">SUM(B5:C5)</f>
        <v>5235843.3405000009</v>
      </c>
      <c r="E5" s="190">
        <v>4445073.68</v>
      </c>
      <c r="F5" s="219">
        <f t="shared" ref="F5:F16" si="1">+D5-E5</f>
        <v>790769.66050000116</v>
      </c>
      <c r="G5" s="210">
        <f>F5</f>
        <v>790769.66050000116</v>
      </c>
      <c r="H5" s="29"/>
      <c r="I5" s="29"/>
      <c r="J5" s="29"/>
    </row>
    <row r="6" spans="1:10" ht="26.1" customHeight="1" x14ac:dyDescent="0.55000000000000004">
      <c r="A6" s="29" t="s">
        <v>763</v>
      </c>
      <c r="B6" s="209">
        <v>732467</v>
      </c>
      <c r="C6" s="208">
        <f>SUM('2.WS-ยา วชภฯ'!J5)</f>
        <v>1066488.8999999999</v>
      </c>
      <c r="D6" s="209">
        <f t="shared" si="0"/>
        <v>1798955.9</v>
      </c>
      <c r="E6" s="190">
        <v>1621207.75</v>
      </c>
      <c r="F6" s="219">
        <f t="shared" si="1"/>
        <v>177748.14999999991</v>
      </c>
      <c r="G6" s="210">
        <f>F6</f>
        <v>177748.14999999991</v>
      </c>
      <c r="H6" s="29"/>
      <c r="I6" s="29"/>
      <c r="J6" s="29"/>
    </row>
    <row r="7" spans="1:10" ht="26.1" customHeight="1" x14ac:dyDescent="0.55000000000000004">
      <c r="A7" s="29" t="s">
        <v>764</v>
      </c>
      <c r="B7" s="209">
        <v>414828.05</v>
      </c>
      <c r="C7" s="209">
        <v>4100000</v>
      </c>
      <c r="D7" s="209">
        <f t="shared" si="0"/>
        <v>4514828.05</v>
      </c>
      <c r="E7" s="190">
        <v>4173161.38</v>
      </c>
      <c r="F7" s="219">
        <f t="shared" si="1"/>
        <v>341666.66999999993</v>
      </c>
      <c r="G7" s="210">
        <f>F7</f>
        <v>341666.66999999993</v>
      </c>
      <c r="H7" s="29"/>
      <c r="I7" s="29"/>
      <c r="J7" s="29"/>
    </row>
    <row r="8" spans="1:10" ht="26.1" hidden="1" customHeight="1" x14ac:dyDescent="0.55000000000000004">
      <c r="A8" s="29"/>
      <c r="B8" s="449"/>
      <c r="C8" s="211"/>
      <c r="D8" s="209">
        <f t="shared" si="0"/>
        <v>0</v>
      </c>
      <c r="E8" s="190"/>
      <c r="F8" s="219">
        <f t="shared" si="1"/>
        <v>0</v>
      </c>
      <c r="G8" s="29"/>
      <c r="H8" s="29"/>
      <c r="I8" s="29"/>
      <c r="J8" s="29"/>
    </row>
    <row r="9" spans="1:10" ht="26.1" hidden="1" customHeight="1" x14ac:dyDescent="0.55000000000000004">
      <c r="A9" s="29"/>
      <c r="B9" s="449"/>
      <c r="C9" s="211"/>
      <c r="D9" s="209">
        <f t="shared" si="0"/>
        <v>0</v>
      </c>
      <c r="E9" s="190"/>
      <c r="F9" s="219">
        <f t="shared" si="1"/>
        <v>0</v>
      </c>
      <c r="G9" s="29"/>
      <c r="H9" s="29"/>
      <c r="I9" s="29"/>
      <c r="J9" s="29"/>
    </row>
    <row r="10" spans="1:10" ht="26.1" hidden="1" customHeight="1" x14ac:dyDescent="0.55000000000000004">
      <c r="A10" s="29"/>
      <c r="B10" s="449"/>
      <c r="C10" s="211"/>
      <c r="D10" s="209">
        <f t="shared" si="0"/>
        <v>0</v>
      </c>
      <c r="E10" s="190"/>
      <c r="F10" s="219">
        <f t="shared" si="1"/>
        <v>0</v>
      </c>
      <c r="G10" s="29"/>
      <c r="H10" s="29"/>
      <c r="I10" s="29"/>
      <c r="J10" s="29"/>
    </row>
    <row r="11" spans="1:10" ht="26.1" hidden="1" customHeight="1" x14ac:dyDescent="0.55000000000000004">
      <c r="A11" s="29"/>
      <c r="B11" s="449"/>
      <c r="C11" s="211"/>
      <c r="D11" s="209">
        <f t="shared" si="0"/>
        <v>0</v>
      </c>
      <c r="E11" s="190"/>
      <c r="F11" s="219">
        <f t="shared" si="1"/>
        <v>0</v>
      </c>
      <c r="G11" s="29"/>
      <c r="H11" s="29"/>
      <c r="I11" s="29"/>
      <c r="J11" s="29"/>
    </row>
    <row r="12" spans="1:10" ht="26.1" hidden="1" customHeight="1" x14ac:dyDescent="0.55000000000000004">
      <c r="A12" s="29"/>
      <c r="B12" s="449"/>
      <c r="C12" s="211"/>
      <c r="D12" s="209">
        <f t="shared" si="0"/>
        <v>0</v>
      </c>
      <c r="E12" s="190"/>
      <c r="F12" s="219">
        <f t="shared" si="1"/>
        <v>0</v>
      </c>
      <c r="G12" s="29"/>
      <c r="H12" s="29"/>
      <c r="I12" s="29"/>
      <c r="J12" s="29"/>
    </row>
    <row r="13" spans="1:10" ht="26.1" customHeight="1" x14ac:dyDescent="0.55000000000000004">
      <c r="A13" s="29" t="s">
        <v>765</v>
      </c>
      <c r="B13" s="209">
        <v>3371380</v>
      </c>
      <c r="C13" s="209">
        <v>25816860</v>
      </c>
      <c r="D13" s="209">
        <f t="shared" si="0"/>
        <v>29188240</v>
      </c>
      <c r="E13" s="190">
        <v>27036835</v>
      </c>
      <c r="F13" s="219">
        <f t="shared" si="1"/>
        <v>2151405</v>
      </c>
      <c r="G13" s="210">
        <f>F13</f>
        <v>2151405</v>
      </c>
      <c r="H13" s="29"/>
      <c r="I13" s="29"/>
      <c r="J13" s="29"/>
    </row>
    <row r="14" spans="1:10" ht="26.1" customHeight="1" x14ac:dyDescent="0.55000000000000004">
      <c r="A14" s="29" t="s">
        <v>766</v>
      </c>
      <c r="B14" s="209">
        <v>110100</v>
      </c>
      <c r="C14" s="450">
        <f>'6.WS-แผนลงทุน'!G4</f>
        <v>5145250</v>
      </c>
      <c r="D14" s="209">
        <f t="shared" si="0"/>
        <v>5255350</v>
      </c>
      <c r="E14" s="190">
        <v>4287708.333333333</v>
      </c>
      <c r="F14" s="219">
        <f t="shared" si="1"/>
        <v>967641.66666666698</v>
      </c>
      <c r="G14" s="210">
        <f>F14</f>
        <v>967641.66666666698</v>
      </c>
      <c r="H14" s="29"/>
      <c r="I14" s="29"/>
      <c r="J14" s="29"/>
    </row>
    <row r="15" spans="1:10" ht="26.1" customHeight="1" x14ac:dyDescent="0.55000000000000004">
      <c r="A15" s="40" t="s">
        <v>802</v>
      </c>
      <c r="B15" s="209">
        <v>317150.40000000002</v>
      </c>
      <c r="C15" s="450">
        <f>'3.WS-วัสดุอื่น'!G14</f>
        <v>5029933.7</v>
      </c>
      <c r="D15" s="209">
        <f t="shared" ref="D15" si="2">SUM(B15:C15)</f>
        <v>5347084.1000000006</v>
      </c>
      <c r="E15" s="190">
        <v>4508761.8166666664</v>
      </c>
      <c r="F15" s="219">
        <f t="shared" ref="F15" si="3">+D15-E15</f>
        <v>838322.28333333414</v>
      </c>
      <c r="G15" s="210">
        <f>F15</f>
        <v>838322.28333333414</v>
      </c>
      <c r="H15" s="29"/>
      <c r="I15" s="29"/>
      <c r="J15" s="29"/>
    </row>
    <row r="16" spans="1:10" ht="26.1" customHeight="1" x14ac:dyDescent="0.55000000000000004">
      <c r="A16" s="29" t="s">
        <v>635</v>
      </c>
      <c r="B16" s="209">
        <v>472997.61999999994</v>
      </c>
      <c r="C16" s="209">
        <v>4719827.8499999996</v>
      </c>
      <c r="D16" s="209">
        <f t="shared" si="0"/>
        <v>5192825.47</v>
      </c>
      <c r="E16" s="190">
        <v>4799506.4800000004</v>
      </c>
      <c r="F16" s="219">
        <f t="shared" si="1"/>
        <v>393318.98999999929</v>
      </c>
      <c r="G16" s="210">
        <f>F16</f>
        <v>393318.98999999929</v>
      </c>
      <c r="H16" s="29"/>
      <c r="I16" s="29"/>
      <c r="J16" s="29"/>
    </row>
    <row r="17" spans="1:10" ht="26.1" customHeight="1" x14ac:dyDescent="0.55000000000000004">
      <c r="A17" s="213" t="s">
        <v>767</v>
      </c>
      <c r="B17" s="214">
        <f>SUM(B4:B16)</f>
        <v>7663609.5900000008</v>
      </c>
      <c r="C17" s="214">
        <f t="shared" ref="C17:J17" si="4">SUM(C4:C16)</f>
        <v>59777167.810500003</v>
      </c>
      <c r="D17" s="214">
        <f t="shared" si="4"/>
        <v>67440777.4005</v>
      </c>
      <c r="E17" s="214">
        <f t="shared" si="4"/>
        <v>60236473.410000011</v>
      </c>
      <c r="F17" s="214">
        <f t="shared" si="4"/>
        <v>7204303.9905000003</v>
      </c>
      <c r="G17" s="214">
        <f t="shared" si="4"/>
        <v>7204303.9905000003</v>
      </c>
      <c r="H17" s="212">
        <f t="shared" si="4"/>
        <v>0</v>
      </c>
      <c r="I17" s="212">
        <f t="shared" si="4"/>
        <v>0</v>
      </c>
      <c r="J17" s="212">
        <f t="shared" si="4"/>
        <v>0</v>
      </c>
    </row>
    <row r="18" spans="1:10" ht="26.1" customHeight="1" x14ac:dyDescent="0.65">
      <c r="A18" s="20"/>
      <c r="B18" s="86"/>
      <c r="C18" s="86"/>
      <c r="D18" s="205"/>
      <c r="E18" s="207"/>
      <c r="F18" s="382"/>
      <c r="G18" s="20"/>
      <c r="H18" s="20"/>
      <c r="I18" s="20"/>
      <c r="J18" s="20"/>
    </row>
    <row r="19" spans="1:10" ht="26.1" customHeight="1" x14ac:dyDescent="0.65">
      <c r="A19" s="20"/>
      <c r="B19" s="87"/>
      <c r="C19" s="87"/>
      <c r="D19" s="206"/>
      <c r="E19" s="207"/>
      <c r="F19" s="20"/>
      <c r="G19" s="20"/>
      <c r="H19" s="20"/>
      <c r="I19" s="20"/>
      <c r="J19" s="20"/>
    </row>
    <row r="20" spans="1:10" ht="26.1" customHeight="1" x14ac:dyDescent="0.65">
      <c r="A20" s="26" t="s">
        <v>1532</v>
      </c>
      <c r="B20" s="87"/>
      <c r="C20" s="87"/>
      <c r="D20" s="206"/>
      <c r="E20" s="207"/>
      <c r="F20" s="20"/>
      <c r="G20" s="20"/>
      <c r="H20" s="20"/>
      <c r="I20" s="20"/>
      <c r="J20" s="20"/>
    </row>
    <row r="21" spans="1:10" s="26" customFormat="1" ht="26.1" customHeight="1" x14ac:dyDescent="0.55000000000000004">
      <c r="B21" s="482" t="s">
        <v>761</v>
      </c>
      <c r="C21" s="482" t="s">
        <v>762</v>
      </c>
      <c r="D21" s="483" t="s">
        <v>763</v>
      </c>
      <c r="E21" s="484" t="s">
        <v>764</v>
      </c>
      <c r="F21" s="464" t="s">
        <v>765</v>
      </c>
      <c r="G21" s="464" t="s">
        <v>766</v>
      </c>
      <c r="H21" s="464" t="s">
        <v>802</v>
      </c>
      <c r="I21" s="464" t="s">
        <v>635</v>
      </c>
    </row>
    <row r="22" spans="1:10" s="26" customFormat="1" ht="26.1" customHeight="1" x14ac:dyDescent="0.55000000000000004">
      <c r="A22" s="26" t="s">
        <v>1533</v>
      </c>
      <c r="B22" s="485">
        <f>C4</f>
        <v>9260589.4199999999</v>
      </c>
      <c r="C22" s="485">
        <f>C5</f>
        <v>4638217.9405000005</v>
      </c>
      <c r="D22" s="486">
        <f>C6</f>
        <v>1066488.8999999999</v>
      </c>
      <c r="E22" s="387">
        <f>C7</f>
        <v>4100000</v>
      </c>
      <c r="F22" s="465">
        <f>C13</f>
        <v>25816860</v>
      </c>
      <c r="G22" s="465">
        <f>C14</f>
        <v>5145250</v>
      </c>
      <c r="H22" s="465">
        <f>C15</f>
        <v>5029933.7</v>
      </c>
      <c r="I22" s="465">
        <f>C16</f>
        <v>4719827.8499999996</v>
      </c>
    </row>
    <row r="23" spans="1:10" s="26" customFormat="1" ht="26.1" customHeight="1" x14ac:dyDescent="0.55000000000000004">
      <c r="A23" s="26" t="s">
        <v>1534</v>
      </c>
      <c r="B23" s="487">
        <f>F4</f>
        <v>1543431.5699999984</v>
      </c>
      <c r="C23" s="487">
        <f>F5</f>
        <v>790769.66050000116</v>
      </c>
      <c r="D23" s="488">
        <f>F6</f>
        <v>177748.14999999991</v>
      </c>
      <c r="E23" s="387">
        <f>F7</f>
        <v>341666.66999999993</v>
      </c>
      <c r="F23" s="465">
        <f>F13</f>
        <v>2151405</v>
      </c>
      <c r="G23" s="465">
        <f>F14</f>
        <v>967641.66666666698</v>
      </c>
      <c r="H23" s="465">
        <f>F15</f>
        <v>838322.28333333414</v>
      </c>
      <c r="I23" s="465">
        <f>F16</f>
        <v>393318.98999999929</v>
      </c>
    </row>
    <row r="24" spans="1:10" s="26" customFormat="1" ht="26.1" customHeight="1" x14ac:dyDescent="0.55000000000000004">
      <c r="A24" s="26" t="s">
        <v>1535</v>
      </c>
      <c r="B24" s="488">
        <f>B22/B23</f>
        <v>6.0000000000000062</v>
      </c>
      <c r="C24" s="488">
        <f t="shared" ref="C24:I24" si="5">C22/C23</f>
        <v>5.8654475154841803</v>
      </c>
      <c r="D24" s="488">
        <f t="shared" si="5"/>
        <v>6.0000000000000027</v>
      </c>
      <c r="E24" s="488">
        <f t="shared" si="5"/>
        <v>11.999999882926833</v>
      </c>
      <c r="F24" s="488">
        <f t="shared" si="5"/>
        <v>12</v>
      </c>
      <c r="G24" s="488">
        <f t="shared" si="5"/>
        <v>5.3173092656544672</v>
      </c>
      <c r="H24" s="488">
        <f t="shared" si="5"/>
        <v>5.9999999999999947</v>
      </c>
      <c r="I24" s="488">
        <f t="shared" si="5"/>
        <v>11.999999923726053</v>
      </c>
    </row>
    <row r="25" spans="1:10" s="26" customFormat="1" ht="26.1" customHeight="1" x14ac:dyDescent="0.55000000000000004">
      <c r="A25" s="26" t="s">
        <v>1536</v>
      </c>
      <c r="B25" s="487">
        <f>365/B24</f>
        <v>60.833333333333272</v>
      </c>
      <c r="C25" s="487">
        <f t="shared" ref="C25:I25" si="6">365/C24</f>
        <v>62.228840857656202</v>
      </c>
      <c r="D25" s="487">
        <f t="shared" si="6"/>
        <v>60.833333333333307</v>
      </c>
      <c r="E25" s="487">
        <f t="shared" si="6"/>
        <v>30.416666963414627</v>
      </c>
      <c r="F25" s="487">
        <f t="shared" si="6"/>
        <v>30.416666666666668</v>
      </c>
      <c r="G25" s="487">
        <f t="shared" si="6"/>
        <v>68.643740990881582</v>
      </c>
      <c r="H25" s="487">
        <f t="shared" si="6"/>
        <v>60.833333333333385</v>
      </c>
      <c r="I25" s="487">
        <f t="shared" si="6"/>
        <v>30.416666859999935</v>
      </c>
    </row>
    <row r="26" spans="1:10" ht="26.1" customHeight="1" x14ac:dyDescent="0.65">
      <c r="A26" s="20"/>
      <c r="B26" s="86"/>
      <c r="C26" s="86"/>
      <c r="D26" s="205"/>
      <c r="E26" s="207"/>
      <c r="F26" s="20"/>
      <c r="G26" s="20"/>
      <c r="H26" s="20"/>
      <c r="I26" s="20"/>
      <c r="J26" s="20"/>
    </row>
    <row r="27" spans="1:10" ht="26.1" customHeight="1" x14ac:dyDescent="0.65">
      <c r="A27" s="20"/>
      <c r="B27" s="86"/>
      <c r="C27" s="86"/>
      <c r="D27" s="205"/>
      <c r="E27" s="207"/>
      <c r="F27" s="20"/>
      <c r="G27" s="20"/>
      <c r="H27" s="20"/>
      <c r="I27" s="20"/>
      <c r="J27" s="20"/>
    </row>
    <row r="28" spans="1:10" ht="26.1" customHeight="1" x14ac:dyDescent="0.65">
      <c r="A28" s="20"/>
      <c r="B28" s="86"/>
      <c r="C28" s="86"/>
      <c r="D28" s="205"/>
      <c r="E28" s="207"/>
      <c r="F28" s="20"/>
      <c r="G28" s="20"/>
      <c r="H28" s="20"/>
      <c r="I28" s="20"/>
      <c r="J28" s="20"/>
    </row>
    <row r="29" spans="1:10" ht="26.1" customHeight="1" x14ac:dyDescent="0.65">
      <c r="A29" s="20"/>
      <c r="B29" s="86"/>
      <c r="C29" s="86"/>
      <c r="D29" s="205"/>
      <c r="E29" s="207"/>
      <c r="F29" s="20"/>
      <c r="G29" s="20"/>
      <c r="H29" s="20"/>
      <c r="I29" s="20"/>
      <c r="J29" s="20"/>
    </row>
    <row r="30" spans="1:10" ht="26.1" customHeight="1" x14ac:dyDescent="0.65">
      <c r="A30" s="20"/>
      <c r="B30" s="86"/>
      <c r="C30" s="86"/>
      <c r="D30" s="205"/>
      <c r="E30" s="207"/>
      <c r="F30" s="20"/>
      <c r="G30" s="20"/>
      <c r="H30" s="20"/>
      <c r="I30" s="20"/>
      <c r="J30" s="20"/>
    </row>
    <row r="31" spans="1:10" ht="26.1" customHeight="1" x14ac:dyDescent="0.65">
      <c r="A31" s="20"/>
      <c r="B31" s="86"/>
      <c r="C31" s="86"/>
      <c r="D31" s="205"/>
      <c r="E31" s="207"/>
      <c r="F31" s="20"/>
      <c r="G31" s="20"/>
      <c r="H31" s="20"/>
      <c r="I31" s="20"/>
      <c r="J31" s="20"/>
    </row>
    <row r="32" spans="1:10" ht="26.1" customHeight="1" x14ac:dyDescent="0.65">
      <c r="A32" s="20"/>
      <c r="B32" s="86"/>
      <c r="C32" s="86"/>
      <c r="D32" s="205"/>
      <c r="E32" s="207"/>
      <c r="F32" s="20"/>
      <c r="G32" s="20"/>
      <c r="H32" s="20"/>
      <c r="I32" s="20"/>
      <c r="J32" s="20"/>
    </row>
    <row r="33" spans="1:10" ht="26.1" customHeight="1" x14ac:dyDescent="0.65">
      <c r="A33" s="20"/>
      <c r="B33" s="86"/>
      <c r="C33" s="86"/>
      <c r="D33" s="205"/>
      <c r="E33" s="207"/>
      <c r="F33" s="20"/>
      <c r="G33" s="20"/>
      <c r="H33" s="20"/>
      <c r="I33" s="20"/>
      <c r="J33" s="20"/>
    </row>
    <row r="34" spans="1:10" ht="26.1" customHeight="1" x14ac:dyDescent="0.65">
      <c r="A34" s="20"/>
      <c r="B34" s="86"/>
      <c r="C34" s="86"/>
      <c r="D34" s="205"/>
      <c r="E34" s="207"/>
      <c r="F34" s="20"/>
      <c r="G34" s="20"/>
      <c r="H34" s="20"/>
      <c r="I34" s="20"/>
      <c r="J34" s="20"/>
    </row>
    <row r="35" spans="1:10" ht="26.1" customHeight="1" x14ac:dyDescent="0.65">
      <c r="A35" s="20"/>
      <c r="B35" s="86"/>
      <c r="C35" s="86"/>
      <c r="D35" s="205"/>
      <c r="E35" s="207"/>
      <c r="F35" s="20"/>
      <c r="G35" s="20"/>
      <c r="H35" s="20"/>
      <c r="I35" s="20"/>
      <c r="J35" s="20"/>
    </row>
    <row r="36" spans="1:10" ht="26.1" customHeight="1" x14ac:dyDescent="0.65">
      <c r="A36" s="20"/>
      <c r="B36" s="86"/>
      <c r="C36" s="86"/>
      <c r="D36" s="205"/>
      <c r="E36" s="207"/>
      <c r="F36" s="20"/>
      <c r="G36" s="20"/>
      <c r="H36" s="20"/>
      <c r="I36" s="20"/>
      <c r="J36" s="20"/>
    </row>
    <row r="37" spans="1:10" ht="26.1" customHeight="1" x14ac:dyDescent="0.65">
      <c r="A37" s="20"/>
      <c r="B37" s="86"/>
      <c r="C37" s="86"/>
      <c r="D37" s="205"/>
      <c r="E37" s="207"/>
      <c r="F37" s="20"/>
      <c r="G37" s="20"/>
      <c r="H37" s="20"/>
      <c r="I37" s="20"/>
      <c r="J37" s="20"/>
    </row>
    <row r="38" spans="1:10" ht="26.1" customHeight="1" x14ac:dyDescent="0.65">
      <c r="A38" s="20"/>
      <c r="B38" s="86"/>
      <c r="C38" s="86"/>
      <c r="D38" s="205"/>
      <c r="E38" s="207"/>
      <c r="F38" s="20"/>
      <c r="G38" s="20"/>
      <c r="H38" s="20"/>
      <c r="I38" s="20"/>
      <c r="J38" s="20"/>
    </row>
    <row r="39" spans="1:10" ht="27.75" x14ac:dyDescent="0.65">
      <c r="A39" s="20"/>
      <c r="B39" s="20"/>
      <c r="C39" s="20"/>
      <c r="D39" s="207"/>
      <c r="E39" s="207"/>
      <c r="F39" s="20"/>
      <c r="G39" s="20"/>
      <c r="H39" s="20"/>
      <c r="I39" s="20"/>
      <c r="J39" s="20"/>
    </row>
    <row r="40" spans="1:10" ht="27.75" x14ac:dyDescent="0.65">
      <c r="A40" s="20"/>
      <c r="B40" s="20"/>
      <c r="C40" s="20"/>
      <c r="D40" s="207"/>
      <c r="E40" s="207"/>
      <c r="F40" s="20"/>
      <c r="G40" s="20"/>
      <c r="H40" s="20"/>
      <c r="I40" s="20"/>
      <c r="J40" s="20"/>
    </row>
    <row r="41" spans="1:10" ht="27.75" x14ac:dyDescent="0.65">
      <c r="A41" s="20"/>
      <c r="B41" s="20"/>
      <c r="C41" s="20"/>
      <c r="D41" s="207"/>
      <c r="E41" s="207"/>
      <c r="F41" s="20"/>
      <c r="G41" s="20"/>
      <c r="H41" s="20"/>
      <c r="I41" s="20"/>
      <c r="J41" s="20"/>
    </row>
    <row r="42" spans="1:10" ht="27.75" x14ac:dyDescent="0.65">
      <c r="A42" s="20"/>
      <c r="B42" s="20"/>
      <c r="C42" s="20"/>
      <c r="D42" s="207"/>
      <c r="E42" s="207"/>
      <c r="F42" s="20"/>
      <c r="G42" s="20"/>
      <c r="H42" s="20"/>
      <c r="I42" s="20"/>
      <c r="J42" s="20"/>
    </row>
    <row r="43" spans="1:10" ht="27.75" x14ac:dyDescent="0.65">
      <c r="A43" s="20"/>
      <c r="B43" s="20"/>
      <c r="C43" s="20"/>
      <c r="D43" s="207"/>
      <c r="E43" s="207"/>
      <c r="F43" s="20"/>
      <c r="G43" s="20"/>
      <c r="H43" s="20"/>
      <c r="I43" s="20"/>
      <c r="J43" s="20"/>
    </row>
  </sheetData>
  <mergeCells count="7">
    <mergeCell ref="F2:F3"/>
    <mergeCell ref="G2:J2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80" zoomScaleNormal="80" workbookViewId="0">
      <selection sqref="A1:H1"/>
    </sheetView>
  </sheetViews>
  <sheetFormatPr defaultRowHeight="14.25" x14ac:dyDescent="0.2"/>
  <cols>
    <col min="1" max="1" width="37.625" customWidth="1"/>
    <col min="2" max="2" width="17.5" customWidth="1"/>
    <col min="3" max="3" width="16.25" customWidth="1"/>
    <col min="4" max="4" width="17.125" customWidth="1"/>
    <col min="5" max="5" width="27.375" customWidth="1"/>
    <col min="6" max="6" width="21.25" style="217" customWidth="1"/>
    <col min="7" max="7" width="25.875" customWidth="1"/>
    <col min="8" max="8" width="21.25" customWidth="1"/>
    <col min="9" max="9" width="17.5" customWidth="1"/>
  </cols>
  <sheetData>
    <row r="1" spans="1:9" ht="30.75" x14ac:dyDescent="0.7">
      <c r="A1" s="578" t="s">
        <v>751</v>
      </c>
      <c r="B1" s="578"/>
      <c r="C1" s="578"/>
      <c r="D1" s="578"/>
      <c r="E1" s="578"/>
      <c r="F1" s="578"/>
      <c r="G1" s="578"/>
      <c r="H1" s="578"/>
    </row>
    <row r="2" spans="1:9" s="518" customFormat="1" ht="18" customHeight="1" x14ac:dyDescent="0.2">
      <c r="A2" s="579" t="s">
        <v>754</v>
      </c>
      <c r="B2" s="90" t="s">
        <v>1238</v>
      </c>
      <c r="C2" s="90" t="s">
        <v>1239</v>
      </c>
      <c r="D2" s="90" t="s">
        <v>1243</v>
      </c>
      <c r="E2" s="90" t="s">
        <v>1241</v>
      </c>
      <c r="F2" s="194" t="s">
        <v>1235</v>
      </c>
      <c r="G2" s="90" t="s">
        <v>1237</v>
      </c>
      <c r="H2" s="90" t="s">
        <v>1528</v>
      </c>
    </row>
    <row r="3" spans="1:9" ht="62.25" customHeight="1" x14ac:dyDescent="0.2">
      <c r="A3" s="580"/>
      <c r="B3" s="194" t="s">
        <v>1379</v>
      </c>
      <c r="C3" s="194" t="s">
        <v>1380</v>
      </c>
      <c r="D3" s="194" t="s">
        <v>1381</v>
      </c>
      <c r="E3" s="218" t="s">
        <v>1382</v>
      </c>
      <c r="F3" s="194" t="s">
        <v>1236</v>
      </c>
      <c r="G3" s="194" t="s">
        <v>1242</v>
      </c>
      <c r="H3" s="194" t="s">
        <v>1383</v>
      </c>
    </row>
    <row r="4" spans="1:9" ht="24" x14ac:dyDescent="0.55000000000000004">
      <c r="A4" s="29" t="s">
        <v>768</v>
      </c>
      <c r="B4" s="219">
        <v>1491929.46</v>
      </c>
      <c r="C4" s="219">
        <v>11490442.67</v>
      </c>
      <c r="D4" s="219">
        <f>SUM(B4:C4)</f>
        <v>12982372.129999999</v>
      </c>
      <c r="E4" s="190">
        <f t="shared" ref="E4:E10" si="0">F21</f>
        <v>9152224.5733333342</v>
      </c>
      <c r="F4" s="23">
        <v>1396284.66</v>
      </c>
      <c r="G4" s="29">
        <v>0</v>
      </c>
      <c r="H4" s="210">
        <f>D4-E4-F4-G4</f>
        <v>2433862.8966666646</v>
      </c>
    </row>
    <row r="5" spans="1:9" ht="24" x14ac:dyDescent="0.55000000000000004">
      <c r="A5" s="29" t="s">
        <v>769</v>
      </c>
      <c r="B5" s="393">
        <v>1383953.1</v>
      </c>
      <c r="C5" s="219">
        <v>1163478</v>
      </c>
      <c r="D5" s="219">
        <f t="shared" ref="D5:D10" si="1">SUM(B5:C5)</f>
        <v>2547431.1</v>
      </c>
      <c r="E5" s="190">
        <f t="shared" si="0"/>
        <v>1674822.6</v>
      </c>
      <c r="F5" s="467">
        <v>-40450</v>
      </c>
      <c r="G5" s="29">
        <v>0</v>
      </c>
      <c r="H5" s="210">
        <f t="shared" ref="H5:H10" si="2">D5-E5-F5-G5</f>
        <v>913058.5</v>
      </c>
    </row>
    <row r="6" spans="1:9" ht="24" x14ac:dyDescent="0.55000000000000004">
      <c r="A6" s="29" t="s">
        <v>770</v>
      </c>
      <c r="B6" s="393">
        <v>946711.28</v>
      </c>
      <c r="C6" s="219">
        <v>5370302.79</v>
      </c>
      <c r="D6" s="219">
        <f t="shared" si="1"/>
        <v>6317014.0700000003</v>
      </c>
      <c r="E6" s="190">
        <f t="shared" si="0"/>
        <v>4974438.3724999996</v>
      </c>
      <c r="F6" s="23">
        <v>163000</v>
      </c>
      <c r="G6" s="29">
        <v>0</v>
      </c>
      <c r="H6" s="210">
        <f t="shared" si="2"/>
        <v>1179575.6975000007</v>
      </c>
    </row>
    <row r="7" spans="1:9" ht="24" x14ac:dyDescent="0.55000000000000004">
      <c r="A7" s="29" t="s">
        <v>771</v>
      </c>
      <c r="B7" s="393">
        <v>0</v>
      </c>
      <c r="C7" s="219">
        <v>276939</v>
      </c>
      <c r="D7" s="219">
        <f t="shared" si="1"/>
        <v>276939</v>
      </c>
      <c r="E7" s="190">
        <f t="shared" si="0"/>
        <v>276939</v>
      </c>
      <c r="F7" s="23">
        <v>0</v>
      </c>
      <c r="G7" s="29">
        <v>0</v>
      </c>
      <c r="H7" s="210">
        <f t="shared" si="2"/>
        <v>0</v>
      </c>
    </row>
    <row r="8" spans="1:9" ht="24" x14ac:dyDescent="0.55000000000000004">
      <c r="A8" s="29" t="s">
        <v>772</v>
      </c>
      <c r="B8" s="219">
        <v>0</v>
      </c>
      <c r="C8" s="219">
        <v>149870</v>
      </c>
      <c r="D8" s="219">
        <f t="shared" si="1"/>
        <v>149870</v>
      </c>
      <c r="E8" s="190">
        <f t="shared" si="0"/>
        <v>124891.66666666666</v>
      </c>
      <c r="F8" s="23">
        <v>0</v>
      </c>
      <c r="G8" s="29">
        <v>0</v>
      </c>
      <c r="H8" s="210">
        <f t="shared" si="2"/>
        <v>24978.333333333343</v>
      </c>
    </row>
    <row r="9" spans="1:9" ht="24" x14ac:dyDescent="0.55000000000000004">
      <c r="A9" s="29" t="s">
        <v>773</v>
      </c>
      <c r="B9" s="393">
        <v>146041.76</v>
      </c>
      <c r="C9" s="219">
        <v>322221.71000000002</v>
      </c>
      <c r="D9" s="219">
        <f t="shared" si="1"/>
        <v>468263.47000000003</v>
      </c>
      <c r="E9" s="190">
        <f t="shared" si="0"/>
        <v>441411.66083333339</v>
      </c>
      <c r="F9" s="467">
        <v>-21000</v>
      </c>
      <c r="G9" s="29">
        <v>0</v>
      </c>
      <c r="H9" s="210">
        <f t="shared" si="2"/>
        <v>47851.809166666644</v>
      </c>
    </row>
    <row r="10" spans="1:9" ht="24" x14ac:dyDescent="0.55000000000000004">
      <c r="A10" s="29" t="s">
        <v>774</v>
      </c>
      <c r="B10" s="219">
        <v>1441019.34</v>
      </c>
      <c r="C10" s="219">
        <v>7419144.2999999998</v>
      </c>
      <c r="D10" s="219">
        <f t="shared" si="1"/>
        <v>8860163.6400000006</v>
      </c>
      <c r="E10" s="190">
        <f t="shared" si="0"/>
        <v>6387115.54</v>
      </c>
      <c r="F10" s="23">
        <v>0</v>
      </c>
      <c r="G10" s="219">
        <v>900000</v>
      </c>
      <c r="H10" s="210">
        <f t="shared" si="2"/>
        <v>1573048.1000000006</v>
      </c>
    </row>
    <row r="11" spans="1:9" ht="24" x14ac:dyDescent="0.55000000000000004">
      <c r="A11" s="220" t="s">
        <v>666</v>
      </c>
      <c r="B11" s="197">
        <f>SUM(B4:B10)</f>
        <v>5409654.9399999995</v>
      </c>
      <c r="C11" s="197">
        <f t="shared" ref="C11:H11" si="3">SUM(C4:C10)</f>
        <v>26192398.470000003</v>
      </c>
      <c r="D11" s="197">
        <f t="shared" si="3"/>
        <v>31602053.409999996</v>
      </c>
      <c r="E11" s="197">
        <f t="shared" si="3"/>
        <v>23031843.413333334</v>
      </c>
      <c r="F11" s="197">
        <f t="shared" si="3"/>
        <v>1497834.66</v>
      </c>
      <c r="G11" s="197">
        <f t="shared" si="3"/>
        <v>900000</v>
      </c>
      <c r="H11" s="197">
        <f t="shared" si="3"/>
        <v>6172375.336666666</v>
      </c>
    </row>
    <row r="13" spans="1:9" s="1" customFormat="1" ht="25.5" customHeight="1" x14ac:dyDescent="0.5">
      <c r="A13" s="1" t="s">
        <v>1537</v>
      </c>
      <c r="B13" s="345"/>
      <c r="C13" s="481" t="s">
        <v>1544</v>
      </c>
      <c r="D13" s="481" t="s">
        <v>769</v>
      </c>
      <c r="E13" s="481" t="s">
        <v>770</v>
      </c>
      <c r="F13" s="481" t="s">
        <v>771</v>
      </c>
      <c r="G13" s="481" t="s">
        <v>772</v>
      </c>
      <c r="H13" s="489" t="s">
        <v>773</v>
      </c>
      <c r="I13" s="481" t="s">
        <v>774</v>
      </c>
    </row>
    <row r="14" spans="1:9" s="1" customFormat="1" ht="25.5" customHeight="1" x14ac:dyDescent="0.5">
      <c r="A14" s="490" t="s">
        <v>1538</v>
      </c>
      <c r="B14" s="345">
        <v>85000000</v>
      </c>
      <c r="C14" s="493">
        <f>C4</f>
        <v>11490442.67</v>
      </c>
      <c r="D14" s="493">
        <f>C5</f>
        <v>1163478</v>
      </c>
      <c r="E14" s="493">
        <f>C6</f>
        <v>5370302.79</v>
      </c>
      <c r="F14" s="493">
        <f>C7</f>
        <v>276939</v>
      </c>
      <c r="G14" s="493">
        <f>C8</f>
        <v>149870</v>
      </c>
      <c r="H14" s="494">
        <f>C9</f>
        <v>322221.71000000002</v>
      </c>
      <c r="I14" s="493">
        <f>C10</f>
        <v>7419144.2999999998</v>
      </c>
    </row>
    <row r="15" spans="1:9" s="1" customFormat="1" ht="25.5" customHeight="1" x14ac:dyDescent="0.5">
      <c r="A15" s="490" t="s">
        <v>1539</v>
      </c>
      <c r="B15" s="345">
        <v>20000000</v>
      </c>
      <c r="C15" s="493">
        <f>H4</f>
        <v>2433862.8966666646</v>
      </c>
      <c r="D15" s="493">
        <f>H5</f>
        <v>913058.5</v>
      </c>
      <c r="E15" s="493">
        <f>H6</f>
        <v>1179575.6975000007</v>
      </c>
      <c r="F15" s="493">
        <f>H7</f>
        <v>0</v>
      </c>
      <c r="G15" s="493">
        <f>H8</f>
        <v>24978.333333333343</v>
      </c>
      <c r="H15" s="494">
        <f>H9</f>
        <v>47851.809166666644</v>
      </c>
      <c r="I15" s="493">
        <f>H10</f>
        <v>1573048.1000000006</v>
      </c>
    </row>
    <row r="16" spans="1:9" s="1" customFormat="1" ht="25.5" customHeight="1" x14ac:dyDescent="0.5">
      <c r="A16" s="490" t="s">
        <v>1540</v>
      </c>
      <c r="B16" s="491" t="s">
        <v>1541</v>
      </c>
      <c r="C16" s="345">
        <f>C14/C15</f>
        <v>4.7210722862561063</v>
      </c>
      <c r="D16" s="345">
        <f t="shared" ref="D16:I16" si="4">D14/D15</f>
        <v>1.2742644638870346</v>
      </c>
      <c r="E16" s="345">
        <f t="shared" si="4"/>
        <v>4.5527411266456657</v>
      </c>
      <c r="F16" s="345" t="e">
        <f t="shared" si="4"/>
        <v>#DIV/0!</v>
      </c>
      <c r="G16" s="345">
        <f t="shared" si="4"/>
        <v>5.9999999999999973</v>
      </c>
      <c r="H16" s="345">
        <f t="shared" si="4"/>
        <v>6.7337414323815832</v>
      </c>
      <c r="I16" s="345">
        <f t="shared" si="4"/>
        <v>4.7164128674768415</v>
      </c>
    </row>
    <row r="17" spans="1:9" s="1" customFormat="1" ht="25.5" customHeight="1" x14ac:dyDescent="0.5">
      <c r="A17" s="492" t="s">
        <v>1542</v>
      </c>
      <c r="B17" s="491" t="s">
        <v>1543</v>
      </c>
      <c r="C17" s="493">
        <f>365/C16</f>
        <v>77.312944574600323</v>
      </c>
      <c r="D17" s="493">
        <f t="shared" ref="D17:G17" si="5">365/D16</f>
        <v>286.4397543400047</v>
      </c>
      <c r="E17" s="493">
        <f t="shared" si="5"/>
        <v>80.171481278339655</v>
      </c>
      <c r="F17" s="493" t="e">
        <f t="shared" si="5"/>
        <v>#DIV/0!</v>
      </c>
      <c r="G17" s="493">
        <f t="shared" si="5"/>
        <v>60.833333333333357</v>
      </c>
      <c r="H17" s="493">
        <f>365/H16</f>
        <v>54.204635515817117</v>
      </c>
      <c r="I17" s="493">
        <f t="shared" ref="I17" si="6">365/I16</f>
        <v>77.389323253896038</v>
      </c>
    </row>
    <row r="18" spans="1:9" s="1" customFormat="1" ht="19.5" customHeight="1" x14ac:dyDescent="0.5">
      <c r="D18" s="1" t="s">
        <v>1545</v>
      </c>
      <c r="F18" s="3"/>
    </row>
    <row r="19" spans="1:9" s="26" customFormat="1" ht="24" x14ac:dyDescent="0.55000000000000004">
      <c r="A19" s="98" t="s">
        <v>754</v>
      </c>
      <c r="B19" s="98" t="s">
        <v>1238</v>
      </c>
      <c r="C19" s="98" t="s">
        <v>1239</v>
      </c>
      <c r="D19" s="29"/>
      <c r="E19" s="29"/>
      <c r="F19" s="40"/>
    </row>
    <row r="20" spans="1:9" s="466" customFormat="1" ht="72" x14ac:dyDescent="0.2">
      <c r="A20" s="514"/>
      <c r="B20" s="515" t="s">
        <v>1526</v>
      </c>
      <c r="C20" s="515" t="s">
        <v>1380</v>
      </c>
      <c r="D20" s="515" t="s">
        <v>1527</v>
      </c>
      <c r="E20" s="515" t="s">
        <v>1546</v>
      </c>
      <c r="F20" s="516" t="s">
        <v>1382</v>
      </c>
    </row>
    <row r="21" spans="1:9" s="26" customFormat="1" ht="24" x14ac:dyDescent="0.55000000000000004">
      <c r="A21" s="29" t="s">
        <v>768</v>
      </c>
      <c r="B21" s="219">
        <v>1491929.46</v>
      </c>
      <c r="C21" s="219">
        <v>11490442.67</v>
      </c>
      <c r="D21" s="210">
        <f>C21/12</f>
        <v>957536.88916666666</v>
      </c>
      <c r="E21" s="210">
        <f>D21*8</f>
        <v>7660295.1133333333</v>
      </c>
      <c r="F21" s="403">
        <f>B21+E21</f>
        <v>9152224.5733333342</v>
      </c>
    </row>
    <row r="22" spans="1:9" s="26" customFormat="1" ht="24" x14ac:dyDescent="0.55000000000000004">
      <c r="A22" s="29" t="s">
        <v>769</v>
      </c>
      <c r="B22" s="219">
        <v>1383953.1</v>
      </c>
      <c r="C22" s="219">
        <v>1163478</v>
      </c>
      <c r="D22" s="210">
        <f t="shared" ref="D22:D27" si="7">C22/12</f>
        <v>96956.5</v>
      </c>
      <c r="E22" s="210">
        <f>D22*3</f>
        <v>290869.5</v>
      </c>
      <c r="F22" s="403">
        <f t="shared" ref="F22:F27" si="8">B22+E22</f>
        <v>1674822.6</v>
      </c>
    </row>
    <row r="23" spans="1:9" s="26" customFormat="1" ht="24" x14ac:dyDescent="0.55000000000000004">
      <c r="A23" s="29" t="s">
        <v>770</v>
      </c>
      <c r="B23" s="219">
        <v>946711.28</v>
      </c>
      <c r="C23" s="219">
        <v>5370302.79</v>
      </c>
      <c r="D23" s="210">
        <f t="shared" si="7"/>
        <v>447525.23249999998</v>
      </c>
      <c r="E23" s="210">
        <f>D23*9</f>
        <v>4027727.0924999998</v>
      </c>
      <c r="F23" s="403">
        <f t="shared" si="8"/>
        <v>4974438.3724999996</v>
      </c>
      <c r="G23" s="465"/>
    </row>
    <row r="24" spans="1:9" s="26" customFormat="1" ht="24" x14ac:dyDescent="0.55000000000000004">
      <c r="A24" s="29" t="s">
        <v>771</v>
      </c>
      <c r="B24" s="219">
        <v>0</v>
      </c>
      <c r="C24" s="219">
        <v>276939</v>
      </c>
      <c r="D24" s="210">
        <f t="shared" si="7"/>
        <v>23078.25</v>
      </c>
      <c r="E24" s="210">
        <f t="shared" ref="E24:E25" si="9">D24*10</f>
        <v>230782.5</v>
      </c>
      <c r="F24" s="403">
        <v>276939</v>
      </c>
    </row>
    <row r="25" spans="1:9" s="26" customFormat="1" ht="24" x14ac:dyDescent="0.55000000000000004">
      <c r="A25" s="29" t="s">
        <v>772</v>
      </c>
      <c r="B25" s="219">
        <v>0</v>
      </c>
      <c r="C25" s="219">
        <v>149870</v>
      </c>
      <c r="D25" s="210">
        <f t="shared" si="7"/>
        <v>12489.166666666666</v>
      </c>
      <c r="E25" s="210">
        <f t="shared" si="9"/>
        <v>124891.66666666666</v>
      </c>
      <c r="F25" s="403">
        <f t="shared" si="8"/>
        <v>124891.66666666666</v>
      </c>
    </row>
    <row r="26" spans="1:9" s="26" customFormat="1" ht="24" x14ac:dyDescent="0.55000000000000004">
      <c r="A26" s="29" t="s">
        <v>773</v>
      </c>
      <c r="B26" s="219">
        <v>146041.76</v>
      </c>
      <c r="C26" s="219">
        <v>322221.71000000002</v>
      </c>
      <c r="D26" s="210">
        <f t="shared" si="7"/>
        <v>26851.80916666667</v>
      </c>
      <c r="E26" s="210">
        <f>D26*11</f>
        <v>295369.90083333338</v>
      </c>
      <c r="F26" s="403">
        <f t="shared" si="8"/>
        <v>441411.66083333339</v>
      </c>
    </row>
    <row r="27" spans="1:9" s="26" customFormat="1" ht="24" x14ac:dyDescent="0.55000000000000004">
      <c r="A27" s="29" t="s">
        <v>774</v>
      </c>
      <c r="B27" s="219">
        <v>1441019.34</v>
      </c>
      <c r="C27" s="219">
        <v>7419144.2999999998</v>
      </c>
      <c r="D27" s="210">
        <f t="shared" si="7"/>
        <v>618262.02500000002</v>
      </c>
      <c r="E27" s="210">
        <f>D27*8</f>
        <v>4946096.2</v>
      </c>
      <c r="F27" s="403">
        <f t="shared" si="8"/>
        <v>6387115.54</v>
      </c>
    </row>
    <row r="28" spans="1:9" s="10" customFormat="1" ht="24" x14ac:dyDescent="0.55000000000000004">
      <c r="A28" s="115" t="s">
        <v>666</v>
      </c>
      <c r="B28" s="379">
        <f>SUM(B21:B27)</f>
        <v>5409654.9399999995</v>
      </c>
      <c r="C28" s="379">
        <f t="shared" ref="C28:D28" si="10">SUM(C21:C27)</f>
        <v>26192398.470000003</v>
      </c>
      <c r="D28" s="379">
        <f t="shared" si="10"/>
        <v>2182699.8725000001</v>
      </c>
      <c r="E28" s="517">
        <f>SUM(E21:E27)</f>
        <v>17576031.973333333</v>
      </c>
      <c r="F28" s="409">
        <f>SUM(F21:F27)</f>
        <v>23031843.413333334</v>
      </c>
    </row>
    <row r="29" spans="1:9" s="26" customFormat="1" ht="24" x14ac:dyDescent="0.55000000000000004">
      <c r="F29" s="144"/>
      <c r="G29" s="465"/>
    </row>
    <row r="30" spans="1:9" x14ac:dyDescent="0.2">
      <c r="G30" s="375"/>
    </row>
  </sheetData>
  <mergeCells count="2">
    <mergeCell ref="A1:H1"/>
    <mergeCell ref="A2:A3"/>
  </mergeCells>
  <pageMargins left="0.25" right="0.25" top="0.27" bottom="0.3" header="0.3" footer="0.17"/>
  <pageSetup paperSize="9" scale="66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"/>
  <sheetViews>
    <sheetView workbookViewId="0">
      <selection activeCell="F10" sqref="F10"/>
    </sheetView>
  </sheetViews>
  <sheetFormatPr defaultColWidth="9" defaultRowHeight="22.5" x14ac:dyDescent="0.3"/>
  <cols>
    <col min="1" max="1" width="47.875" style="83" customWidth="1"/>
    <col min="2" max="2" width="20.375" style="83" customWidth="1"/>
    <col min="3" max="3" width="13.375" style="83" customWidth="1"/>
    <col min="4" max="4" width="16.375" style="83" customWidth="1"/>
    <col min="5" max="5" width="16.625" style="83" customWidth="1"/>
    <col min="6" max="6" width="14" style="83" customWidth="1"/>
    <col min="7" max="7" width="18.625" style="83" customWidth="1"/>
    <col min="8" max="8" width="8.75" style="83" bestFit="1" customWidth="1"/>
    <col min="9" max="16384" width="9" style="83"/>
  </cols>
  <sheetData>
    <row r="1" spans="1:8" ht="30.75" x14ac:dyDescent="0.7">
      <c r="A1" s="222" t="s">
        <v>775</v>
      </c>
      <c r="B1" s="223"/>
      <c r="C1" s="223"/>
      <c r="D1" s="223"/>
      <c r="E1" s="223"/>
      <c r="F1" s="223"/>
      <c r="G1" s="223"/>
      <c r="H1" s="224"/>
    </row>
    <row r="2" spans="1:8" ht="26.25" x14ac:dyDescent="0.55000000000000004">
      <c r="A2" s="579" t="s">
        <v>754</v>
      </c>
      <c r="B2" s="225"/>
      <c r="C2" s="581" t="s">
        <v>776</v>
      </c>
      <c r="D2" s="582"/>
      <c r="E2" s="582"/>
      <c r="F2" s="583"/>
      <c r="G2" s="584" t="s">
        <v>1384</v>
      </c>
      <c r="H2" s="586" t="s">
        <v>777</v>
      </c>
    </row>
    <row r="3" spans="1:8" ht="72" x14ac:dyDescent="0.3">
      <c r="A3" s="580"/>
      <c r="B3" s="194" t="s">
        <v>1244</v>
      </c>
      <c r="C3" s="134" t="s">
        <v>1245</v>
      </c>
      <c r="D3" s="218" t="s">
        <v>1248</v>
      </c>
      <c r="E3" s="134" t="s">
        <v>1246</v>
      </c>
      <c r="F3" s="218" t="s">
        <v>1247</v>
      </c>
      <c r="G3" s="585"/>
      <c r="H3" s="587"/>
    </row>
    <row r="4" spans="1:8" s="89" customFormat="1" ht="27.75" x14ac:dyDescent="0.2">
      <c r="A4" s="139" t="s">
        <v>778</v>
      </c>
      <c r="B4" s="248"/>
      <c r="C4" s="448">
        <f>'6.1แผนลงทุน'!W15</f>
        <v>95</v>
      </c>
      <c r="D4" s="226">
        <f>'6.1แผนลงทุน'!X15-F4</f>
        <v>3556850</v>
      </c>
      <c r="E4" s="139">
        <f>'6.1แผนลงทุน'!Q13</f>
        <v>5</v>
      </c>
      <c r="F4" s="226">
        <f>'6.1แผนลงทุน'!R13</f>
        <v>1588400</v>
      </c>
      <c r="G4" s="226">
        <f>SUM(D4,F4)</f>
        <v>5145250</v>
      </c>
      <c r="H4" s="88"/>
    </row>
    <row r="5" spans="1:8" ht="27.75" x14ac:dyDescent="0.65">
      <c r="A5" s="140" t="s">
        <v>779</v>
      </c>
      <c r="B5" s="23">
        <v>2983786.02</v>
      </c>
      <c r="C5" s="29">
        <v>4</v>
      </c>
      <c r="D5" s="190">
        <v>1704794.27</v>
      </c>
      <c r="E5" s="29">
        <v>2</v>
      </c>
      <c r="F5" s="190">
        <v>1851965</v>
      </c>
      <c r="G5" s="226">
        <f t="shared" ref="G5:G6" si="0">SUM(D5,F5)</f>
        <v>3556759.27</v>
      </c>
      <c r="H5" s="85"/>
    </row>
    <row r="6" spans="1:8" ht="27.75" x14ac:dyDescent="0.65">
      <c r="A6" s="29" t="s">
        <v>780</v>
      </c>
      <c r="B6" s="23"/>
      <c r="C6" s="29"/>
      <c r="D6" s="190"/>
      <c r="E6" s="29"/>
      <c r="F6" s="190"/>
      <c r="G6" s="226">
        <f t="shared" si="0"/>
        <v>0</v>
      </c>
      <c r="H6" s="85"/>
    </row>
    <row r="7" spans="1:8" ht="26.25" x14ac:dyDescent="0.55000000000000004">
      <c r="A7" s="227" t="s">
        <v>666</v>
      </c>
      <c r="B7" s="190">
        <f>SUM(B4:B6)</f>
        <v>2983786.02</v>
      </c>
      <c r="C7" s="24"/>
      <c r="D7" s="190">
        <f t="shared" ref="D7:G7" si="1">SUM(D4:D6)</f>
        <v>5261644.2699999996</v>
      </c>
      <c r="E7" s="40"/>
      <c r="F7" s="190">
        <f t="shared" si="1"/>
        <v>3440365</v>
      </c>
      <c r="G7" s="190">
        <f t="shared" si="1"/>
        <v>8702009.2699999996</v>
      </c>
      <c r="H7" s="40"/>
    </row>
    <row r="9" spans="1:8" x14ac:dyDescent="0.3">
      <c r="D9" s="425"/>
    </row>
    <row r="11" spans="1:8" x14ac:dyDescent="0.3">
      <c r="D11" s="463"/>
    </row>
    <row r="12" spans="1:8" x14ac:dyDescent="0.3">
      <c r="F12" s="462"/>
    </row>
  </sheetData>
  <mergeCells count="4">
    <mergeCell ref="A2:A3"/>
    <mergeCell ref="C2:F2"/>
    <mergeCell ref="G2:G3"/>
    <mergeCell ref="H2:H3"/>
  </mergeCells>
  <pageMargins left="0.2" right="0.2" top="0.75" bottom="0.75" header="0.3" footer="0.3"/>
  <pageSetup paperSize="9" scale="85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0"/>
  <sheetViews>
    <sheetView topLeftCell="H1" zoomScale="60" zoomScaleNormal="60" workbookViewId="0">
      <selection activeCell="P20" sqref="P20"/>
    </sheetView>
  </sheetViews>
  <sheetFormatPr defaultColWidth="26.875" defaultRowHeight="25.5" customHeight="1" x14ac:dyDescent="0.2"/>
  <cols>
    <col min="1" max="1" width="26.875" style="217"/>
    <col min="2" max="2" width="10.875" style="217" customWidth="1"/>
    <col min="3" max="3" width="13.25" style="217" bestFit="1" customWidth="1"/>
    <col min="4" max="4" width="8.75" style="217" hidden="1" customWidth="1"/>
    <col min="5" max="5" width="13.25" style="217" hidden="1" customWidth="1"/>
    <col min="6" max="6" width="10.625" style="217" customWidth="1"/>
    <col min="7" max="7" width="11.75" style="217" bestFit="1" customWidth="1"/>
    <col min="8" max="8" width="10" style="217" customWidth="1"/>
    <col min="9" max="9" width="12.125" style="217" customWidth="1"/>
    <col min="10" max="10" width="10.25" style="217" customWidth="1"/>
    <col min="11" max="11" width="13.875" style="217" customWidth="1"/>
    <col min="12" max="12" width="10.75" style="217" customWidth="1"/>
    <col min="13" max="13" width="11.75" style="217" bestFit="1" customWidth="1"/>
    <col min="14" max="14" width="10.125" style="217" customWidth="1"/>
    <col min="15" max="15" width="12" style="217" bestFit="1" customWidth="1"/>
    <col min="16" max="16" width="23.875" style="217" bestFit="1" customWidth="1"/>
    <col min="17" max="17" width="11.5" style="217" customWidth="1"/>
    <col min="18" max="18" width="17.75" style="217" customWidth="1"/>
    <col min="19" max="19" width="12.375" style="217" customWidth="1"/>
    <col min="20" max="20" width="14.125" style="217" customWidth="1"/>
    <col min="21" max="21" width="13.125" style="217" customWidth="1"/>
    <col min="22" max="22" width="15.75" style="217" customWidth="1"/>
    <col min="23" max="23" width="13" style="217" customWidth="1"/>
    <col min="24" max="24" width="13.25" style="217" bestFit="1" customWidth="1"/>
    <col min="25" max="25" width="20.125" style="217" customWidth="1"/>
    <col min="26" max="26" width="13.25" style="217" bestFit="1" customWidth="1"/>
    <col min="27" max="16384" width="26.875" style="217"/>
  </cols>
  <sheetData>
    <row r="1" spans="1:26" ht="25.5" customHeight="1" x14ac:dyDescent="0.55000000000000004">
      <c r="A1" s="351" t="s">
        <v>1396</v>
      </c>
    </row>
    <row r="2" spans="1:26" ht="25.5" customHeight="1" x14ac:dyDescent="0.3">
      <c r="A2" s="437"/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</row>
    <row r="3" spans="1:26" ht="25.5" customHeight="1" x14ac:dyDescent="0.55000000000000004">
      <c r="A3" s="590" t="s">
        <v>754</v>
      </c>
      <c r="B3" s="588" t="s">
        <v>1397</v>
      </c>
      <c r="C3" s="589"/>
      <c r="D3" s="588" t="s">
        <v>1398</v>
      </c>
      <c r="E3" s="589"/>
      <c r="F3" s="588" t="s">
        <v>1399</v>
      </c>
      <c r="G3" s="589"/>
      <c r="H3" s="588" t="s">
        <v>1400</v>
      </c>
      <c r="I3" s="589"/>
      <c r="J3" s="588" t="s">
        <v>1401</v>
      </c>
      <c r="K3" s="589"/>
      <c r="L3" s="588" t="s">
        <v>1402</v>
      </c>
      <c r="M3" s="589"/>
      <c r="N3" s="588" t="s">
        <v>1403</v>
      </c>
      <c r="O3" s="589"/>
      <c r="P3" s="590" t="s">
        <v>754</v>
      </c>
      <c r="Q3" s="588" t="s">
        <v>1404</v>
      </c>
      <c r="R3" s="589"/>
      <c r="S3" s="588" t="s">
        <v>1405</v>
      </c>
      <c r="T3" s="589"/>
      <c r="U3" s="588" t="s">
        <v>1406</v>
      </c>
      <c r="V3" s="589"/>
      <c r="W3" s="588" t="s">
        <v>1407</v>
      </c>
      <c r="X3" s="589"/>
    </row>
    <row r="4" spans="1:26" s="369" customFormat="1" ht="83.25" customHeight="1" x14ac:dyDescent="0.2">
      <c r="A4" s="590"/>
      <c r="B4" s="519" t="s">
        <v>1408</v>
      </c>
      <c r="C4" s="519" t="s">
        <v>1409</v>
      </c>
      <c r="D4" s="519" t="s">
        <v>1408</v>
      </c>
      <c r="E4" s="519" t="s">
        <v>1409</v>
      </c>
      <c r="F4" s="519" t="s">
        <v>1408</v>
      </c>
      <c r="G4" s="519" t="s">
        <v>1409</v>
      </c>
      <c r="H4" s="519" t="s">
        <v>1408</v>
      </c>
      <c r="I4" s="520" t="s">
        <v>1409</v>
      </c>
      <c r="J4" s="519" t="s">
        <v>1408</v>
      </c>
      <c r="K4" s="519" t="s">
        <v>1409</v>
      </c>
      <c r="L4" s="519" t="s">
        <v>1408</v>
      </c>
      <c r="M4" s="520" t="s">
        <v>1409</v>
      </c>
      <c r="N4" s="519" t="s">
        <v>1408</v>
      </c>
      <c r="O4" s="520" t="s">
        <v>1409</v>
      </c>
      <c r="P4" s="590"/>
      <c r="Q4" s="519" t="s">
        <v>1408</v>
      </c>
      <c r="R4" s="519" t="s">
        <v>1409</v>
      </c>
      <c r="S4" s="519" t="s">
        <v>1408</v>
      </c>
      <c r="T4" s="520" t="s">
        <v>1409</v>
      </c>
      <c r="U4" s="519" t="s">
        <v>1408</v>
      </c>
      <c r="V4" s="519" t="s">
        <v>1409</v>
      </c>
      <c r="W4" s="519" t="s">
        <v>1408</v>
      </c>
      <c r="X4" s="519" t="s">
        <v>1409</v>
      </c>
    </row>
    <row r="5" spans="1:26" ht="25.5" customHeight="1" x14ac:dyDescent="0.55000000000000004">
      <c r="A5" s="352" t="s">
        <v>1412</v>
      </c>
      <c r="B5" s="169">
        <v>23</v>
      </c>
      <c r="C5" s="353">
        <v>976200</v>
      </c>
      <c r="D5" s="353"/>
      <c r="E5" s="353"/>
      <c r="F5" s="169"/>
      <c r="G5" s="353"/>
      <c r="H5" s="169">
        <v>2</v>
      </c>
      <c r="I5" s="353">
        <v>70300</v>
      </c>
      <c r="J5" s="169"/>
      <c r="K5" s="352"/>
      <c r="L5" s="169">
        <v>1</v>
      </c>
      <c r="M5" s="353">
        <v>6500</v>
      </c>
      <c r="N5" s="169">
        <v>5</v>
      </c>
      <c r="O5" s="353">
        <v>550000</v>
      </c>
      <c r="P5" s="352" t="s">
        <v>1412</v>
      </c>
      <c r="Q5" s="169"/>
      <c r="R5" s="353"/>
      <c r="S5" s="169"/>
      <c r="T5" s="353"/>
      <c r="U5" s="352"/>
      <c r="V5" s="352"/>
      <c r="W5" s="354">
        <f t="shared" ref="W5:W14" si="0">B5+D5+F5+H5+J5+L5+N5+Q5+S5+U5</f>
        <v>31</v>
      </c>
      <c r="X5" s="354">
        <f t="shared" ref="X5:X14" si="1">C5+E5+G5+I5+K5+M5+O5+R5+T5+V5</f>
        <v>1603000</v>
      </c>
      <c r="Y5" s="447" t="s">
        <v>1410</v>
      </c>
      <c r="Z5" s="27">
        <v>264000</v>
      </c>
    </row>
    <row r="6" spans="1:26" ht="25.5" customHeight="1" x14ac:dyDescent="0.55000000000000004">
      <c r="A6" s="438" t="s">
        <v>1413</v>
      </c>
      <c r="B6" s="169">
        <v>10</v>
      </c>
      <c r="C6" s="439">
        <v>538200</v>
      </c>
      <c r="D6" s="353"/>
      <c r="E6" s="353"/>
      <c r="F6" s="169">
        <v>4</v>
      </c>
      <c r="G6" s="353">
        <v>56000</v>
      </c>
      <c r="H6" s="169"/>
      <c r="I6" s="353"/>
      <c r="J6" s="169">
        <v>4</v>
      </c>
      <c r="K6" s="353">
        <f>46700-15000</f>
        <v>31700</v>
      </c>
      <c r="L6" s="169"/>
      <c r="M6" s="353"/>
      <c r="N6" s="169">
        <v>3</v>
      </c>
      <c r="O6" s="353">
        <v>49800</v>
      </c>
      <c r="P6" s="438" t="s">
        <v>1413</v>
      </c>
      <c r="Q6" s="169">
        <v>1</v>
      </c>
      <c r="R6" s="353">
        <v>28000</v>
      </c>
      <c r="S6" s="169">
        <v>1</v>
      </c>
      <c r="T6" s="353">
        <v>129000</v>
      </c>
      <c r="U6" s="353">
        <v>2</v>
      </c>
      <c r="V6" s="353">
        <v>49400</v>
      </c>
      <c r="W6" s="354">
        <f t="shared" si="0"/>
        <v>25</v>
      </c>
      <c r="X6" s="354">
        <f t="shared" si="1"/>
        <v>882100</v>
      </c>
      <c r="Y6" s="447" t="s">
        <v>1411</v>
      </c>
      <c r="Z6" s="27">
        <v>684800</v>
      </c>
    </row>
    <row r="7" spans="1:26" ht="25.5" customHeight="1" thickBot="1" x14ac:dyDescent="0.6">
      <c r="A7" s="438" t="s">
        <v>1414</v>
      </c>
      <c r="B7" s="169">
        <v>7</v>
      </c>
      <c r="C7" s="353">
        <v>156050</v>
      </c>
      <c r="D7" s="353"/>
      <c r="E7" s="353"/>
      <c r="F7" s="169">
        <v>3</v>
      </c>
      <c r="G7" s="353">
        <f>114000-19000</f>
        <v>95000</v>
      </c>
      <c r="H7" s="169"/>
      <c r="I7" s="353"/>
      <c r="J7" s="169"/>
      <c r="K7" s="353"/>
      <c r="L7" s="169"/>
      <c r="M7" s="353"/>
      <c r="N7" s="169"/>
      <c r="O7" s="353"/>
      <c r="P7" s="438" t="s">
        <v>1414</v>
      </c>
      <c r="Q7" s="169">
        <v>1</v>
      </c>
      <c r="R7" s="460">
        <v>5500</v>
      </c>
      <c r="S7" s="169"/>
      <c r="T7" s="353"/>
      <c r="U7" s="352"/>
      <c r="V7" s="352"/>
      <c r="W7" s="354">
        <f t="shared" si="0"/>
        <v>11</v>
      </c>
      <c r="X7" s="354">
        <f t="shared" si="1"/>
        <v>256550</v>
      </c>
      <c r="Y7" s="446"/>
    </row>
    <row r="8" spans="1:26" ht="25.5" customHeight="1" thickTop="1" x14ac:dyDescent="0.55000000000000004">
      <c r="A8" s="352" t="s">
        <v>1415</v>
      </c>
      <c r="B8" s="169"/>
      <c r="C8" s="353"/>
      <c r="D8" s="353"/>
      <c r="E8" s="353"/>
      <c r="F8" s="169"/>
      <c r="G8" s="353"/>
      <c r="H8" s="169"/>
      <c r="I8" s="353"/>
      <c r="J8" s="169"/>
      <c r="K8" s="353"/>
      <c r="L8" s="169">
        <v>4</v>
      </c>
      <c r="M8" s="353">
        <v>141500</v>
      </c>
      <c r="N8" s="169"/>
      <c r="O8" s="353"/>
      <c r="P8" s="352" t="s">
        <v>1415</v>
      </c>
      <c r="Q8" s="169"/>
      <c r="R8" s="353"/>
      <c r="S8" s="169"/>
      <c r="T8" s="353"/>
      <c r="U8" s="353"/>
      <c r="V8" s="353"/>
      <c r="W8" s="354">
        <f t="shared" si="0"/>
        <v>4</v>
      </c>
      <c r="X8" s="354">
        <f t="shared" si="1"/>
        <v>141500</v>
      </c>
      <c r="Y8" s="446"/>
    </row>
    <row r="9" spans="1:26" ht="25.5" customHeight="1" x14ac:dyDescent="0.55000000000000004">
      <c r="A9" s="352" t="s">
        <v>1416</v>
      </c>
      <c r="B9" s="169"/>
      <c r="C9" s="353"/>
      <c r="D9" s="353"/>
      <c r="E9" s="353"/>
      <c r="F9" s="169"/>
      <c r="G9" s="353"/>
      <c r="H9" s="169"/>
      <c r="I9" s="353"/>
      <c r="J9" s="169"/>
      <c r="K9" s="352"/>
      <c r="L9" s="169"/>
      <c r="M9" s="353"/>
      <c r="N9" s="169"/>
      <c r="O9" s="353"/>
      <c r="P9" s="352" t="s">
        <v>1416</v>
      </c>
      <c r="Q9" s="169"/>
      <c r="R9" s="353"/>
      <c r="S9" s="169"/>
      <c r="T9" s="353"/>
      <c r="U9" s="353">
        <v>9</v>
      </c>
      <c r="V9" s="353">
        <v>300000</v>
      </c>
      <c r="W9" s="354">
        <f t="shared" si="0"/>
        <v>9</v>
      </c>
      <c r="X9" s="354">
        <f t="shared" si="1"/>
        <v>300000</v>
      </c>
    </row>
    <row r="10" spans="1:26" ht="25.5" customHeight="1" x14ac:dyDescent="0.55000000000000004">
      <c r="A10" s="352" t="s">
        <v>1417</v>
      </c>
      <c r="B10" s="169"/>
      <c r="C10" s="353"/>
      <c r="D10" s="353"/>
      <c r="E10" s="353"/>
      <c r="F10" s="169"/>
      <c r="G10" s="353"/>
      <c r="H10" s="169"/>
      <c r="I10" s="353"/>
      <c r="J10" s="169"/>
      <c r="K10" s="352"/>
      <c r="L10" s="169">
        <v>1</v>
      </c>
      <c r="M10" s="353">
        <v>12500</v>
      </c>
      <c r="N10" s="169"/>
      <c r="O10" s="353"/>
      <c r="P10" s="352" t="s">
        <v>1417</v>
      </c>
      <c r="Q10" s="169"/>
      <c r="R10" s="353"/>
      <c r="S10" s="169"/>
      <c r="T10" s="353"/>
      <c r="U10" s="353"/>
      <c r="V10" s="353"/>
      <c r="W10" s="354">
        <f t="shared" si="0"/>
        <v>1</v>
      </c>
      <c r="X10" s="354">
        <f t="shared" si="1"/>
        <v>12500</v>
      </c>
    </row>
    <row r="11" spans="1:26" ht="25.5" customHeight="1" x14ac:dyDescent="0.55000000000000004">
      <c r="A11" s="352" t="s">
        <v>1418</v>
      </c>
      <c r="B11" s="169">
        <v>1</v>
      </c>
      <c r="C11" s="353">
        <v>7200</v>
      </c>
      <c r="D11" s="352"/>
      <c r="E11" s="352"/>
      <c r="F11" s="169"/>
      <c r="G11" s="353"/>
      <c r="H11" s="169"/>
      <c r="I11" s="353"/>
      <c r="J11" s="169"/>
      <c r="K11" s="353"/>
      <c r="L11" s="169"/>
      <c r="M11" s="353"/>
      <c r="N11" s="169"/>
      <c r="O11" s="353"/>
      <c r="P11" s="352" t="s">
        <v>1418</v>
      </c>
      <c r="Q11" s="169"/>
      <c r="R11" s="353"/>
      <c r="S11" s="169"/>
      <c r="T11" s="353"/>
      <c r="U11" s="353">
        <v>8</v>
      </c>
      <c r="V11" s="353">
        <v>354000</v>
      </c>
      <c r="W11" s="354">
        <f t="shared" si="0"/>
        <v>9</v>
      </c>
      <c r="X11" s="354">
        <f t="shared" si="1"/>
        <v>361200</v>
      </c>
    </row>
    <row r="12" spans="1:26" ht="25.5" customHeight="1" x14ac:dyDescent="0.55000000000000004">
      <c r="A12" s="440" t="s">
        <v>1419</v>
      </c>
      <c r="B12" s="169"/>
      <c r="C12" s="353"/>
      <c r="D12" s="353"/>
      <c r="E12" s="353"/>
      <c r="F12" s="352"/>
      <c r="G12" s="352"/>
      <c r="H12" s="352"/>
      <c r="I12" s="353"/>
      <c r="J12" s="352"/>
      <c r="K12" s="352"/>
      <c r="L12" s="352"/>
      <c r="M12" s="353"/>
      <c r="N12" s="352"/>
      <c r="O12" s="353"/>
      <c r="P12" s="440" t="s">
        <v>1419</v>
      </c>
      <c r="Q12" s="169"/>
      <c r="R12" s="353"/>
      <c r="S12" s="352"/>
      <c r="T12" s="353"/>
      <c r="U12" s="352"/>
      <c r="V12" s="352"/>
      <c r="W12" s="354">
        <f t="shared" si="0"/>
        <v>0</v>
      </c>
      <c r="X12" s="354">
        <f t="shared" si="1"/>
        <v>0</v>
      </c>
    </row>
    <row r="13" spans="1:26" ht="25.5" customHeight="1" x14ac:dyDescent="0.55000000000000004">
      <c r="A13" s="352" t="s">
        <v>1521</v>
      </c>
      <c r="B13" s="169"/>
      <c r="C13" s="353"/>
      <c r="D13" s="353"/>
      <c r="E13" s="353"/>
      <c r="F13" s="352"/>
      <c r="G13" s="352"/>
      <c r="H13" s="352"/>
      <c r="I13" s="353"/>
      <c r="J13" s="352"/>
      <c r="K13" s="352"/>
      <c r="L13" s="352"/>
      <c r="M13" s="353"/>
      <c r="N13" s="352"/>
      <c r="O13" s="353"/>
      <c r="P13" s="352" t="s">
        <v>1521</v>
      </c>
      <c r="Q13" s="169">
        <v>5</v>
      </c>
      <c r="R13" s="353">
        <v>1588400</v>
      </c>
      <c r="S13" s="352"/>
      <c r="T13" s="353"/>
      <c r="U13" s="352"/>
      <c r="V13" s="352"/>
      <c r="W13" s="354">
        <f t="shared" si="0"/>
        <v>5</v>
      </c>
      <c r="X13" s="354">
        <f t="shared" si="1"/>
        <v>1588400</v>
      </c>
    </row>
    <row r="14" spans="1:26" ht="25.5" customHeight="1" thickBot="1" x14ac:dyDescent="0.6">
      <c r="A14" s="355"/>
      <c r="B14" s="352"/>
      <c r="C14" s="352"/>
      <c r="D14" s="352"/>
      <c r="E14" s="352"/>
      <c r="F14" s="352"/>
      <c r="G14" s="352"/>
      <c r="H14" s="352"/>
      <c r="I14" s="353"/>
      <c r="J14" s="352"/>
      <c r="K14" s="352"/>
      <c r="L14" s="352"/>
      <c r="M14" s="353"/>
      <c r="N14" s="352"/>
      <c r="O14" s="353"/>
      <c r="P14" s="355"/>
      <c r="Q14" s="169"/>
      <c r="R14" s="353"/>
      <c r="S14" s="352"/>
      <c r="T14" s="353"/>
      <c r="U14" s="352"/>
      <c r="V14" s="352"/>
      <c r="W14" s="356">
        <f t="shared" si="0"/>
        <v>0</v>
      </c>
      <c r="X14" s="356">
        <f t="shared" si="1"/>
        <v>0</v>
      </c>
      <c r="Y14" s="442"/>
    </row>
    <row r="15" spans="1:26" ht="25.5" customHeight="1" thickBot="1" x14ac:dyDescent="0.6">
      <c r="A15" s="357"/>
      <c r="B15" s="358">
        <f t="shared" ref="B15:V15" si="2">SUM(B5:B14)</f>
        <v>41</v>
      </c>
      <c r="C15" s="359">
        <f t="shared" si="2"/>
        <v>1677650</v>
      </c>
      <c r="D15" s="359">
        <f t="shared" si="2"/>
        <v>0</v>
      </c>
      <c r="E15" s="359">
        <f t="shared" si="2"/>
        <v>0</v>
      </c>
      <c r="F15" s="359">
        <f t="shared" si="2"/>
        <v>7</v>
      </c>
      <c r="G15" s="359">
        <f t="shared" si="2"/>
        <v>151000</v>
      </c>
      <c r="H15" s="359">
        <f t="shared" si="2"/>
        <v>2</v>
      </c>
      <c r="I15" s="360">
        <f t="shared" si="2"/>
        <v>70300</v>
      </c>
      <c r="J15" s="359">
        <f t="shared" si="2"/>
        <v>4</v>
      </c>
      <c r="K15" s="359">
        <f t="shared" si="2"/>
        <v>31700</v>
      </c>
      <c r="L15" s="359">
        <f t="shared" si="2"/>
        <v>6</v>
      </c>
      <c r="M15" s="359">
        <f t="shared" si="2"/>
        <v>160500</v>
      </c>
      <c r="N15" s="359">
        <f t="shared" si="2"/>
        <v>8</v>
      </c>
      <c r="O15" s="360">
        <f t="shared" si="2"/>
        <v>599800</v>
      </c>
      <c r="P15" s="360"/>
      <c r="Q15" s="359">
        <f t="shared" si="2"/>
        <v>7</v>
      </c>
      <c r="R15" s="359">
        <f t="shared" si="2"/>
        <v>1621900</v>
      </c>
      <c r="S15" s="359">
        <f t="shared" si="2"/>
        <v>1</v>
      </c>
      <c r="T15" s="359">
        <f t="shared" si="2"/>
        <v>129000</v>
      </c>
      <c r="U15" s="359">
        <f t="shared" si="2"/>
        <v>19</v>
      </c>
      <c r="V15" s="359">
        <f t="shared" si="2"/>
        <v>703400</v>
      </c>
      <c r="W15" s="361">
        <f>B15+D15+F15+H15+J15+L15+N15+Q15+S15+U15</f>
        <v>95</v>
      </c>
      <c r="X15" s="362">
        <f>SUM(X5:X14)</f>
        <v>5145250</v>
      </c>
      <c r="Y15" s="443">
        <v>2400000</v>
      </c>
      <c r="Z15" s="444" t="s">
        <v>1511</v>
      </c>
    </row>
    <row r="16" spans="1:26" ht="25.5" customHeight="1" x14ac:dyDescent="0.55000000000000004">
      <c r="A16" s="357"/>
      <c r="B16" s="357"/>
      <c r="C16" s="357"/>
      <c r="D16" s="357"/>
      <c r="E16" s="357"/>
      <c r="F16" s="357"/>
      <c r="G16" s="357"/>
      <c r="H16" s="357"/>
      <c r="I16" s="363"/>
      <c r="J16" s="357"/>
      <c r="K16" s="357"/>
      <c r="L16" s="357"/>
      <c r="M16" s="363"/>
      <c r="N16" s="357"/>
      <c r="O16" s="363"/>
      <c r="P16" s="363"/>
      <c r="Q16" s="357"/>
      <c r="R16" s="357"/>
      <c r="S16" s="357"/>
      <c r="T16" s="363"/>
      <c r="U16" s="357"/>
      <c r="V16" s="357"/>
      <c r="W16" s="357"/>
      <c r="X16" s="357"/>
      <c r="Y16" s="445">
        <f>Y15-X15</f>
        <v>-2745250</v>
      </c>
      <c r="Z16" s="444" t="s">
        <v>1512</v>
      </c>
    </row>
    <row r="17" spans="1:25" ht="25.5" customHeight="1" x14ac:dyDescent="0.3">
      <c r="A17" s="437"/>
      <c r="B17" s="437"/>
      <c r="C17" s="437"/>
      <c r="D17" s="437"/>
      <c r="E17" s="437"/>
      <c r="F17" s="437"/>
      <c r="G17" s="441"/>
      <c r="H17" s="437"/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  <c r="T17" s="437"/>
      <c r="U17" s="437"/>
      <c r="V17" s="437"/>
      <c r="W17" s="437"/>
      <c r="X17" s="437"/>
    </row>
    <row r="18" spans="1:25" ht="25.5" customHeight="1" x14ac:dyDescent="0.3">
      <c r="A18" s="437"/>
      <c r="B18" s="437"/>
      <c r="C18" s="437"/>
      <c r="D18" s="437"/>
      <c r="E18" s="437"/>
      <c r="F18" s="437"/>
      <c r="G18" s="437"/>
      <c r="H18" s="437"/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7"/>
      <c r="T18" s="437"/>
      <c r="U18" s="437"/>
      <c r="V18" s="437"/>
      <c r="W18" s="437"/>
      <c r="X18" s="437"/>
    </row>
    <row r="20" spans="1:25" ht="25.5" customHeight="1" x14ac:dyDescent="0.2">
      <c r="Y20" s="451"/>
    </row>
  </sheetData>
  <mergeCells count="13">
    <mergeCell ref="W3:X3"/>
    <mergeCell ref="A3:A4"/>
    <mergeCell ref="B3:C3"/>
    <mergeCell ref="D3:E3"/>
    <mergeCell ref="F3:G3"/>
    <mergeCell ref="H3:I3"/>
    <mergeCell ref="J3:K3"/>
    <mergeCell ref="L3:M3"/>
    <mergeCell ref="N3:O3"/>
    <mergeCell ref="Q3:R3"/>
    <mergeCell ref="S3:T3"/>
    <mergeCell ref="U3:V3"/>
    <mergeCell ref="P3:P4"/>
  </mergeCells>
  <pageMargins left="0.2" right="0.2" top="0.5" bottom="0.31" header="0.3" footer="0.17"/>
  <pageSetup paperSize="9" scale="80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2" sqref="B22"/>
    </sheetView>
  </sheetViews>
  <sheetFormatPr defaultRowHeight="14.25" x14ac:dyDescent="0.2"/>
  <cols>
    <col min="1" max="1" width="9.125" customWidth="1"/>
    <col min="2" max="2" width="23.125" customWidth="1"/>
    <col min="3" max="3" width="22.875" customWidth="1"/>
    <col min="4" max="4" width="20.5" style="280" customWidth="1"/>
    <col min="5" max="5" width="21.875" style="280" customWidth="1"/>
    <col min="6" max="6" width="17.375" style="280" customWidth="1"/>
    <col min="7" max="7" width="19.625" style="280" customWidth="1"/>
  </cols>
  <sheetData>
    <row r="1" spans="1:7" ht="27.75" x14ac:dyDescent="0.65">
      <c r="A1" s="84"/>
      <c r="B1" s="593" t="s">
        <v>781</v>
      </c>
      <c r="C1" s="594"/>
      <c r="D1" s="594"/>
      <c r="E1" s="594"/>
      <c r="F1" s="594"/>
      <c r="G1" s="594"/>
    </row>
    <row r="2" spans="1:7" ht="48" x14ac:dyDescent="0.2">
      <c r="A2" s="90" t="s">
        <v>783</v>
      </c>
      <c r="B2" s="134" t="s">
        <v>784</v>
      </c>
      <c r="C2" s="92" t="s">
        <v>790</v>
      </c>
      <c r="D2" s="421" t="s">
        <v>787</v>
      </c>
      <c r="E2" s="420" t="s">
        <v>785</v>
      </c>
      <c r="F2" s="420" t="s">
        <v>786</v>
      </c>
      <c r="G2" s="422" t="s">
        <v>782</v>
      </c>
    </row>
    <row r="3" spans="1:7" ht="24" x14ac:dyDescent="0.2">
      <c r="A3" s="90">
        <v>1</v>
      </c>
      <c r="B3" s="419" t="s">
        <v>1436</v>
      </c>
      <c r="C3" s="420">
        <v>330000</v>
      </c>
      <c r="D3" s="421">
        <f>'7.1แผน รพ.สต.'!Z4</f>
        <v>788239.4</v>
      </c>
      <c r="E3" s="420">
        <f>'7.1แผน รพ.สต.'!AA4</f>
        <v>238328.10780000006</v>
      </c>
      <c r="F3" s="420">
        <f>'7.1แผน รพ.สต.'!X4</f>
        <v>0</v>
      </c>
      <c r="G3" s="423">
        <f>SUM(C3:F4)</f>
        <v>2313767.2142000003</v>
      </c>
    </row>
    <row r="4" spans="1:7" ht="24" x14ac:dyDescent="0.2">
      <c r="A4" s="90">
        <v>2</v>
      </c>
      <c r="B4" s="419" t="s">
        <v>1438</v>
      </c>
      <c r="C4" s="420">
        <v>300000</v>
      </c>
      <c r="D4" s="421">
        <f>'7.1แผน รพ.สต.'!Z5</f>
        <v>472106.4</v>
      </c>
      <c r="E4" s="420">
        <f>'7.1แผน รพ.สต.'!AA5</f>
        <v>185093.3064</v>
      </c>
      <c r="F4" s="420">
        <f>'7.1แผน รพ.สต.'!X5</f>
        <v>0</v>
      </c>
      <c r="G4" s="423">
        <f t="shared" ref="G4:G8" si="0">SUM(C4:F5)</f>
        <v>2782034.7727999999</v>
      </c>
    </row>
    <row r="5" spans="1:7" ht="24" x14ac:dyDescent="0.2">
      <c r="A5" s="90">
        <v>3</v>
      </c>
      <c r="B5" s="419" t="s">
        <v>1440</v>
      </c>
      <c r="C5" s="420">
        <v>300000</v>
      </c>
      <c r="D5" s="421">
        <f>'7.1แผน รพ.สต.'!Z6</f>
        <v>1174448</v>
      </c>
      <c r="E5" s="420">
        <f>'7.1แผน รพ.สต.'!AA6</f>
        <v>350387.06640000001</v>
      </c>
      <c r="F5" s="420">
        <f>'7.1แผน รพ.สต.'!X6</f>
        <v>0</v>
      </c>
      <c r="G5" s="423">
        <f t="shared" si="0"/>
        <v>3808718.9056000002</v>
      </c>
    </row>
    <row r="6" spans="1:7" ht="24" x14ac:dyDescent="0.2">
      <c r="A6" s="90">
        <v>4</v>
      </c>
      <c r="B6" s="419" t="s">
        <v>1441</v>
      </c>
      <c r="C6" s="420">
        <v>330000</v>
      </c>
      <c r="D6" s="421">
        <f>'7.1แผน รพ.สต.'!Z7</f>
        <v>1322928</v>
      </c>
      <c r="E6" s="420">
        <f>'7.1แผน รพ.สต.'!AA7</f>
        <v>330955.83920000005</v>
      </c>
      <c r="F6" s="420">
        <f>'7.1แผน รพ.สต.'!X7</f>
        <v>0</v>
      </c>
      <c r="G6" s="423">
        <f t="shared" si="0"/>
        <v>3419676.8020000006</v>
      </c>
    </row>
    <row r="7" spans="1:7" ht="24" x14ac:dyDescent="0.2">
      <c r="A7" s="90">
        <v>5</v>
      </c>
      <c r="B7" s="419" t="s">
        <v>1442</v>
      </c>
      <c r="C7" s="420">
        <v>330000</v>
      </c>
      <c r="D7" s="421">
        <f>'7.1แผน รพ.สต.'!Z8</f>
        <v>900651.2</v>
      </c>
      <c r="E7" s="420">
        <f>'7.1แผน รพ.สต.'!AA8</f>
        <v>205141.7628</v>
      </c>
      <c r="F7" s="420">
        <f>'7.1แผน รพ.สต.'!X8</f>
        <v>0</v>
      </c>
      <c r="G7" s="423">
        <f t="shared" si="0"/>
        <v>2756135.2867000001</v>
      </c>
    </row>
    <row r="8" spans="1:7" ht="24" x14ac:dyDescent="0.2">
      <c r="A8" s="90">
        <v>6</v>
      </c>
      <c r="B8" s="419" t="s">
        <v>1443</v>
      </c>
      <c r="C8" s="420">
        <v>330000</v>
      </c>
      <c r="D8" s="421">
        <f>'7.1แผน รพ.สต.'!Z9</f>
        <v>805910</v>
      </c>
      <c r="E8" s="420">
        <f>'7.1แผน รพ.สต.'!AA9</f>
        <v>184432.32389999999</v>
      </c>
      <c r="F8" s="420">
        <f>'7.1แผน รพ.สต.'!X9</f>
        <v>0</v>
      </c>
      <c r="G8" s="423">
        <f t="shared" si="0"/>
        <v>2462231.5892000003</v>
      </c>
    </row>
    <row r="9" spans="1:7" ht="24" x14ac:dyDescent="0.2">
      <c r="A9" s="90">
        <v>7</v>
      </c>
      <c r="B9" s="419" t="s">
        <v>1444</v>
      </c>
      <c r="C9" s="420">
        <v>300000</v>
      </c>
      <c r="D9" s="421">
        <f>'7.1แผน รพ.สต.'!Z10</f>
        <v>708718</v>
      </c>
      <c r="E9" s="420">
        <f>'7.1แผน รพ.สต.'!AA10</f>
        <v>133171.2653</v>
      </c>
      <c r="F9" s="420">
        <f>'7.1แผน รพ.สต.'!X10</f>
        <v>0</v>
      </c>
      <c r="G9" s="423">
        <f>SUM(C9:F17)</f>
        <v>9598717.0172000006</v>
      </c>
    </row>
    <row r="10" spans="1:7" ht="24" x14ac:dyDescent="0.2">
      <c r="A10" s="90">
        <v>8</v>
      </c>
      <c r="B10" s="419" t="s">
        <v>1445</v>
      </c>
      <c r="C10" s="420">
        <v>300000</v>
      </c>
      <c r="D10" s="421">
        <f>'7.1แผน รพ.สต.'!Z11</f>
        <v>527936</v>
      </c>
      <c r="E10" s="420">
        <f>'7.1แผน รพ.สต.'!AA11</f>
        <v>342782.05560000002</v>
      </c>
      <c r="F10" s="420">
        <f>'7.1แผน รพ.สต.'!X11</f>
        <v>0</v>
      </c>
      <c r="G10" s="423">
        <f>SUM(C10:F17)</f>
        <v>8456827.7519000005</v>
      </c>
    </row>
    <row r="11" spans="1:7" ht="24" x14ac:dyDescent="0.2">
      <c r="A11" s="90">
        <v>9</v>
      </c>
      <c r="B11" s="419" t="s">
        <v>1446</v>
      </c>
      <c r="C11" s="420">
        <v>300000</v>
      </c>
      <c r="D11" s="421">
        <f>'7.1แผน รพ.สต.'!Z12</f>
        <v>478976</v>
      </c>
      <c r="E11" s="420">
        <f>'7.1แผน รพ.สต.'!AA12</f>
        <v>212504.4792</v>
      </c>
      <c r="F11" s="420">
        <f>'7.1แผน รพ.สต.'!X12</f>
        <v>0</v>
      </c>
      <c r="G11" s="423">
        <f>SUM(C11:F17)</f>
        <v>7286109.6963</v>
      </c>
    </row>
    <row r="12" spans="1:7" ht="24" x14ac:dyDescent="0.2">
      <c r="A12" s="90">
        <v>10</v>
      </c>
      <c r="B12" s="419" t="s">
        <v>1447</v>
      </c>
      <c r="C12" s="420">
        <v>300000</v>
      </c>
      <c r="D12" s="421">
        <f>'7.1แผน รพ.สต.'!Z13</f>
        <v>528920</v>
      </c>
      <c r="E12" s="420">
        <f>'7.1แผน รพ.สต.'!AA13</f>
        <v>109606.28419999999</v>
      </c>
      <c r="F12" s="420">
        <f>'7.1แผน รพ.สต.'!X13</f>
        <v>0</v>
      </c>
      <c r="G12" s="423">
        <f>SUM(C12:F17)</f>
        <v>6294629.2171</v>
      </c>
    </row>
    <row r="13" spans="1:7" ht="24" x14ac:dyDescent="0.2">
      <c r="A13" s="90">
        <v>11</v>
      </c>
      <c r="B13" s="419" t="s">
        <v>1448</v>
      </c>
      <c r="C13" s="420">
        <v>300000</v>
      </c>
      <c r="D13" s="421">
        <f>'7.1แผน รพ.สต.'!Z14</f>
        <v>647500</v>
      </c>
      <c r="E13" s="420">
        <f>'7.1แผน รพ.สต.'!AA14</f>
        <v>199603.70499999999</v>
      </c>
      <c r="F13" s="420">
        <f>'7.1แผน รพ.สต.'!X14</f>
        <v>0</v>
      </c>
      <c r="G13" s="423">
        <f>SUM(C13:F17)</f>
        <v>5356102.9329000004</v>
      </c>
    </row>
    <row r="14" spans="1:7" ht="24" x14ac:dyDescent="0.2">
      <c r="A14" s="90">
        <v>12</v>
      </c>
      <c r="B14" s="419" t="s">
        <v>1449</v>
      </c>
      <c r="C14" s="420">
        <v>300000</v>
      </c>
      <c r="D14" s="421">
        <f>'7.1แผน รพ.สต.'!Z15</f>
        <v>695960</v>
      </c>
      <c r="E14" s="420">
        <f>'7.1แผน รพ.สต.'!AA15</f>
        <v>183997.9878</v>
      </c>
      <c r="F14" s="420">
        <f>'7.1แผน รพ.สต.'!X15</f>
        <v>0</v>
      </c>
      <c r="G14" s="423">
        <f>SUM(C14:F18)</f>
        <v>22686337.6516</v>
      </c>
    </row>
    <row r="15" spans="1:7" ht="24" x14ac:dyDescent="0.2">
      <c r="A15" s="90">
        <v>13</v>
      </c>
      <c r="B15" s="419" t="s">
        <v>1450</v>
      </c>
      <c r="C15" s="420">
        <v>300000</v>
      </c>
      <c r="D15" s="421">
        <f>'7.1แผน รพ.สต.'!Z16</f>
        <v>618292</v>
      </c>
      <c r="E15" s="420">
        <f>'7.1แผน รพ.สต.'!AA16</f>
        <v>131822.0289</v>
      </c>
      <c r="F15" s="420">
        <f>'7.1แผน รพ.สต.'!X16</f>
        <v>0</v>
      </c>
      <c r="G15" s="423">
        <f>SUM(C15:F19)</f>
        <v>21506379.663800001</v>
      </c>
    </row>
    <row r="16" spans="1:7" ht="24" x14ac:dyDescent="0.2">
      <c r="A16" s="90">
        <v>14</v>
      </c>
      <c r="B16" s="419" t="s">
        <v>1451</v>
      </c>
      <c r="C16" s="420">
        <v>300000</v>
      </c>
      <c r="D16" s="421">
        <f>'7.1แผน รพ.สต.'!Z17</f>
        <v>427834</v>
      </c>
      <c r="E16" s="420">
        <f>'7.1แผน รพ.สต.'!AA17</f>
        <v>188693.99420000002</v>
      </c>
      <c r="F16" s="420">
        <f>'7.1แผน รพ.สต.'!X17</f>
        <v>0</v>
      </c>
      <c r="G16" s="423">
        <f>SUM(C16:F17)</f>
        <v>1978927.2112</v>
      </c>
    </row>
    <row r="17" spans="1:9" ht="24" x14ac:dyDescent="0.2">
      <c r="A17" s="90">
        <v>15</v>
      </c>
      <c r="B17" s="419" t="s">
        <v>1452</v>
      </c>
      <c r="C17" s="420">
        <v>300000</v>
      </c>
      <c r="D17" s="421">
        <f>'7.1แผน รพ.สต.'!Z18</f>
        <v>653400</v>
      </c>
      <c r="E17" s="420">
        <f>'7.1แผน รพ.สต.'!AA18</f>
        <v>108999.217</v>
      </c>
      <c r="F17" s="420">
        <f>'7.1แผน รพ.สต.'!X18</f>
        <v>0</v>
      </c>
      <c r="G17" s="423">
        <f>SUM(C17:F17)</f>
        <v>1062399.2169999999</v>
      </c>
    </row>
    <row r="18" spans="1:9" s="21" customFormat="1" ht="24" x14ac:dyDescent="0.55000000000000004">
      <c r="A18" s="595" t="s">
        <v>666</v>
      </c>
      <c r="B18" s="596"/>
      <c r="C18" s="424">
        <f>SUM(C3:C17)</f>
        <v>4620000</v>
      </c>
      <c r="D18" s="424">
        <f>SUM(D3:D17)</f>
        <v>10751819</v>
      </c>
      <c r="E18" s="424">
        <f>SUM(E3:E17)</f>
        <v>3105519.4237000002</v>
      </c>
      <c r="F18" s="424">
        <f>SUM(F3:F17)</f>
        <v>0</v>
      </c>
      <c r="G18" s="424">
        <f>SUM(G3:G17)</f>
        <v>101768994.9295</v>
      </c>
    </row>
    <row r="19" spans="1:9" s="20" customFormat="1" ht="27.75" x14ac:dyDescent="0.65">
      <c r="D19" s="207"/>
      <c r="E19" s="207"/>
      <c r="F19" s="207"/>
      <c r="G19" s="207"/>
    </row>
    <row r="20" spans="1:9" s="20" customFormat="1" ht="27.75" x14ac:dyDescent="0.65">
      <c r="B20" s="91" t="s">
        <v>791</v>
      </c>
      <c r="C20" s="20" t="s">
        <v>792</v>
      </c>
      <c r="D20" s="207"/>
      <c r="E20" s="207"/>
      <c r="F20" s="207"/>
      <c r="G20" s="207"/>
    </row>
    <row r="21" spans="1:9" s="20" customFormat="1" ht="27.75" x14ac:dyDescent="0.65">
      <c r="B21" s="91"/>
      <c r="C21" s="20" t="s">
        <v>793</v>
      </c>
      <c r="D21" s="207"/>
      <c r="E21" s="207"/>
      <c r="F21" s="207"/>
      <c r="G21" s="207"/>
    </row>
    <row r="22" spans="1:9" s="20" customFormat="1" ht="30" customHeight="1" x14ac:dyDescent="0.65">
      <c r="B22" s="94" t="s">
        <v>794</v>
      </c>
      <c r="C22" s="592" t="s">
        <v>795</v>
      </c>
      <c r="D22" s="592"/>
      <c r="E22" s="592"/>
      <c r="F22" s="592"/>
      <c r="G22" s="592"/>
    </row>
    <row r="23" spans="1:9" s="20" customFormat="1" ht="27.75" x14ac:dyDescent="0.65">
      <c r="B23" s="591" t="s">
        <v>796</v>
      </c>
      <c r="C23" s="591"/>
      <c r="D23" s="591"/>
      <c r="E23" s="591"/>
      <c r="F23" s="591"/>
      <c r="G23" s="591"/>
      <c r="H23" s="93"/>
      <c r="I23" s="93"/>
    </row>
    <row r="24" spans="1:9" s="20" customFormat="1" ht="27.75" x14ac:dyDescent="0.65">
      <c r="B24" s="20" t="s">
        <v>797</v>
      </c>
      <c r="C24" s="20" t="s">
        <v>798</v>
      </c>
      <c r="D24" s="207"/>
      <c r="E24" s="207"/>
      <c r="F24" s="207"/>
      <c r="G24" s="207"/>
    </row>
  </sheetData>
  <mergeCells count="4">
    <mergeCell ref="B23:G23"/>
    <mergeCell ref="C22:G22"/>
    <mergeCell ref="B1:G1"/>
    <mergeCell ref="A18:B18"/>
  </mergeCells>
  <pageMargins left="0.26" right="0.2" top="0.32" bottom="0.75" header="0.3" footer="0.3"/>
  <pageSetup paperSize="9" scale="80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tabSelected="1" zoomScale="40" zoomScaleNormal="40" workbookViewId="0">
      <selection activeCell="K24" sqref="J24:K25"/>
    </sheetView>
  </sheetViews>
  <sheetFormatPr defaultRowHeight="14.25" x14ac:dyDescent="0.2"/>
  <cols>
    <col min="1" max="1" width="6" bestFit="1" customWidth="1"/>
    <col min="2" max="2" width="21.375" customWidth="1"/>
    <col min="3" max="3" width="18.875" customWidth="1"/>
    <col min="4" max="4" width="22.75" customWidth="1"/>
    <col min="5" max="5" width="17.5" customWidth="1"/>
    <col min="6" max="6" width="18.75" customWidth="1"/>
    <col min="7" max="7" width="11.5" customWidth="1"/>
    <col min="8" max="8" width="12.625" customWidth="1"/>
    <col min="9" max="9" width="13.375" customWidth="1"/>
    <col min="10" max="10" width="13.625" customWidth="1"/>
    <col min="11" max="12" width="15.75" customWidth="1"/>
    <col min="13" max="13" width="14.375" style="217" customWidth="1"/>
    <col min="14" max="14" width="15.5" customWidth="1"/>
    <col min="15" max="16" width="14.125" customWidth="1"/>
    <col min="17" max="17" width="12" style="280" customWidth="1"/>
    <col min="18" max="18" width="12.625" customWidth="1"/>
    <col min="19" max="20" width="13.5" customWidth="1"/>
    <col min="21" max="21" width="14.75" customWidth="1"/>
    <col min="22" max="22" width="14.25" customWidth="1"/>
    <col min="23" max="23" width="14.5" style="385" customWidth="1"/>
    <col min="24" max="24" width="16.5" customWidth="1"/>
    <col min="25" max="25" width="18.125" customWidth="1"/>
    <col min="26" max="26" width="18.875" customWidth="1"/>
    <col min="27" max="27" width="17.75" customWidth="1"/>
  </cols>
  <sheetData>
    <row r="1" spans="1:27" s="365" customFormat="1" ht="27.75" x14ac:dyDescent="0.65">
      <c r="A1" s="364" t="s">
        <v>1420</v>
      </c>
      <c r="C1" s="364"/>
      <c r="D1" s="364"/>
      <c r="E1" s="364"/>
      <c r="F1" s="364"/>
      <c r="G1" s="364"/>
      <c r="M1" s="366"/>
      <c r="W1" s="367"/>
    </row>
    <row r="2" spans="1:27" s="369" customFormat="1" ht="72" x14ac:dyDescent="0.2">
      <c r="A2" s="605" t="s">
        <v>783</v>
      </c>
      <c r="B2" s="606" t="s">
        <v>784</v>
      </c>
      <c r="C2" s="606" t="s">
        <v>1421</v>
      </c>
      <c r="D2" s="368" t="s">
        <v>790</v>
      </c>
      <c r="E2" s="608" t="s">
        <v>787</v>
      </c>
      <c r="F2" s="609"/>
      <c r="G2" s="609"/>
      <c r="H2" s="609"/>
      <c r="I2" s="609"/>
      <c r="J2" s="609"/>
      <c r="K2" s="609"/>
      <c r="L2" s="609"/>
      <c r="M2" s="609"/>
      <c r="N2" s="609"/>
      <c r="O2" s="610"/>
      <c r="P2" s="606" t="s">
        <v>785</v>
      </c>
      <c r="Q2" s="606"/>
      <c r="R2" s="606"/>
      <c r="S2" s="606"/>
      <c r="T2" s="606"/>
      <c r="U2" s="606"/>
      <c r="V2" s="606"/>
      <c r="W2" s="606"/>
      <c r="X2" s="573" t="s">
        <v>786</v>
      </c>
      <c r="Y2" s="597" t="s">
        <v>1457</v>
      </c>
    </row>
    <row r="3" spans="1:27" s="217" customFormat="1" ht="72" x14ac:dyDescent="0.2">
      <c r="A3" s="605"/>
      <c r="B3" s="606"/>
      <c r="C3" s="606"/>
      <c r="D3" s="347" t="s">
        <v>1422</v>
      </c>
      <c r="E3" s="347" t="s">
        <v>1423</v>
      </c>
      <c r="F3" s="412" t="s">
        <v>1503</v>
      </c>
      <c r="G3" s="412" t="s">
        <v>1424</v>
      </c>
      <c r="H3" s="412" t="s">
        <v>1425</v>
      </c>
      <c r="I3" s="413" t="s">
        <v>28</v>
      </c>
      <c r="J3" s="413" t="s">
        <v>1424</v>
      </c>
      <c r="K3" s="458" t="s">
        <v>1519</v>
      </c>
      <c r="L3" s="347" t="s">
        <v>1426</v>
      </c>
      <c r="M3" s="347" t="s">
        <v>1427</v>
      </c>
      <c r="N3" s="347" t="s">
        <v>1428</v>
      </c>
      <c r="O3" s="154" t="s">
        <v>1429</v>
      </c>
      <c r="P3" s="348" t="s">
        <v>1430</v>
      </c>
      <c r="Q3" s="348" t="s">
        <v>1431</v>
      </c>
      <c r="R3" s="348" t="s">
        <v>1432</v>
      </c>
      <c r="S3" s="347" t="s">
        <v>1433</v>
      </c>
      <c r="T3" s="426" t="s">
        <v>1510</v>
      </c>
      <c r="U3" s="347" t="s">
        <v>1434</v>
      </c>
      <c r="V3" s="347" t="s">
        <v>756</v>
      </c>
      <c r="W3" s="348" t="s">
        <v>1435</v>
      </c>
      <c r="X3" s="607"/>
      <c r="Y3" s="598"/>
      <c r="Z3" s="370" t="s">
        <v>787</v>
      </c>
      <c r="AA3" s="371" t="s">
        <v>785</v>
      </c>
    </row>
    <row r="4" spans="1:27" ht="24" x14ac:dyDescent="0.55000000000000004">
      <c r="A4" s="98">
        <v>1</v>
      </c>
      <c r="B4" s="29" t="s">
        <v>1436</v>
      </c>
      <c r="C4" s="372" t="s">
        <v>1437</v>
      </c>
      <c r="D4" s="373">
        <v>330000</v>
      </c>
      <c r="E4" s="373">
        <v>151200</v>
      </c>
      <c r="F4" s="373">
        <v>133920</v>
      </c>
      <c r="G4" s="373">
        <v>6696</v>
      </c>
      <c r="H4" s="373">
        <v>2678.4</v>
      </c>
      <c r="I4" s="373">
        <v>191520</v>
      </c>
      <c r="J4" s="373">
        <v>9000</v>
      </c>
      <c r="K4" s="219">
        <v>122400</v>
      </c>
      <c r="L4" s="219">
        <v>17000</v>
      </c>
      <c r="M4" s="219">
        <v>0</v>
      </c>
      <c r="N4" s="219">
        <v>3825</v>
      </c>
      <c r="O4" s="23">
        <v>150000</v>
      </c>
      <c r="P4" s="219">
        <v>123285.51</v>
      </c>
      <c r="Q4" s="219">
        <v>4326</v>
      </c>
      <c r="R4" s="219">
        <v>24161</v>
      </c>
      <c r="S4" s="219">
        <v>43684.835000000006</v>
      </c>
      <c r="T4" s="219">
        <v>3595.2</v>
      </c>
      <c r="U4" s="219">
        <v>2238.5627999999997</v>
      </c>
      <c r="V4" s="219">
        <v>240</v>
      </c>
      <c r="W4" s="219">
        <v>36797</v>
      </c>
      <c r="X4" s="219">
        <v>0</v>
      </c>
      <c r="Y4" s="374">
        <f t="shared" ref="Y4:Y19" si="0">SUM(D4:X4)</f>
        <v>1356567.5077999998</v>
      </c>
      <c r="Z4" s="375">
        <f t="shared" ref="Z4:Z18" si="1">SUM(E4:O4)</f>
        <v>788239.4</v>
      </c>
      <c r="AA4" s="375">
        <f>SUM(P4:W4)</f>
        <v>238328.10780000006</v>
      </c>
    </row>
    <row r="5" spans="1:27" ht="24" x14ac:dyDescent="0.55000000000000004">
      <c r="A5" s="98">
        <v>2</v>
      </c>
      <c r="B5" s="29" t="s">
        <v>1438</v>
      </c>
      <c r="C5" s="98" t="s">
        <v>1439</v>
      </c>
      <c r="D5" s="376">
        <v>300000</v>
      </c>
      <c r="E5" s="376">
        <v>122400</v>
      </c>
      <c r="F5" s="376">
        <v>125520</v>
      </c>
      <c r="G5" s="376">
        <v>6276</v>
      </c>
      <c r="H5" s="376">
        <v>2510.4</v>
      </c>
      <c r="I5" s="376">
        <v>0</v>
      </c>
      <c r="J5" s="376">
        <v>0</v>
      </c>
      <c r="K5" s="459">
        <v>96000</v>
      </c>
      <c r="L5" s="219">
        <v>15800</v>
      </c>
      <c r="M5" s="219">
        <v>0</v>
      </c>
      <c r="N5" s="219">
        <v>3600</v>
      </c>
      <c r="O5" s="23">
        <v>100000</v>
      </c>
      <c r="P5" s="219">
        <v>131360.85999999999</v>
      </c>
      <c r="Q5" s="219">
        <v>3515</v>
      </c>
      <c r="R5" s="219">
        <v>24161</v>
      </c>
      <c r="S5" s="219">
        <v>20644.179999999997</v>
      </c>
      <c r="T5" s="219">
        <v>3595.2</v>
      </c>
      <c r="U5" s="219">
        <v>1817.0663999999999</v>
      </c>
      <c r="V5" s="219">
        <v>0</v>
      </c>
      <c r="W5" s="219">
        <v>0</v>
      </c>
      <c r="X5" s="219">
        <v>0</v>
      </c>
      <c r="Y5" s="374">
        <f t="shared" si="0"/>
        <v>957199.70640000002</v>
      </c>
      <c r="Z5" s="375">
        <f t="shared" si="1"/>
        <v>472106.4</v>
      </c>
      <c r="AA5" s="375">
        <f t="shared" ref="AA5:AA18" si="2">SUM(P5:W5)</f>
        <v>185093.3064</v>
      </c>
    </row>
    <row r="6" spans="1:27" ht="24" x14ac:dyDescent="0.55000000000000004">
      <c r="A6" s="98">
        <v>3</v>
      </c>
      <c r="B6" s="29" t="s">
        <v>1440</v>
      </c>
      <c r="C6" s="98" t="s">
        <v>1439</v>
      </c>
      <c r="D6" s="376">
        <v>300000</v>
      </c>
      <c r="E6" s="376">
        <v>122400</v>
      </c>
      <c r="F6" s="376">
        <v>119640</v>
      </c>
      <c r="G6" s="376">
        <v>5988</v>
      </c>
      <c r="H6" s="376">
        <v>0</v>
      </c>
      <c r="I6" s="376">
        <v>646320</v>
      </c>
      <c r="J6" s="376">
        <v>30600</v>
      </c>
      <c r="K6" s="219">
        <v>126000</v>
      </c>
      <c r="L6" s="219">
        <v>19000</v>
      </c>
      <c r="M6" s="219">
        <v>0</v>
      </c>
      <c r="N6" s="219">
        <v>4500</v>
      </c>
      <c r="O6" s="23">
        <v>100000</v>
      </c>
      <c r="P6" s="219">
        <v>222447.52</v>
      </c>
      <c r="Q6" s="219">
        <v>1992</v>
      </c>
      <c r="R6" s="219">
        <v>40617</v>
      </c>
      <c r="S6" s="219">
        <v>38229.79</v>
      </c>
      <c r="T6" s="219">
        <v>3595.2</v>
      </c>
      <c r="U6" s="219">
        <v>2314.5563999999999</v>
      </c>
      <c r="V6" s="219">
        <v>240</v>
      </c>
      <c r="W6" s="219">
        <v>40951</v>
      </c>
      <c r="X6" s="219">
        <v>0</v>
      </c>
      <c r="Y6" s="374">
        <f t="shared" si="0"/>
        <v>1824835.0663999999</v>
      </c>
      <c r="Z6" s="375">
        <f t="shared" si="1"/>
        <v>1174448</v>
      </c>
      <c r="AA6" s="375">
        <f t="shared" si="2"/>
        <v>350387.06640000001</v>
      </c>
    </row>
    <row r="7" spans="1:27" ht="24" x14ac:dyDescent="0.55000000000000004">
      <c r="A7" s="98">
        <v>4</v>
      </c>
      <c r="B7" s="29" t="s">
        <v>1441</v>
      </c>
      <c r="C7" s="98" t="s">
        <v>1437</v>
      </c>
      <c r="D7" s="376">
        <v>330000</v>
      </c>
      <c r="E7" s="376">
        <v>151200</v>
      </c>
      <c r="F7" s="376">
        <f>104040+206160</f>
        <v>310200</v>
      </c>
      <c r="G7" s="376">
        <f>5208+9000</f>
        <v>14208</v>
      </c>
      <c r="H7" s="376">
        <v>0</v>
      </c>
      <c r="I7" s="376">
        <f>528000</f>
        <v>528000</v>
      </c>
      <c r="J7" s="376">
        <v>24120</v>
      </c>
      <c r="K7" s="219">
        <v>128400</v>
      </c>
      <c r="L7" s="219">
        <v>12300</v>
      </c>
      <c r="M7" s="219">
        <v>0</v>
      </c>
      <c r="N7" s="219">
        <v>4500</v>
      </c>
      <c r="O7" s="23">
        <v>150000</v>
      </c>
      <c r="P7" s="219">
        <v>222791.01</v>
      </c>
      <c r="Q7" s="219">
        <v>6925</v>
      </c>
      <c r="R7" s="219">
        <v>29691</v>
      </c>
      <c r="S7" s="219">
        <v>30985.309999999998</v>
      </c>
      <c r="T7" s="219">
        <v>3595.2</v>
      </c>
      <c r="U7" s="219">
        <v>5178.3191999999999</v>
      </c>
      <c r="V7" s="219">
        <v>0</v>
      </c>
      <c r="W7" s="219">
        <v>31790</v>
      </c>
      <c r="X7" s="219">
        <v>0</v>
      </c>
      <c r="Y7" s="374">
        <f t="shared" si="0"/>
        <v>1983883.8392</v>
      </c>
      <c r="Z7" s="375">
        <f t="shared" si="1"/>
        <v>1322928</v>
      </c>
      <c r="AA7" s="375">
        <f t="shared" si="2"/>
        <v>330955.83920000005</v>
      </c>
    </row>
    <row r="8" spans="1:27" ht="24" x14ac:dyDescent="0.55000000000000004">
      <c r="A8" s="98">
        <v>5</v>
      </c>
      <c r="B8" s="29" t="s">
        <v>1442</v>
      </c>
      <c r="C8" s="98" t="s">
        <v>1437</v>
      </c>
      <c r="D8" s="376">
        <v>330000</v>
      </c>
      <c r="E8" s="376">
        <v>151200</v>
      </c>
      <c r="F8" s="376">
        <v>278160</v>
      </c>
      <c r="G8" s="376">
        <v>13908</v>
      </c>
      <c r="H8" s="376">
        <v>5563.2</v>
      </c>
      <c r="I8" s="376">
        <v>191520</v>
      </c>
      <c r="J8" s="376">
        <v>9000</v>
      </c>
      <c r="K8" s="219">
        <v>74400</v>
      </c>
      <c r="L8" s="219">
        <v>21500</v>
      </c>
      <c r="M8" s="219">
        <v>0</v>
      </c>
      <c r="N8" s="219">
        <v>5400</v>
      </c>
      <c r="O8" s="23">
        <v>150000</v>
      </c>
      <c r="P8" s="219">
        <v>132094.81</v>
      </c>
      <c r="Q8" s="219">
        <v>7075</v>
      </c>
      <c r="R8" s="219">
        <v>24161</v>
      </c>
      <c r="S8" s="219">
        <v>31056.739999999998</v>
      </c>
      <c r="T8" s="219">
        <v>3595.2</v>
      </c>
      <c r="U8" s="219">
        <v>6919.0128000000004</v>
      </c>
      <c r="V8" s="219">
        <v>240</v>
      </c>
      <c r="W8" s="219">
        <v>0</v>
      </c>
      <c r="X8" s="219">
        <v>0</v>
      </c>
      <c r="Y8" s="374">
        <f t="shared" si="0"/>
        <v>1435792.9627999999</v>
      </c>
      <c r="Z8" s="375">
        <f t="shared" si="1"/>
        <v>900651.2</v>
      </c>
      <c r="AA8" s="375">
        <f t="shared" si="2"/>
        <v>205141.7628</v>
      </c>
    </row>
    <row r="9" spans="1:27" s="20" customFormat="1" ht="27.75" x14ac:dyDescent="0.65">
      <c r="A9" s="98">
        <v>6</v>
      </c>
      <c r="B9" s="29" t="s">
        <v>1443</v>
      </c>
      <c r="C9" s="98" t="s">
        <v>1437</v>
      </c>
      <c r="D9" s="376">
        <v>330000</v>
      </c>
      <c r="E9" s="376">
        <v>151200</v>
      </c>
      <c r="F9" s="376">
        <f>137400+157800</f>
        <v>295200</v>
      </c>
      <c r="G9" s="376">
        <f>6876+7896</f>
        <v>14772</v>
      </c>
      <c r="H9" s="376">
        <v>2748</v>
      </c>
      <c r="I9" s="376">
        <v>0</v>
      </c>
      <c r="J9" s="376">
        <v>0</v>
      </c>
      <c r="K9" s="219">
        <v>154900</v>
      </c>
      <c r="L9" s="219">
        <v>37000</v>
      </c>
      <c r="M9" s="219">
        <v>0</v>
      </c>
      <c r="N9" s="219">
        <v>90</v>
      </c>
      <c r="O9" s="23">
        <v>150000</v>
      </c>
      <c r="P9" s="219">
        <v>78400.899999999994</v>
      </c>
      <c r="Q9" s="219">
        <v>3304</v>
      </c>
      <c r="R9" s="219">
        <v>24833</v>
      </c>
      <c r="S9" s="219">
        <v>25114.117499999997</v>
      </c>
      <c r="T9" s="219">
        <v>3595.2</v>
      </c>
      <c r="U9" s="219">
        <v>3031.1063999999997</v>
      </c>
      <c r="V9" s="219">
        <v>240</v>
      </c>
      <c r="W9" s="219">
        <v>45914</v>
      </c>
      <c r="X9" s="219">
        <v>0</v>
      </c>
      <c r="Y9" s="374">
        <f t="shared" si="0"/>
        <v>1320342.3238999997</v>
      </c>
      <c r="Z9" s="375">
        <f t="shared" si="1"/>
        <v>805910</v>
      </c>
      <c r="AA9" s="375">
        <f t="shared" si="2"/>
        <v>184432.32389999999</v>
      </c>
    </row>
    <row r="10" spans="1:27" s="20" customFormat="1" ht="27.75" x14ac:dyDescent="0.65">
      <c r="A10" s="98">
        <v>7</v>
      </c>
      <c r="B10" s="29" t="s">
        <v>1444</v>
      </c>
      <c r="C10" s="98" t="s">
        <v>1439</v>
      </c>
      <c r="D10" s="376">
        <v>300000</v>
      </c>
      <c r="E10" s="376">
        <v>122400</v>
      </c>
      <c r="F10" s="376">
        <v>125520</v>
      </c>
      <c r="G10" s="376">
        <v>6278</v>
      </c>
      <c r="H10" s="376">
        <v>0</v>
      </c>
      <c r="I10" s="376">
        <v>191520</v>
      </c>
      <c r="J10" s="376">
        <v>9000</v>
      </c>
      <c r="K10" s="219">
        <v>116400</v>
      </c>
      <c r="L10" s="219">
        <v>28600</v>
      </c>
      <c r="M10" s="219">
        <v>0</v>
      </c>
      <c r="N10" s="219">
        <v>9000</v>
      </c>
      <c r="O10" s="23">
        <v>100000</v>
      </c>
      <c r="P10" s="219">
        <v>61366.41</v>
      </c>
      <c r="Q10" s="219">
        <v>3630</v>
      </c>
      <c r="R10" s="219">
        <v>24377</v>
      </c>
      <c r="S10" s="219">
        <v>9663.4424999999974</v>
      </c>
      <c r="T10" s="219">
        <v>3595.2</v>
      </c>
      <c r="U10" s="219">
        <v>1270.2128</v>
      </c>
      <c r="V10" s="219">
        <v>240</v>
      </c>
      <c r="W10" s="219">
        <v>29029</v>
      </c>
      <c r="X10" s="219">
        <v>0</v>
      </c>
      <c r="Y10" s="374">
        <f t="shared" si="0"/>
        <v>1141889.2652999999</v>
      </c>
      <c r="Z10" s="375">
        <f t="shared" si="1"/>
        <v>708718</v>
      </c>
      <c r="AA10" s="375">
        <f t="shared" si="2"/>
        <v>133171.2653</v>
      </c>
    </row>
    <row r="11" spans="1:27" s="20" customFormat="1" ht="27.75" x14ac:dyDescent="0.65">
      <c r="A11" s="98">
        <v>8</v>
      </c>
      <c r="B11" s="29" t="s">
        <v>1445</v>
      </c>
      <c r="C11" s="98" t="s">
        <v>1439</v>
      </c>
      <c r="D11" s="376">
        <v>300000</v>
      </c>
      <c r="E11" s="376">
        <v>122400</v>
      </c>
      <c r="F11" s="376">
        <v>0</v>
      </c>
      <c r="G11" s="376">
        <v>0</v>
      </c>
      <c r="H11" s="376">
        <v>0</v>
      </c>
      <c r="I11" s="376">
        <v>160320</v>
      </c>
      <c r="J11" s="376">
        <v>8016</v>
      </c>
      <c r="K11" s="219">
        <v>66300</v>
      </c>
      <c r="L11" s="219">
        <v>16400</v>
      </c>
      <c r="M11" s="219">
        <v>0</v>
      </c>
      <c r="N11" s="219">
        <v>4500</v>
      </c>
      <c r="O11" s="23">
        <v>150000</v>
      </c>
      <c r="P11" s="219">
        <v>289142.63</v>
      </c>
      <c r="Q11" s="219">
        <v>3784</v>
      </c>
      <c r="R11" s="219">
        <v>36317</v>
      </c>
      <c r="S11" s="219">
        <v>8440</v>
      </c>
      <c r="T11" s="219">
        <v>3595.2</v>
      </c>
      <c r="U11" s="219">
        <v>1263.2256</v>
      </c>
      <c r="V11" s="219">
        <v>240</v>
      </c>
      <c r="W11" s="219">
        <v>0</v>
      </c>
      <c r="X11" s="219">
        <v>0</v>
      </c>
      <c r="Y11" s="374">
        <f t="shared" si="0"/>
        <v>1170718.0555999998</v>
      </c>
      <c r="Z11" s="375">
        <f t="shared" si="1"/>
        <v>527936</v>
      </c>
      <c r="AA11" s="375">
        <f t="shared" si="2"/>
        <v>342782.05560000002</v>
      </c>
    </row>
    <row r="12" spans="1:27" s="20" customFormat="1" ht="27.75" x14ac:dyDescent="0.65">
      <c r="A12" s="98">
        <v>9</v>
      </c>
      <c r="B12" s="29" t="s">
        <v>1446</v>
      </c>
      <c r="C12" s="98" t="s">
        <v>1439</v>
      </c>
      <c r="D12" s="376">
        <v>300000</v>
      </c>
      <c r="E12" s="376">
        <v>122400</v>
      </c>
      <c r="F12" s="376">
        <v>111000</v>
      </c>
      <c r="G12" s="376">
        <v>5556</v>
      </c>
      <c r="H12" s="376">
        <v>2220</v>
      </c>
      <c r="I12" s="376">
        <v>0</v>
      </c>
      <c r="J12" s="376">
        <v>0</v>
      </c>
      <c r="K12" s="219">
        <v>122400</v>
      </c>
      <c r="L12" s="219">
        <v>10900</v>
      </c>
      <c r="M12" s="219">
        <v>0</v>
      </c>
      <c r="N12" s="219">
        <v>4500</v>
      </c>
      <c r="O12" s="23">
        <v>100000</v>
      </c>
      <c r="P12" s="219">
        <v>163214.96</v>
      </c>
      <c r="Q12" s="219">
        <v>7314</v>
      </c>
      <c r="R12" s="219">
        <v>24161</v>
      </c>
      <c r="S12" s="219">
        <v>12356.159999999998</v>
      </c>
      <c r="T12" s="219">
        <v>3595.2</v>
      </c>
      <c r="U12" s="219">
        <v>1623.1592000000001</v>
      </c>
      <c r="V12" s="219">
        <v>240</v>
      </c>
      <c r="W12" s="219">
        <v>0</v>
      </c>
      <c r="X12" s="219">
        <v>0</v>
      </c>
      <c r="Y12" s="374">
        <f t="shared" si="0"/>
        <v>991480.47919999994</v>
      </c>
      <c r="Z12" s="375">
        <f t="shared" si="1"/>
        <v>478976</v>
      </c>
      <c r="AA12" s="375">
        <f t="shared" si="2"/>
        <v>212504.4792</v>
      </c>
    </row>
    <row r="13" spans="1:27" s="20" customFormat="1" ht="27.75" x14ac:dyDescent="0.65">
      <c r="A13" s="98">
        <v>10</v>
      </c>
      <c r="B13" s="29" t="s">
        <v>1447</v>
      </c>
      <c r="C13" s="98" t="s">
        <v>1439</v>
      </c>
      <c r="D13" s="376">
        <v>300000</v>
      </c>
      <c r="E13" s="376">
        <v>122400</v>
      </c>
      <c r="F13" s="376">
        <v>0</v>
      </c>
      <c r="G13" s="376">
        <v>0</v>
      </c>
      <c r="H13" s="376">
        <v>0</v>
      </c>
      <c r="I13" s="376">
        <v>191520</v>
      </c>
      <c r="J13" s="376">
        <v>9000</v>
      </c>
      <c r="K13" s="219">
        <v>86700</v>
      </c>
      <c r="L13" s="219">
        <v>14800</v>
      </c>
      <c r="M13" s="219">
        <v>0</v>
      </c>
      <c r="N13" s="219">
        <v>4500</v>
      </c>
      <c r="O13" s="23">
        <v>100000</v>
      </c>
      <c r="P13" s="219">
        <v>64681.5</v>
      </c>
      <c r="Q13" s="219">
        <v>2165</v>
      </c>
      <c r="R13" s="219">
        <v>24161</v>
      </c>
      <c r="S13" s="219">
        <v>13876.764999999998</v>
      </c>
      <c r="T13" s="219">
        <v>3595.2</v>
      </c>
      <c r="U13" s="219">
        <v>886.81919999999991</v>
      </c>
      <c r="V13" s="219">
        <v>240</v>
      </c>
      <c r="W13" s="219">
        <v>0</v>
      </c>
      <c r="X13" s="219">
        <v>0</v>
      </c>
      <c r="Y13" s="374">
        <f t="shared" si="0"/>
        <v>938526.28419999999</v>
      </c>
      <c r="Z13" s="375">
        <f t="shared" si="1"/>
        <v>528920</v>
      </c>
      <c r="AA13" s="375">
        <f t="shared" si="2"/>
        <v>109606.28419999999</v>
      </c>
    </row>
    <row r="14" spans="1:27" s="20" customFormat="1" ht="27.75" x14ac:dyDescent="0.65">
      <c r="A14" s="98">
        <v>11</v>
      </c>
      <c r="B14" s="29" t="s">
        <v>1448</v>
      </c>
      <c r="C14" s="98" t="s">
        <v>1439</v>
      </c>
      <c r="D14" s="376">
        <v>300000</v>
      </c>
      <c r="E14" s="376">
        <v>122400</v>
      </c>
      <c r="F14" s="376">
        <f>151200+201240</f>
        <v>352440</v>
      </c>
      <c r="G14" s="376">
        <f>7560+9000</f>
        <v>16560</v>
      </c>
      <c r="H14" s="376">
        <v>0</v>
      </c>
      <c r="I14" s="376">
        <v>0</v>
      </c>
      <c r="J14" s="376">
        <v>0</v>
      </c>
      <c r="K14" s="219">
        <v>36000</v>
      </c>
      <c r="L14" s="219">
        <v>15600</v>
      </c>
      <c r="M14" s="219">
        <v>0</v>
      </c>
      <c r="N14" s="219">
        <v>4500</v>
      </c>
      <c r="O14" s="23">
        <v>100000</v>
      </c>
      <c r="P14" s="219">
        <v>153855.21</v>
      </c>
      <c r="Q14" s="219">
        <v>1550</v>
      </c>
      <c r="R14" s="219">
        <v>24161</v>
      </c>
      <c r="S14" s="219">
        <v>15852.894999999999</v>
      </c>
      <c r="T14" s="219">
        <v>3595.2</v>
      </c>
      <c r="U14" s="219">
        <v>349.4</v>
      </c>
      <c r="V14" s="219">
        <v>240</v>
      </c>
      <c r="W14" s="219">
        <v>0</v>
      </c>
      <c r="X14" s="219">
        <v>0</v>
      </c>
      <c r="Y14" s="374">
        <f t="shared" si="0"/>
        <v>1147103.7049999998</v>
      </c>
      <c r="Z14" s="375">
        <f t="shared" si="1"/>
        <v>647500</v>
      </c>
      <c r="AA14" s="375">
        <f t="shared" si="2"/>
        <v>199603.70499999999</v>
      </c>
    </row>
    <row r="15" spans="1:27" s="20" customFormat="1" ht="27.75" x14ac:dyDescent="0.65">
      <c r="A15" s="98">
        <v>12</v>
      </c>
      <c r="B15" s="29" t="s">
        <v>1449</v>
      </c>
      <c r="C15" s="98" t="s">
        <v>1439</v>
      </c>
      <c r="D15" s="376">
        <v>300000</v>
      </c>
      <c r="E15" s="376">
        <v>122400</v>
      </c>
      <c r="F15" s="376">
        <v>210720</v>
      </c>
      <c r="G15" s="376">
        <v>9000</v>
      </c>
      <c r="H15" s="376">
        <v>0</v>
      </c>
      <c r="I15" s="376">
        <v>91080</v>
      </c>
      <c r="J15" s="376">
        <v>4560</v>
      </c>
      <c r="K15" s="219">
        <v>116400</v>
      </c>
      <c r="L15" s="219">
        <v>32800</v>
      </c>
      <c r="M15" s="219">
        <v>0</v>
      </c>
      <c r="N15" s="219">
        <v>9000</v>
      </c>
      <c r="O15" s="23">
        <v>100000</v>
      </c>
      <c r="P15" s="219">
        <v>115727.36</v>
      </c>
      <c r="Q15" s="219">
        <v>9720</v>
      </c>
      <c r="R15" s="219">
        <v>24161</v>
      </c>
      <c r="S15" s="219">
        <v>25070.114999999994</v>
      </c>
      <c r="T15" s="219">
        <v>3595.2</v>
      </c>
      <c r="U15" s="219">
        <v>5484.3127999999997</v>
      </c>
      <c r="V15" s="219">
        <v>240</v>
      </c>
      <c r="W15" s="219">
        <v>0</v>
      </c>
      <c r="X15" s="219">
        <v>0</v>
      </c>
      <c r="Y15" s="374">
        <f t="shared" si="0"/>
        <v>1179957.9878</v>
      </c>
      <c r="Z15" s="375">
        <f t="shared" si="1"/>
        <v>695960</v>
      </c>
      <c r="AA15" s="375">
        <f t="shared" si="2"/>
        <v>183997.9878</v>
      </c>
    </row>
    <row r="16" spans="1:27" s="20" customFormat="1" ht="27.75" x14ac:dyDescent="0.65">
      <c r="A16" s="98">
        <v>13</v>
      </c>
      <c r="B16" s="29" t="s">
        <v>1450</v>
      </c>
      <c r="C16" s="98" t="s">
        <v>1439</v>
      </c>
      <c r="D16" s="376">
        <v>300000</v>
      </c>
      <c r="E16" s="376">
        <v>122400</v>
      </c>
      <c r="F16" s="376">
        <f>154320+127920</f>
        <v>282240</v>
      </c>
      <c r="G16" s="376">
        <f>7716+6396</f>
        <v>14112</v>
      </c>
      <c r="H16" s="376">
        <v>0</v>
      </c>
      <c r="I16" s="376">
        <v>0</v>
      </c>
      <c r="J16" s="376">
        <v>0</v>
      </c>
      <c r="K16" s="219">
        <v>86400</v>
      </c>
      <c r="L16" s="219">
        <v>9900</v>
      </c>
      <c r="M16" s="219">
        <v>0</v>
      </c>
      <c r="N16" s="219">
        <v>3240</v>
      </c>
      <c r="O16" s="23">
        <v>100000</v>
      </c>
      <c r="P16" s="219">
        <v>86767.44</v>
      </c>
      <c r="Q16" s="219">
        <v>2454</v>
      </c>
      <c r="R16" s="219">
        <v>24161</v>
      </c>
      <c r="S16" s="219">
        <v>12773.442499999997</v>
      </c>
      <c r="T16" s="219">
        <v>3595.2</v>
      </c>
      <c r="U16" s="219">
        <v>1830.9463999999998</v>
      </c>
      <c r="V16" s="219">
        <v>240</v>
      </c>
      <c r="W16" s="219">
        <v>0</v>
      </c>
      <c r="X16" s="219">
        <v>0</v>
      </c>
      <c r="Y16" s="374">
        <f t="shared" si="0"/>
        <v>1050114.0288999998</v>
      </c>
      <c r="Z16" s="375">
        <f t="shared" si="1"/>
        <v>618292</v>
      </c>
      <c r="AA16" s="375">
        <f t="shared" si="2"/>
        <v>131822.0289</v>
      </c>
    </row>
    <row r="17" spans="1:27" s="20" customFormat="1" ht="27.75" x14ac:dyDescent="0.65">
      <c r="A17" s="98">
        <v>14</v>
      </c>
      <c r="B17" s="29" t="s">
        <v>1451</v>
      </c>
      <c r="C17" s="98" t="s">
        <v>1439</v>
      </c>
      <c r="D17" s="376">
        <v>300000</v>
      </c>
      <c r="E17" s="376">
        <v>122400</v>
      </c>
      <c r="F17" s="376">
        <v>100080</v>
      </c>
      <c r="G17" s="376">
        <v>5004</v>
      </c>
      <c r="H17" s="376">
        <v>0</v>
      </c>
      <c r="I17" s="376">
        <v>0</v>
      </c>
      <c r="J17" s="376">
        <v>0</v>
      </c>
      <c r="K17" s="219">
        <v>84000</v>
      </c>
      <c r="L17" s="219">
        <v>13200</v>
      </c>
      <c r="M17" s="219">
        <v>0</v>
      </c>
      <c r="N17" s="219">
        <v>3150</v>
      </c>
      <c r="O17" s="23">
        <v>100000</v>
      </c>
      <c r="P17" s="219">
        <v>139985.56</v>
      </c>
      <c r="Q17" s="219">
        <v>1450</v>
      </c>
      <c r="R17" s="219">
        <v>24161</v>
      </c>
      <c r="S17" s="219">
        <v>17732.215</v>
      </c>
      <c r="T17" s="219">
        <v>3595.2</v>
      </c>
      <c r="U17" s="219">
        <v>1530.0192</v>
      </c>
      <c r="V17" s="219">
        <v>240</v>
      </c>
      <c r="W17" s="219">
        <v>0</v>
      </c>
      <c r="X17" s="219">
        <v>0</v>
      </c>
      <c r="Y17" s="374">
        <f t="shared" si="0"/>
        <v>916527.99419999996</v>
      </c>
      <c r="Z17" s="375">
        <f t="shared" si="1"/>
        <v>427834</v>
      </c>
      <c r="AA17" s="375">
        <f t="shared" si="2"/>
        <v>188693.99420000002</v>
      </c>
    </row>
    <row r="18" spans="1:27" ht="24" x14ac:dyDescent="0.55000000000000004">
      <c r="A18" s="98">
        <v>15</v>
      </c>
      <c r="B18" s="29" t="s">
        <v>1452</v>
      </c>
      <c r="C18" s="98" t="s">
        <v>1439</v>
      </c>
      <c r="D18" s="219">
        <v>300000</v>
      </c>
      <c r="E18" s="219">
        <v>122400</v>
      </c>
      <c r="F18" s="219">
        <v>125880</v>
      </c>
      <c r="G18" s="219">
        <v>6300</v>
      </c>
      <c r="H18" s="219">
        <v>0</v>
      </c>
      <c r="I18" s="219">
        <v>191520</v>
      </c>
      <c r="J18" s="219">
        <v>9000</v>
      </c>
      <c r="K18" s="219">
        <v>63600</v>
      </c>
      <c r="L18" s="219">
        <v>27500</v>
      </c>
      <c r="M18" s="219">
        <v>0</v>
      </c>
      <c r="N18" s="219">
        <v>7200</v>
      </c>
      <c r="O18" s="23">
        <v>100000</v>
      </c>
      <c r="P18" s="219">
        <v>64004.07</v>
      </c>
      <c r="Q18" s="219">
        <v>5245</v>
      </c>
      <c r="R18" s="219">
        <v>24161</v>
      </c>
      <c r="S18" s="219">
        <v>9581.9149999999991</v>
      </c>
      <c r="T18" s="219">
        <v>3595.2</v>
      </c>
      <c r="U18" s="219">
        <v>1452.0319999999999</v>
      </c>
      <c r="V18" s="219">
        <v>960</v>
      </c>
      <c r="W18" s="219">
        <v>0</v>
      </c>
      <c r="X18" s="219">
        <v>0</v>
      </c>
      <c r="Y18" s="374">
        <f t="shared" si="0"/>
        <v>1062399.2169999997</v>
      </c>
      <c r="Z18" s="375">
        <f t="shared" si="1"/>
        <v>653400</v>
      </c>
      <c r="AA18" s="375">
        <f t="shared" si="2"/>
        <v>108999.217</v>
      </c>
    </row>
    <row r="19" spans="1:27" ht="24" x14ac:dyDescent="0.55000000000000004">
      <c r="A19" s="599" t="s">
        <v>666</v>
      </c>
      <c r="B19" s="600"/>
      <c r="C19" s="601"/>
      <c r="D19" s="417">
        <f t="shared" ref="D19:X19" si="3">SUM(D4:D18)</f>
        <v>4620000</v>
      </c>
      <c r="E19" s="417">
        <f t="shared" si="3"/>
        <v>1951200</v>
      </c>
      <c r="F19" s="417">
        <f t="shared" si="3"/>
        <v>2570520</v>
      </c>
      <c r="G19" s="417">
        <f t="shared" si="3"/>
        <v>124658</v>
      </c>
      <c r="H19" s="417">
        <f t="shared" si="3"/>
        <v>15720</v>
      </c>
      <c r="I19" s="417">
        <f t="shared" si="3"/>
        <v>2383320</v>
      </c>
      <c r="J19" s="417">
        <f t="shared" si="3"/>
        <v>112296</v>
      </c>
      <c r="K19" s="417">
        <f t="shared" si="3"/>
        <v>1480300</v>
      </c>
      <c r="L19" s="417">
        <f t="shared" si="3"/>
        <v>292300</v>
      </c>
      <c r="M19" s="417">
        <f t="shared" si="3"/>
        <v>0</v>
      </c>
      <c r="N19" s="417">
        <f t="shared" si="3"/>
        <v>71505</v>
      </c>
      <c r="O19" s="417">
        <f t="shared" si="3"/>
        <v>1750000</v>
      </c>
      <c r="P19" s="378">
        <f t="shared" si="3"/>
        <v>2049125.75</v>
      </c>
      <c r="Q19" s="378">
        <f t="shared" si="3"/>
        <v>64449</v>
      </c>
      <c r="R19" s="378">
        <f>SUM(R4:R18)</f>
        <v>397445</v>
      </c>
      <c r="S19" s="378">
        <f t="shared" si="3"/>
        <v>315061.92249999999</v>
      </c>
      <c r="T19" s="378">
        <f t="shared" si="3"/>
        <v>53927.999999999985</v>
      </c>
      <c r="U19" s="378">
        <f t="shared" si="3"/>
        <v>37188.751200000006</v>
      </c>
      <c r="V19" s="378">
        <f t="shared" si="3"/>
        <v>3840</v>
      </c>
      <c r="W19" s="378">
        <f t="shared" si="3"/>
        <v>184481</v>
      </c>
      <c r="X19" s="377">
        <f t="shared" si="3"/>
        <v>0</v>
      </c>
      <c r="Y19" s="374">
        <f t="shared" si="0"/>
        <v>18477338.423700001</v>
      </c>
      <c r="Z19" s="375">
        <f>SUM(Z4:Z18)</f>
        <v>10751819</v>
      </c>
      <c r="AA19" s="375">
        <f>SUM(AA4:AA18)</f>
        <v>3105519.4237000002</v>
      </c>
    </row>
    <row r="20" spans="1:27" ht="24" x14ac:dyDescent="0.55000000000000004">
      <c r="A20" s="599" t="s">
        <v>666</v>
      </c>
      <c r="B20" s="600"/>
      <c r="C20" s="601"/>
      <c r="D20" s="418">
        <f>D19</f>
        <v>4620000</v>
      </c>
      <c r="E20" s="414"/>
      <c r="F20" s="415"/>
      <c r="G20" s="415"/>
      <c r="H20" s="415"/>
      <c r="I20" s="415"/>
      <c r="J20" s="415"/>
      <c r="K20" s="415"/>
      <c r="L20" s="415"/>
      <c r="M20" s="415"/>
      <c r="N20" s="415"/>
      <c r="O20" s="416">
        <f>SUM(E19:O19)</f>
        <v>10751819</v>
      </c>
      <c r="P20" s="602">
        <f>SUM(P19:W19)</f>
        <v>3105519.4236999997</v>
      </c>
      <c r="Q20" s="603"/>
      <c r="R20" s="603"/>
      <c r="S20" s="603"/>
      <c r="T20" s="603"/>
      <c r="U20" s="603"/>
      <c r="V20" s="603"/>
      <c r="W20" s="604"/>
      <c r="X20" s="377">
        <f>X19</f>
        <v>0</v>
      </c>
      <c r="Y20" s="379">
        <f>D20+E20+P20+X20+O20</f>
        <v>18477338.423699997</v>
      </c>
    </row>
    <row r="21" spans="1:27" ht="27.75" x14ac:dyDescent="0.6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159"/>
      <c r="N21" s="20"/>
      <c r="O21" s="20"/>
      <c r="P21" s="20"/>
      <c r="Q21" s="207"/>
      <c r="R21" s="20"/>
      <c r="S21" s="20"/>
      <c r="T21" s="20"/>
      <c r="U21" s="20"/>
      <c r="V21" s="20"/>
      <c r="W21" s="91"/>
    </row>
    <row r="22" spans="1:27" s="20" customFormat="1" ht="27.75" x14ac:dyDescent="0.65">
      <c r="B22" s="85"/>
      <c r="C22" s="380" t="s">
        <v>705</v>
      </c>
      <c r="D22" s="109" t="s">
        <v>1453</v>
      </c>
      <c r="E22" s="380" t="s">
        <v>1531</v>
      </c>
      <c r="F22" s="381" t="s">
        <v>1454</v>
      </c>
      <c r="H22" s="382"/>
      <c r="K22" s="382"/>
      <c r="M22" s="159"/>
      <c r="Q22" s="207"/>
      <c r="W22" s="91"/>
    </row>
    <row r="23" spans="1:27" s="20" customFormat="1" ht="27.75" x14ac:dyDescent="0.65">
      <c r="B23" s="85" t="s">
        <v>1455</v>
      </c>
      <c r="C23" s="383">
        <f>SUM(D19:K19)</f>
        <v>13258014</v>
      </c>
      <c r="D23" s="383">
        <f>L19+M19</f>
        <v>292300</v>
      </c>
      <c r="E23" s="383">
        <f>SUM(P19:W19)</f>
        <v>3105519.4236999997</v>
      </c>
      <c r="F23" s="384">
        <f>SUM(C23:E23)</f>
        <v>16655833.423699999</v>
      </c>
      <c r="I23" s="382"/>
      <c r="M23" s="159"/>
      <c r="Q23" s="207"/>
      <c r="W23" s="91"/>
    </row>
    <row r="24" spans="1:27" s="20" customFormat="1" ht="27.75" x14ac:dyDescent="0.65">
      <c r="B24" s="85" t="s">
        <v>1456</v>
      </c>
      <c r="C24" s="383">
        <f>O19</f>
        <v>1750000</v>
      </c>
      <c r="D24" s="383"/>
      <c r="E24" s="383">
        <f>N19</f>
        <v>71505</v>
      </c>
      <c r="F24" s="384">
        <f>SUM(C24:E24)</f>
        <v>1821505</v>
      </c>
      <c r="K24" s="382"/>
      <c r="M24" s="159"/>
      <c r="Q24" s="207"/>
      <c r="V24" s="382"/>
      <c r="W24" s="91"/>
    </row>
    <row r="25" spans="1:27" s="20" customFormat="1" ht="27.75" x14ac:dyDescent="0.65">
      <c r="C25" s="382"/>
      <c r="E25" s="382"/>
      <c r="M25" s="159"/>
      <c r="Q25" s="207"/>
      <c r="W25" s="91"/>
    </row>
    <row r="26" spans="1:27" s="20" customFormat="1" ht="27.75" x14ac:dyDescent="0.65">
      <c r="M26" s="159"/>
      <c r="Q26" s="207"/>
      <c r="W26" s="91"/>
    </row>
    <row r="27" spans="1:27" s="20" customFormat="1" ht="27.75" x14ac:dyDescent="0.65">
      <c r="M27" s="159"/>
      <c r="Q27" s="207"/>
      <c r="W27" s="91"/>
    </row>
    <row r="28" spans="1:27" s="20" customFormat="1" ht="27.75" x14ac:dyDescent="0.65">
      <c r="M28" s="159"/>
      <c r="Q28" s="207"/>
      <c r="W28" s="91"/>
    </row>
    <row r="29" spans="1:27" s="20" customFormat="1" ht="27.75" x14ac:dyDescent="0.65">
      <c r="M29" s="159"/>
      <c r="Q29" s="207"/>
      <c r="W29" s="91"/>
    </row>
    <row r="30" spans="1:27" s="20" customFormat="1" ht="27.75" x14ac:dyDescent="0.65">
      <c r="M30" s="159"/>
      <c r="Q30" s="207"/>
      <c r="W30" s="91"/>
    </row>
    <row r="31" spans="1:27" s="20" customFormat="1" ht="27.75" x14ac:dyDescent="0.65">
      <c r="M31" s="159"/>
      <c r="Q31" s="207"/>
      <c r="W31" s="91"/>
    </row>
  </sheetData>
  <mergeCells count="10">
    <mergeCell ref="Y2:Y3"/>
    <mergeCell ref="A19:C19"/>
    <mergeCell ref="A20:C20"/>
    <mergeCell ref="P20:W20"/>
    <mergeCell ref="A2:A3"/>
    <mergeCell ref="B2:B3"/>
    <mergeCell ref="C2:C3"/>
    <mergeCell ref="P2:W2"/>
    <mergeCell ref="X2:X3"/>
    <mergeCell ref="E2:O2"/>
  </mergeCells>
  <pageMargins left="0.25" right="0.25" top="0.75" bottom="0.75" header="0.3" footer="0.3"/>
  <pageSetup paperSize="9" scale="3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3" zoomScaleNormal="100" workbookViewId="0">
      <selection activeCell="D16" sqref="D16"/>
    </sheetView>
  </sheetViews>
  <sheetFormatPr defaultColWidth="16.875" defaultRowHeight="24" x14ac:dyDescent="0.55000000000000004"/>
  <cols>
    <col min="1" max="1" width="10.25" style="26" customWidth="1"/>
    <col min="2" max="2" width="20.375" style="26" bestFit="1" customWidth="1"/>
    <col min="3" max="3" width="17.875" style="26" bestFit="1" customWidth="1"/>
    <col min="4" max="4" width="25.75" style="26" bestFit="1" customWidth="1"/>
    <col min="5" max="5" width="91.625" style="26" customWidth="1"/>
    <col min="6" max="16384" width="16.875" style="26"/>
  </cols>
  <sheetData>
    <row r="1" spans="1:7" s="228" customFormat="1" ht="24.75" thickBot="1" x14ac:dyDescent="0.6">
      <c r="A1" s="26"/>
      <c r="B1" s="273" t="s">
        <v>1277</v>
      </c>
      <c r="C1" s="273" t="s">
        <v>1278</v>
      </c>
      <c r="D1" s="273" t="s">
        <v>1279</v>
      </c>
      <c r="E1" s="274"/>
    </row>
    <row r="2" spans="1:7" ht="83.25" x14ac:dyDescent="0.55000000000000004">
      <c r="A2" s="291" t="s">
        <v>1280</v>
      </c>
      <c r="B2" s="291" t="s">
        <v>1281</v>
      </c>
      <c r="C2" s="291" t="s">
        <v>1282</v>
      </c>
      <c r="D2" s="291" t="s">
        <v>1283</v>
      </c>
      <c r="E2" s="611" t="s">
        <v>1276</v>
      </c>
    </row>
    <row r="3" spans="1:7" ht="27.75" x14ac:dyDescent="0.55000000000000004">
      <c r="A3" s="292" t="s">
        <v>1284</v>
      </c>
      <c r="B3" s="293" t="s">
        <v>1285</v>
      </c>
      <c r="C3" s="292" t="s">
        <v>1286</v>
      </c>
      <c r="D3" s="293" t="s">
        <v>1287</v>
      </c>
      <c r="E3" s="612"/>
    </row>
    <row r="4" spans="1:7" ht="27.75" x14ac:dyDescent="0.55000000000000004">
      <c r="A4" s="294"/>
      <c r="B4" s="293" t="s">
        <v>1288</v>
      </c>
      <c r="C4" s="295" t="s">
        <v>1322</v>
      </c>
      <c r="D4" s="295" t="s">
        <v>1323</v>
      </c>
      <c r="E4" s="612"/>
    </row>
    <row r="5" spans="1:7" ht="21" customHeight="1" thickBot="1" x14ac:dyDescent="0.6">
      <c r="A5" s="296"/>
      <c r="B5" s="296"/>
      <c r="C5" s="297" t="s">
        <v>1289</v>
      </c>
      <c r="D5" s="296"/>
      <c r="E5" s="613"/>
    </row>
    <row r="6" spans="1:7" ht="32.25" thickTop="1" thickBot="1" x14ac:dyDescent="0.75">
      <c r="A6" s="298">
        <v>1</v>
      </c>
      <c r="B6" s="298" t="s">
        <v>1290</v>
      </c>
      <c r="C6" s="298" t="s">
        <v>1291</v>
      </c>
      <c r="D6" s="298" t="s">
        <v>1258</v>
      </c>
      <c r="E6" s="299" t="s">
        <v>1306</v>
      </c>
      <c r="F6" s="290"/>
      <c r="G6" s="315" t="s">
        <v>1258</v>
      </c>
    </row>
    <row r="7" spans="1:7" ht="31.5" thickBot="1" x14ac:dyDescent="0.75">
      <c r="A7" s="300">
        <v>2</v>
      </c>
      <c r="B7" s="300" t="s">
        <v>1290</v>
      </c>
      <c r="C7" s="300" t="s">
        <v>1291</v>
      </c>
      <c r="D7" s="301" t="s">
        <v>1259</v>
      </c>
      <c r="E7" s="302" t="s">
        <v>1293</v>
      </c>
      <c r="F7" s="312"/>
      <c r="G7" s="315" t="s">
        <v>1326</v>
      </c>
    </row>
    <row r="8" spans="1:7" ht="20.45" customHeight="1" thickBot="1" x14ac:dyDescent="0.75">
      <c r="A8" s="303">
        <v>3</v>
      </c>
      <c r="B8" s="303" t="s">
        <v>1290</v>
      </c>
      <c r="C8" s="303" t="s">
        <v>1324</v>
      </c>
      <c r="D8" s="303" t="s">
        <v>1258</v>
      </c>
      <c r="E8" s="304" t="s">
        <v>1300</v>
      </c>
      <c r="F8" s="312"/>
      <c r="G8" s="315" t="s">
        <v>1326</v>
      </c>
    </row>
    <row r="9" spans="1:7" ht="20.45" customHeight="1" thickBot="1" x14ac:dyDescent="0.75">
      <c r="A9" s="305">
        <v>4</v>
      </c>
      <c r="B9" s="305" t="s">
        <v>1290</v>
      </c>
      <c r="C9" s="305" t="s">
        <v>1324</v>
      </c>
      <c r="D9" s="306" t="s">
        <v>1259</v>
      </c>
      <c r="E9" s="307" t="s">
        <v>1305</v>
      </c>
      <c r="F9" s="313"/>
      <c r="G9" s="315" t="s">
        <v>1327</v>
      </c>
    </row>
    <row r="10" spans="1:7" ht="20.45" customHeight="1" thickBot="1" x14ac:dyDescent="0.75">
      <c r="A10" s="308">
        <v>5</v>
      </c>
      <c r="B10" s="309" t="s">
        <v>1259</v>
      </c>
      <c r="C10" s="309" t="s">
        <v>1325</v>
      </c>
      <c r="D10" s="308" t="s">
        <v>1258</v>
      </c>
      <c r="E10" s="310" t="s">
        <v>1294</v>
      </c>
      <c r="F10" s="312"/>
      <c r="G10" s="315" t="s">
        <v>1326</v>
      </c>
    </row>
    <row r="11" spans="1:7" ht="20.45" customHeight="1" thickBot="1" x14ac:dyDescent="0.75">
      <c r="A11" s="305">
        <v>6</v>
      </c>
      <c r="B11" s="306" t="s">
        <v>1259</v>
      </c>
      <c r="C11" s="306" t="s">
        <v>1325</v>
      </c>
      <c r="D11" s="306" t="s">
        <v>1295</v>
      </c>
      <c r="E11" s="307" t="s">
        <v>1303</v>
      </c>
      <c r="F11" s="313"/>
      <c r="G11" s="315" t="s">
        <v>1327</v>
      </c>
    </row>
    <row r="12" spans="1:7" ht="20.45" customHeight="1" thickBot="1" x14ac:dyDescent="0.75">
      <c r="A12" s="303">
        <v>7</v>
      </c>
      <c r="B12" s="311" t="s">
        <v>1259</v>
      </c>
      <c r="C12" s="311" t="s">
        <v>1295</v>
      </c>
      <c r="D12" s="303" t="s">
        <v>1258</v>
      </c>
      <c r="E12" s="304" t="s">
        <v>1301</v>
      </c>
      <c r="F12" s="313"/>
      <c r="G12" s="315" t="s">
        <v>1327</v>
      </c>
    </row>
    <row r="13" spans="1:7" ht="20.45" customHeight="1" x14ac:dyDescent="0.7">
      <c r="A13" s="305">
        <v>8</v>
      </c>
      <c r="B13" s="306" t="s">
        <v>1259</v>
      </c>
      <c r="C13" s="306" t="s">
        <v>1295</v>
      </c>
      <c r="D13" s="306" t="s">
        <v>1259</v>
      </c>
      <c r="E13" s="307" t="s">
        <v>1302</v>
      </c>
      <c r="F13" s="314"/>
      <c r="G13" s="315" t="s">
        <v>1328</v>
      </c>
    </row>
    <row r="14" spans="1:7" ht="60" customHeight="1" x14ac:dyDescent="0.55000000000000004"/>
    <row r="15" spans="1:7" ht="20.45" customHeight="1" x14ac:dyDescent="0.55000000000000004"/>
    <row r="16" spans="1:7" ht="27" customHeight="1" x14ac:dyDescent="0.55000000000000004"/>
    <row r="17" ht="20.45" customHeight="1" x14ac:dyDescent="0.55000000000000004"/>
    <row r="18" ht="20.45" customHeight="1" x14ac:dyDescent="0.55000000000000004"/>
    <row r="19" ht="20.45" customHeight="1" x14ac:dyDescent="0.55000000000000004"/>
    <row r="20" ht="20.45" customHeight="1" x14ac:dyDescent="0.55000000000000004"/>
    <row r="21" ht="20.45" customHeight="1" x14ac:dyDescent="0.55000000000000004"/>
    <row r="22" ht="20.45" customHeight="1" x14ac:dyDescent="0.55000000000000004"/>
    <row r="23" ht="39" customHeight="1" x14ac:dyDescent="0.55000000000000004"/>
  </sheetData>
  <mergeCells count="1">
    <mergeCell ref="E2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A61" sqref="A1:XFD1048576"/>
    </sheetView>
  </sheetViews>
  <sheetFormatPr defaultRowHeight="14.25" x14ac:dyDescent="0.2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N96"/>
  <sheetViews>
    <sheetView zoomScale="90" zoomScaleNormal="90" workbookViewId="0">
      <pane xSplit="2" ySplit="4" topLeftCell="F5" activePane="bottomRight" state="frozen"/>
      <selection pane="topRight" activeCell="C1" sqref="C1"/>
      <selection pane="bottomLeft" activeCell="A4" sqref="A4"/>
      <selection pane="bottomRight" activeCell="F37" sqref="F37"/>
    </sheetView>
  </sheetViews>
  <sheetFormatPr defaultColWidth="9" defaultRowHeight="17.25" x14ac:dyDescent="0.4"/>
  <cols>
    <col min="1" max="1" width="7.25" style="168" customWidth="1"/>
    <col min="2" max="2" width="39.75" style="153" bestFit="1" customWidth="1"/>
    <col min="3" max="3" width="26.625" style="153" customWidth="1"/>
    <col min="4" max="4" width="22" style="30" customWidth="1"/>
    <col min="5" max="5" width="20.125" style="153" customWidth="1"/>
    <col min="6" max="6" width="31.5" style="153" customWidth="1"/>
    <col min="7" max="7" width="7.125" style="153" customWidth="1"/>
    <col min="8" max="8" width="13.125" style="153" bestFit="1" customWidth="1"/>
    <col min="9" max="10" width="14.125" style="153" bestFit="1" customWidth="1"/>
    <col min="11" max="11" width="11.25" style="153" bestFit="1" customWidth="1"/>
    <col min="12" max="12" width="13.875" style="153" customWidth="1"/>
    <col min="13" max="13" width="13.625" style="153" bestFit="1" customWidth="1"/>
    <col min="14" max="16384" width="9" style="153"/>
  </cols>
  <sheetData>
    <row r="1" spans="1:14" s="159" customFormat="1" ht="27.75" x14ac:dyDescent="0.65">
      <c r="A1" s="501" t="s">
        <v>1385</v>
      </c>
      <c r="B1" s="501"/>
      <c r="C1" s="501"/>
      <c r="D1" s="501"/>
      <c r="E1" s="501"/>
      <c r="F1" s="501"/>
      <c r="G1" s="470"/>
    </row>
    <row r="2" spans="1:14" s="159" customFormat="1" ht="27.75" x14ac:dyDescent="0.65">
      <c r="A2" s="501" t="s">
        <v>1529</v>
      </c>
      <c r="B2" s="501"/>
      <c r="C2" s="501"/>
      <c r="D2" s="501"/>
      <c r="E2" s="501"/>
      <c r="F2" s="501"/>
      <c r="G2" s="471"/>
    </row>
    <row r="3" spans="1:14" ht="27.75" x14ac:dyDescent="0.65">
      <c r="A3" s="502" t="s">
        <v>1386</v>
      </c>
      <c r="B3" s="502"/>
      <c r="C3" s="502"/>
      <c r="D3" s="502"/>
      <c r="E3" s="502"/>
      <c r="F3" s="503"/>
      <c r="G3" s="471"/>
      <c r="H3" s="521" t="s">
        <v>1525</v>
      </c>
      <c r="I3" s="522"/>
      <c r="J3" s="522"/>
      <c r="K3" s="522"/>
      <c r="L3" s="522"/>
      <c r="M3" s="523"/>
    </row>
    <row r="4" spans="1:14" ht="63.75" customHeight="1" x14ac:dyDescent="0.4">
      <c r="A4" s="165" t="s">
        <v>691</v>
      </c>
      <c r="B4" s="154" t="s">
        <v>692</v>
      </c>
      <c r="C4" s="249" t="s">
        <v>1387</v>
      </c>
      <c r="D4" s="22" t="s">
        <v>1388</v>
      </c>
      <c r="E4" s="276" t="s">
        <v>693</v>
      </c>
      <c r="F4" s="154" t="s">
        <v>692</v>
      </c>
      <c r="G4" s="473" t="s">
        <v>1530</v>
      </c>
      <c r="H4" s="281" t="s">
        <v>665</v>
      </c>
      <c r="I4" s="286" t="s">
        <v>1314</v>
      </c>
      <c r="J4" s="286" t="s">
        <v>1318</v>
      </c>
      <c r="K4" s="286" t="s">
        <v>1307</v>
      </c>
      <c r="L4" s="287" t="s">
        <v>1308</v>
      </c>
      <c r="M4" s="287" t="s">
        <v>1319</v>
      </c>
      <c r="N4" s="275"/>
    </row>
    <row r="5" spans="1:14" ht="24" x14ac:dyDescent="0.55000000000000004">
      <c r="A5" s="169" t="s">
        <v>0</v>
      </c>
      <c r="B5" s="40" t="s">
        <v>1</v>
      </c>
      <c r="C5" s="82">
        <v>45292431.545454539</v>
      </c>
      <c r="D5" s="23">
        <f>SUMIF('1.WS-Re-Exp'!$F$3:$F$439,Planfin2562!A5,'1.WS-Re-Exp'!$C$3:$C$439)</f>
        <v>43465658.277500004</v>
      </c>
      <c r="E5" s="277">
        <f>((D5-C5)/D5)*100</f>
        <v>-4.2027967373501509</v>
      </c>
      <c r="F5" s="40" t="s">
        <v>1</v>
      </c>
      <c r="G5" s="472">
        <v>1</v>
      </c>
      <c r="H5" s="278">
        <f>VLOOKUP($A5,'HGR2560'!$B$2:$I$28,3,0)</f>
        <v>48041709.560000002</v>
      </c>
      <c r="I5" s="278">
        <f>VLOOKUP($A5,'HGR2560'!$B$2:$I$28,5,0)</f>
        <v>42503730.479999997</v>
      </c>
      <c r="J5" s="278">
        <f>VLOOKUP($A5,'HGR2560'!$B$2:$I$28,8,0)</f>
        <v>54286336.780000001</v>
      </c>
      <c r="K5" s="278">
        <f>VLOOKUP($A5,'HGR2560'!$B$2:$I$28,4,0)</f>
        <v>35.28</v>
      </c>
      <c r="L5" s="278">
        <f t="shared" ref="L5:L31" si="0">D5-I5</f>
        <v>961927.79750000685</v>
      </c>
      <c r="M5" s="278">
        <f t="shared" ref="M5:M31" si="1">D5-J5</f>
        <v>-10820678.502499998</v>
      </c>
    </row>
    <row r="6" spans="1:14" ht="24" x14ac:dyDescent="0.55000000000000004">
      <c r="A6" s="169" t="s">
        <v>2</v>
      </c>
      <c r="B6" s="40" t="s">
        <v>3</v>
      </c>
      <c r="C6" s="82">
        <v>316363.63636363635</v>
      </c>
      <c r="D6" s="23">
        <f>SUMIF('1.WS-Re-Exp'!$F$3:$F$439,Planfin2562!A6,'1.WS-Re-Exp'!$C$3:$C$439)</f>
        <v>300000</v>
      </c>
      <c r="E6" s="277">
        <f t="shared" ref="E6:E31" si="2">((D6-C6)/D6)*100</f>
        <v>-5.4545454545454506</v>
      </c>
      <c r="F6" s="40" t="s">
        <v>3</v>
      </c>
      <c r="G6" s="472">
        <v>2</v>
      </c>
      <c r="H6" s="278">
        <f>VLOOKUP($A6,'HGR2560'!$B$2:$I$28,3,0)</f>
        <v>289750</v>
      </c>
      <c r="I6" s="278">
        <f>VLOOKUP($A6,'HGR2560'!$B$2:$I$28,5,0)</f>
        <v>157929.16</v>
      </c>
      <c r="J6" s="278">
        <f>VLOOKUP($A6,'HGR2560'!$B$2:$I$28,8,0)</f>
        <v>274653.38</v>
      </c>
      <c r="K6" s="278">
        <f>VLOOKUP($A6,'HGR2560'!$B$2:$I$28,4,0)</f>
        <v>-4.2300000000000004</v>
      </c>
      <c r="L6" s="278">
        <f t="shared" si="0"/>
        <v>142070.84</v>
      </c>
      <c r="M6" s="278">
        <f t="shared" si="1"/>
        <v>25346.619999999995</v>
      </c>
    </row>
    <row r="7" spans="1:14" ht="24" x14ac:dyDescent="0.55000000000000004">
      <c r="A7" s="169" t="s">
        <v>4</v>
      </c>
      <c r="B7" s="40" t="s">
        <v>5</v>
      </c>
      <c r="C7" s="82">
        <v>71707.909090909088</v>
      </c>
      <c r="D7" s="23">
        <f>SUMIF('1.WS-Re-Exp'!$F$3:$F$439,Planfin2562!A7,'1.WS-Re-Exp'!$C$3:$C$439)</f>
        <v>20000</v>
      </c>
      <c r="E7" s="277">
        <f t="shared" si="2"/>
        <v>-258.53954545454542</v>
      </c>
      <c r="F7" s="40" t="s">
        <v>5</v>
      </c>
      <c r="G7" s="472">
        <v>0</v>
      </c>
      <c r="H7" s="278">
        <f>VLOOKUP($A7,'HGR2560'!$B$2:$I$28,3,0)</f>
        <v>265018</v>
      </c>
      <c r="I7" s="278">
        <f>VLOOKUP($A7,'HGR2560'!$B$2:$I$28,5,0)</f>
        <v>109448.93</v>
      </c>
      <c r="J7" s="278">
        <f>VLOOKUP($A7,'HGR2560'!$B$2:$I$28,8,0)</f>
        <v>301334.14</v>
      </c>
      <c r="K7" s="278">
        <f>VLOOKUP($A7,'HGR2560'!$B$2:$I$28,4,0)</f>
        <v>852.34</v>
      </c>
      <c r="L7" s="278">
        <f t="shared" si="0"/>
        <v>-89448.93</v>
      </c>
      <c r="M7" s="278">
        <f t="shared" si="1"/>
        <v>-281334.14</v>
      </c>
    </row>
    <row r="8" spans="1:14" ht="24" x14ac:dyDescent="0.55000000000000004">
      <c r="A8" s="169" t="s">
        <v>1001</v>
      </c>
      <c r="B8" s="40" t="s">
        <v>729</v>
      </c>
      <c r="C8" s="82">
        <v>335653.25454545458</v>
      </c>
      <c r="D8" s="23">
        <f>SUMIF('1.WS-Re-Exp'!$F$3:$F$439,Planfin2562!A8,'1.WS-Re-Exp'!$C$3:$C$439)</f>
        <v>450000</v>
      </c>
      <c r="E8" s="277">
        <f t="shared" si="2"/>
        <v>25.410387878787873</v>
      </c>
      <c r="F8" s="40" t="s">
        <v>729</v>
      </c>
      <c r="G8" s="480"/>
      <c r="H8" s="278">
        <f>VLOOKUP($A8,'HGR2560'!$B$2:$I$28,3,0)</f>
        <v>0</v>
      </c>
      <c r="I8" s="278">
        <f>VLOOKUP($A8,'HGR2560'!$B$2:$I$28,5,0)</f>
        <v>0</v>
      </c>
      <c r="J8" s="278">
        <f>VLOOKUP($A8,'HGR2560'!$B$2:$I$28,8,0)</f>
        <v>0</v>
      </c>
      <c r="K8" s="278">
        <f>VLOOKUP($A8,'HGR2560'!$B$2:$I$28,4,0)</f>
        <v>-100</v>
      </c>
      <c r="L8" s="278">
        <f t="shared" si="0"/>
        <v>450000</v>
      </c>
      <c r="M8" s="278">
        <f t="shared" si="1"/>
        <v>450000</v>
      </c>
    </row>
    <row r="9" spans="1:14" ht="24" x14ac:dyDescent="0.55000000000000004">
      <c r="A9" s="169" t="s">
        <v>6</v>
      </c>
      <c r="B9" s="40" t="s">
        <v>7</v>
      </c>
      <c r="C9" s="82">
        <v>4938468.458181818</v>
      </c>
      <c r="D9" s="23">
        <f>SUMIF('1.WS-Re-Exp'!$F$3:$F$439,Planfin2562!A9,'1.WS-Re-Exp'!$C$3:$C$439)</f>
        <v>5693585</v>
      </c>
      <c r="E9" s="277">
        <f t="shared" si="2"/>
        <v>13.262584853272269</v>
      </c>
      <c r="F9" s="40" t="s">
        <v>7</v>
      </c>
      <c r="G9" s="472">
        <v>0</v>
      </c>
      <c r="H9" s="278">
        <f>VLOOKUP($A9,'HGR2560'!$B$2:$I$28,3,0)</f>
        <v>3967386.58</v>
      </c>
      <c r="I9" s="278">
        <f>VLOOKUP($A9,'HGR2560'!$B$2:$I$28,5,0)</f>
        <v>6003172.1600000001</v>
      </c>
      <c r="J9" s="278">
        <f>VLOOKUP($A9,'HGR2560'!$B$2:$I$28,8,0)</f>
        <v>10858442.67</v>
      </c>
      <c r="K9" s="278">
        <f>VLOOKUP($A9,'HGR2560'!$B$2:$I$28,4,0)</f>
        <v>16.84</v>
      </c>
      <c r="L9" s="278">
        <f t="shared" si="0"/>
        <v>-309587.16000000015</v>
      </c>
      <c r="M9" s="278">
        <f t="shared" si="1"/>
        <v>-5164857.67</v>
      </c>
    </row>
    <row r="10" spans="1:14" ht="24" x14ac:dyDescent="0.55000000000000004">
      <c r="A10" s="169" t="s">
        <v>8</v>
      </c>
      <c r="B10" s="40" t="s">
        <v>9</v>
      </c>
      <c r="C10" s="82">
        <v>1345260.0981818184</v>
      </c>
      <c r="D10" s="23">
        <f>SUMIF('1.WS-Re-Exp'!$F$3:$F$439,Planfin2562!A10,'1.WS-Re-Exp'!$C$3:$C$439)</f>
        <v>1490700</v>
      </c>
      <c r="E10" s="277">
        <f t="shared" si="2"/>
        <v>9.7564836531952519</v>
      </c>
      <c r="F10" s="40" t="s">
        <v>9</v>
      </c>
      <c r="G10" s="472">
        <v>0</v>
      </c>
      <c r="H10" s="278">
        <f>VLOOKUP($A10,'HGR2560'!$B$2:$I$28,3,0)</f>
        <v>752830.06</v>
      </c>
      <c r="I10" s="278">
        <f>VLOOKUP($A10,'HGR2560'!$B$2:$I$28,5,0)</f>
        <v>1507791.8</v>
      </c>
      <c r="J10" s="278">
        <f>VLOOKUP($A10,'HGR2560'!$B$2:$I$28,8,0)</f>
        <v>2836649.09</v>
      </c>
      <c r="K10" s="278">
        <f>VLOOKUP($A10,'HGR2560'!$B$2:$I$28,4,0)</f>
        <v>10</v>
      </c>
      <c r="L10" s="278">
        <f t="shared" si="0"/>
        <v>-17091.800000000047</v>
      </c>
      <c r="M10" s="278">
        <f t="shared" si="1"/>
        <v>-1345949.0899999999</v>
      </c>
    </row>
    <row r="11" spans="1:14" ht="24" x14ac:dyDescent="0.55000000000000004">
      <c r="A11" s="169" t="s">
        <v>10</v>
      </c>
      <c r="B11" s="40" t="s">
        <v>11</v>
      </c>
      <c r="C11" s="82">
        <v>974481.13090909086</v>
      </c>
      <c r="D11" s="23">
        <f>SUMIF('1.WS-Re-Exp'!$F$3:$F$439,Planfin2562!A11,'1.WS-Re-Exp'!$C$3:$C$439)</f>
        <v>650000</v>
      </c>
      <c r="E11" s="277">
        <f t="shared" si="2"/>
        <v>-49.920173986013978</v>
      </c>
      <c r="F11" s="40" t="s">
        <v>11</v>
      </c>
      <c r="G11" s="472">
        <v>1</v>
      </c>
      <c r="H11" s="278">
        <f>VLOOKUP($A11,'HGR2560'!$B$2:$I$28,3,0)</f>
        <v>525094.57999999996</v>
      </c>
      <c r="I11" s="278">
        <f>VLOOKUP($A11,'HGR2560'!$B$2:$I$28,5,0)</f>
        <v>496858.12</v>
      </c>
      <c r="J11" s="278">
        <f>VLOOKUP($A11,'HGR2560'!$B$2:$I$28,8,0)</f>
        <v>1537015.77</v>
      </c>
      <c r="K11" s="278">
        <f>VLOOKUP($A11,'HGR2560'!$B$2:$I$28,4,0)</f>
        <v>802.06</v>
      </c>
      <c r="L11" s="278">
        <f t="shared" si="0"/>
        <v>153141.88</v>
      </c>
      <c r="M11" s="278">
        <f t="shared" si="1"/>
        <v>-887015.77</v>
      </c>
    </row>
    <row r="12" spans="1:14" ht="24" x14ac:dyDescent="0.55000000000000004">
      <c r="A12" s="169" t="s">
        <v>12</v>
      </c>
      <c r="B12" s="40" t="s">
        <v>13</v>
      </c>
      <c r="C12" s="82">
        <v>11270026.385454545</v>
      </c>
      <c r="D12" s="23">
        <f>SUMIF('1.WS-Re-Exp'!$F$3:$F$439,Planfin2562!A12,'1.WS-Re-Exp'!$C$3:$C$439)</f>
        <v>11007000</v>
      </c>
      <c r="E12" s="277">
        <f t="shared" si="2"/>
        <v>-2.3896282861319595</v>
      </c>
      <c r="F12" s="40" t="s">
        <v>13</v>
      </c>
      <c r="G12" s="472">
        <v>2</v>
      </c>
      <c r="H12" s="278">
        <f>VLOOKUP($A12,'HGR2560'!$B$2:$I$28,3,0)</f>
        <v>8086447.6500000004</v>
      </c>
      <c r="I12" s="278">
        <f>VLOOKUP($A12,'HGR2560'!$B$2:$I$28,5,0)</f>
        <v>5345473.12</v>
      </c>
      <c r="J12" s="278">
        <f>VLOOKUP($A12,'HGR2560'!$B$2:$I$28,8,0)</f>
        <v>10036243.789999999</v>
      </c>
      <c r="K12" s="278">
        <f>VLOOKUP($A12,'HGR2560'!$B$2:$I$28,4,0)</f>
        <v>55.11</v>
      </c>
      <c r="L12" s="278">
        <f t="shared" si="0"/>
        <v>5661526.8799999999</v>
      </c>
      <c r="M12" s="278">
        <f t="shared" si="1"/>
        <v>970756.21000000089</v>
      </c>
    </row>
    <row r="13" spans="1:14" ht="24" x14ac:dyDescent="0.55000000000000004">
      <c r="A13" s="169" t="s">
        <v>14</v>
      </c>
      <c r="B13" s="40" t="s">
        <v>15</v>
      </c>
      <c r="C13" s="82">
        <v>25802761.145454548</v>
      </c>
      <c r="D13" s="23">
        <f>SUMIF('1.WS-Re-Exp'!$F$3:$F$439,Planfin2562!A13,'1.WS-Re-Exp'!$C$3:$C$439)</f>
        <v>28378920</v>
      </c>
      <c r="E13" s="277">
        <f t="shared" si="2"/>
        <v>9.0777198517260409</v>
      </c>
      <c r="F13" s="40" t="s">
        <v>15</v>
      </c>
      <c r="G13" s="472">
        <v>0</v>
      </c>
      <c r="H13" s="278">
        <f>VLOOKUP($A13,'HGR2560'!$B$2:$I$28,3,0)</f>
        <v>26675742.030000001</v>
      </c>
      <c r="I13" s="278">
        <f>VLOOKUP($A13,'HGR2560'!$B$2:$I$28,5,0)</f>
        <v>32336197.93</v>
      </c>
      <c r="J13" s="278">
        <f>VLOOKUP($A13,'HGR2560'!$B$2:$I$28,8,0)</f>
        <v>41607349.939999998</v>
      </c>
      <c r="K13" s="278">
        <f>VLOOKUP($A13,'HGR2560'!$B$2:$I$28,4,0)</f>
        <v>-5.9</v>
      </c>
      <c r="L13" s="278">
        <f t="shared" si="0"/>
        <v>-3957277.9299999997</v>
      </c>
      <c r="M13" s="278">
        <f t="shared" si="1"/>
        <v>-13228429.939999998</v>
      </c>
    </row>
    <row r="14" spans="1:14" ht="24" x14ac:dyDescent="0.55000000000000004">
      <c r="A14" s="169" t="s">
        <v>16</v>
      </c>
      <c r="B14" s="40" t="s">
        <v>17</v>
      </c>
      <c r="C14" s="82">
        <v>5001586.8218181813</v>
      </c>
      <c r="D14" s="23">
        <f>SUMIF('1.WS-Re-Exp'!$F$3:$F$439,Planfin2562!A14,'1.WS-Re-Exp'!$C$3:$C$439)</f>
        <v>6778624.0366666671</v>
      </c>
      <c r="E14" s="277">
        <f t="shared" si="2"/>
        <v>26.21530867084833</v>
      </c>
      <c r="F14" s="40" t="s">
        <v>17</v>
      </c>
      <c r="G14" s="472">
        <v>0</v>
      </c>
      <c r="H14" s="278">
        <f>VLOOKUP($A14,'HGR2560'!$B$2:$I$28,3,0)</f>
        <v>7273449.7699999996</v>
      </c>
      <c r="I14" s="278">
        <f>VLOOKUP($A14,'HGR2560'!$B$2:$I$28,5,0)</f>
        <v>8010292.0099999998</v>
      </c>
      <c r="J14" s="278">
        <f>VLOOKUP($A14,'HGR2560'!$B$2:$I$28,8,0)</f>
        <v>12454728.52</v>
      </c>
      <c r="K14" s="278">
        <f>VLOOKUP($A14,'HGR2560'!$B$2:$I$28,4,0)</f>
        <v>109.15</v>
      </c>
      <c r="L14" s="278">
        <f t="shared" si="0"/>
        <v>-1231667.9733333327</v>
      </c>
      <c r="M14" s="278">
        <f t="shared" si="1"/>
        <v>-5676104.4833333325</v>
      </c>
    </row>
    <row r="15" spans="1:14" ht="24" x14ac:dyDescent="0.55000000000000004">
      <c r="A15" s="169" t="s">
        <v>18</v>
      </c>
      <c r="B15" s="40" t="s">
        <v>690</v>
      </c>
      <c r="C15" s="82">
        <v>3316970.2145454539</v>
      </c>
      <c r="D15" s="23">
        <f>SUMIF('1.WS-Re-Exp'!$F$3:$F$439,Planfin2562!A15,'1.WS-Re-Exp'!$C$3:$C$439)</f>
        <v>3556759.27</v>
      </c>
      <c r="E15" s="277">
        <f t="shared" si="2"/>
        <v>6.7417847892344467</v>
      </c>
      <c r="F15" s="40" t="s">
        <v>690</v>
      </c>
      <c r="G15" s="472">
        <v>0</v>
      </c>
      <c r="H15" s="278">
        <f>VLOOKUP($A15,'HGR2560'!$B$2:$I$28,3,0)</f>
        <v>2293874.02</v>
      </c>
      <c r="I15" s="278">
        <f>VLOOKUP($A15,'HGR2560'!$B$2:$I$28,5,0)</f>
        <v>4059473.78</v>
      </c>
      <c r="J15" s="278">
        <f>VLOOKUP($A15,'HGR2560'!$B$2:$I$28,8,0)</f>
        <v>8765260.4299999997</v>
      </c>
      <c r="K15" s="278">
        <f>VLOOKUP($A15,'HGR2560'!$B$2:$I$28,4,0)</f>
        <v>-71.03</v>
      </c>
      <c r="L15" s="278">
        <f t="shared" si="0"/>
        <v>-502714.50999999978</v>
      </c>
      <c r="M15" s="278">
        <f t="shared" si="1"/>
        <v>-5208501.16</v>
      </c>
    </row>
    <row r="16" spans="1:14" ht="24" x14ac:dyDescent="0.55000000000000004">
      <c r="A16" s="172" t="s">
        <v>694</v>
      </c>
      <c r="B16" s="469" t="s">
        <v>676</v>
      </c>
      <c r="C16" s="173">
        <v>98665710.599999994</v>
      </c>
      <c r="D16" s="173">
        <f>SUM(D5:D15)</f>
        <v>101791246.58416666</v>
      </c>
      <c r="E16" s="468">
        <f t="shared" si="2"/>
        <v>3.0705351285606861</v>
      </c>
      <c r="F16" s="469" t="s">
        <v>676</v>
      </c>
      <c r="G16" s="474">
        <v>1</v>
      </c>
      <c r="H16" s="279">
        <f>VLOOKUP($A16,'HGR2560'!$B$2:$I$28,3,0)</f>
        <v>98671622.849999994</v>
      </c>
      <c r="I16" s="279">
        <f>VLOOKUP($A16,'HGR2560'!$B$2:$I$28,5,0)</f>
        <v>101348915.13</v>
      </c>
      <c r="J16" s="279">
        <f>VLOOKUP($A16,'HGR2560'!$B$2:$I$28,8,0)</f>
        <v>125540417.87</v>
      </c>
      <c r="K16" s="279">
        <f>VLOOKUP($A16,'HGR2560'!$B$2:$I$28,4,0)</f>
        <v>15.71</v>
      </c>
      <c r="L16" s="278">
        <f t="shared" si="0"/>
        <v>442331.45416666567</v>
      </c>
      <c r="M16" s="278">
        <f t="shared" si="1"/>
        <v>-23749171.285833344</v>
      </c>
    </row>
    <row r="17" spans="1:13" ht="27.75" x14ac:dyDescent="0.65">
      <c r="A17" s="166" t="s">
        <v>19</v>
      </c>
      <c r="B17" s="40" t="s">
        <v>20</v>
      </c>
      <c r="C17" s="245">
        <v>8357503.4072727282</v>
      </c>
      <c r="D17" s="23">
        <f>SUMIF('1.WS-Re-Exp'!$F$3:$F$439,Planfin2562!A17,'1.WS-Re-Exp'!$C$3:$C$439)</f>
        <v>8252608.1900000004</v>
      </c>
      <c r="E17" s="277">
        <f t="shared" si="2"/>
        <v>-1.2710553422351163</v>
      </c>
      <c r="F17" s="40" t="s">
        <v>20</v>
      </c>
      <c r="G17" s="472">
        <v>0</v>
      </c>
      <c r="H17" s="278">
        <f>VLOOKUP($A17,'HGR2560'!$B$2:$I$28,3,0)</f>
        <v>7462221.9400000004</v>
      </c>
      <c r="I17" s="278">
        <f>VLOOKUP($A17,'HGR2560'!$B$2:$I$28,5,0)</f>
        <v>8599313.6799999997</v>
      </c>
      <c r="J17" s="278">
        <f>VLOOKUP($A17,'HGR2560'!$B$2:$I$28,8,0)</f>
        <v>11734081.890000001</v>
      </c>
      <c r="K17" s="278">
        <f>VLOOKUP($A17,'HGR2560'!$B$2:$I$28,4,0)</f>
        <v>72.09</v>
      </c>
      <c r="L17" s="278">
        <f t="shared" si="0"/>
        <v>-346705.48999999929</v>
      </c>
      <c r="M17" s="278">
        <f t="shared" si="1"/>
        <v>-3481473.7</v>
      </c>
    </row>
    <row r="18" spans="1:13" ht="27.75" x14ac:dyDescent="0.65">
      <c r="A18" s="166" t="s">
        <v>21</v>
      </c>
      <c r="B18" s="40" t="s">
        <v>22</v>
      </c>
      <c r="C18" s="246">
        <v>2381923.5599999996</v>
      </c>
      <c r="D18" s="23">
        <f>SUMIF('1.WS-Re-Exp'!$F$3:$F$439,Planfin2562!A18,'1.WS-Re-Exp'!$C$3:$C$439)</f>
        <v>2310000</v>
      </c>
      <c r="E18" s="277">
        <f t="shared" si="2"/>
        <v>-3.1135740259740081</v>
      </c>
      <c r="F18" s="40" t="s">
        <v>22</v>
      </c>
      <c r="G18" s="472">
        <v>0</v>
      </c>
      <c r="H18" s="278">
        <f>VLOOKUP($A18,'HGR2560'!$B$2:$I$28,3,0)</f>
        <v>2736004.9</v>
      </c>
      <c r="I18" s="278">
        <f>VLOOKUP($A18,'HGR2560'!$B$2:$I$28,5,0)</f>
        <v>2543495.2599999998</v>
      </c>
      <c r="J18" s="278">
        <f>VLOOKUP($A18,'HGR2560'!$B$2:$I$28,8,0)</f>
        <v>3747990.27</v>
      </c>
      <c r="K18" s="278">
        <f>VLOOKUP($A18,'HGR2560'!$B$2:$I$28,4,0)</f>
        <v>28.36</v>
      </c>
      <c r="L18" s="278">
        <f t="shared" si="0"/>
        <v>-233495.25999999978</v>
      </c>
      <c r="M18" s="278">
        <f t="shared" si="1"/>
        <v>-1437990.27</v>
      </c>
    </row>
    <row r="19" spans="1:13" ht="27.75" x14ac:dyDescent="0.65">
      <c r="A19" s="166" t="s">
        <v>730</v>
      </c>
      <c r="B19" s="40" t="s">
        <v>731</v>
      </c>
      <c r="C19" s="246">
        <v>222896.59636363637</v>
      </c>
      <c r="D19" s="23">
        <f>SUMIF('1.WS-Re-Exp'!$F$3:$F$439,Planfin2562!A19,'1.WS-Re-Exp'!$C$3:$C$439)</f>
        <v>450000</v>
      </c>
      <c r="E19" s="277">
        <f t="shared" si="2"/>
        <v>50.467423030303024</v>
      </c>
      <c r="F19" s="40" t="s">
        <v>731</v>
      </c>
      <c r="G19" s="472">
        <v>0</v>
      </c>
      <c r="H19" s="278">
        <f>VLOOKUP($A19,'HGR2560'!$B$2:$I$28,3,0)</f>
        <v>273300.59000000003</v>
      </c>
      <c r="I19" s="278">
        <f>VLOOKUP($A19,'HGR2560'!$B$2:$I$28,5,0)</f>
        <v>482822.43</v>
      </c>
      <c r="J19" s="278">
        <f>VLOOKUP($A19,'HGR2560'!$B$2:$I$28,8,0)</f>
        <v>761051.31</v>
      </c>
      <c r="K19" s="278">
        <f>VLOOKUP($A19,'HGR2560'!$B$2:$I$28,4,0)</f>
        <v>52.1</v>
      </c>
      <c r="L19" s="278">
        <f t="shared" si="0"/>
        <v>-32822.429999999993</v>
      </c>
      <c r="M19" s="278">
        <f t="shared" si="1"/>
        <v>-311051.31000000006</v>
      </c>
    </row>
    <row r="20" spans="1:13" ht="27.75" x14ac:dyDescent="0.65">
      <c r="A20" s="166" t="s">
        <v>23</v>
      </c>
      <c r="B20" s="40" t="s">
        <v>24</v>
      </c>
      <c r="C20" s="246">
        <v>1998159.5781818181</v>
      </c>
      <c r="D20" s="23">
        <f>SUMIF('1.WS-Re-Exp'!$F$3:$F$439,Planfin2562!A20,'1.WS-Re-Exp'!$C$3:$C$439)</f>
        <v>1066488.8999999999</v>
      </c>
      <c r="E20" s="277">
        <f t="shared" si="2"/>
        <v>-87.35868495038423</v>
      </c>
      <c r="F20" s="40" t="s">
        <v>24</v>
      </c>
      <c r="G20" s="472">
        <v>0</v>
      </c>
      <c r="H20" s="278">
        <f>VLOOKUP($A20,'HGR2560'!$B$2:$I$28,3,0)</f>
        <v>1781640.99</v>
      </c>
      <c r="I20" s="278">
        <f>VLOOKUP($A20,'HGR2560'!$B$2:$I$28,5,0)</f>
        <v>3102348.77</v>
      </c>
      <c r="J20" s="278">
        <f>VLOOKUP($A20,'HGR2560'!$B$2:$I$28,8,0)</f>
        <v>4330935.62</v>
      </c>
      <c r="K20" s="278">
        <f>VLOOKUP($A20,'HGR2560'!$B$2:$I$28,4,0)</f>
        <v>-12.11</v>
      </c>
      <c r="L20" s="278">
        <f t="shared" si="0"/>
        <v>-2035859.87</v>
      </c>
      <c r="M20" s="278">
        <f t="shared" si="1"/>
        <v>-3264446.72</v>
      </c>
    </row>
    <row r="21" spans="1:13" ht="27.75" x14ac:dyDescent="0.65">
      <c r="A21" s="166" t="s">
        <v>25</v>
      </c>
      <c r="B21" s="40" t="s">
        <v>26</v>
      </c>
      <c r="C21" s="246">
        <v>25802761.145454548</v>
      </c>
      <c r="D21" s="23">
        <f>SUMIF('1.WS-Re-Exp'!$F$3:$F$439,Planfin2562!A21,'1.WS-Re-Exp'!$C$3:$C$439)</f>
        <v>28378920</v>
      </c>
      <c r="E21" s="277">
        <f t="shared" si="2"/>
        <v>9.0777198517260409</v>
      </c>
      <c r="F21" s="40" t="s">
        <v>26</v>
      </c>
      <c r="G21" s="472">
        <v>0</v>
      </c>
      <c r="H21" s="278">
        <f>VLOOKUP($A21,'HGR2560'!$B$2:$I$28,3,0)</f>
        <v>26686470.030000001</v>
      </c>
      <c r="I21" s="278">
        <f>VLOOKUP($A21,'HGR2560'!$B$2:$I$28,5,0)</f>
        <v>32313201.23</v>
      </c>
      <c r="J21" s="278">
        <f>VLOOKUP($A21,'HGR2560'!$B$2:$I$28,8,0)</f>
        <v>41340128.189999998</v>
      </c>
      <c r="K21" s="278">
        <f>VLOOKUP($A21,'HGR2560'!$B$2:$I$28,4,0)</f>
        <v>-5.88</v>
      </c>
      <c r="L21" s="278">
        <f t="shared" si="0"/>
        <v>-3934281.2300000004</v>
      </c>
      <c r="M21" s="278">
        <f t="shared" si="1"/>
        <v>-12961208.189999998</v>
      </c>
    </row>
    <row r="22" spans="1:13" ht="27.75" x14ac:dyDescent="0.65">
      <c r="A22" s="166" t="s">
        <v>27</v>
      </c>
      <c r="B22" s="41" t="s">
        <v>722</v>
      </c>
      <c r="C22" s="246">
        <v>9395732.8909090906</v>
      </c>
      <c r="D22" s="23">
        <f>SUMIF('1.WS-Re-Exp'!$F$3:$F$439,Planfin2562!A22,'1.WS-Re-Exp'!$C$3:$C$439)</f>
        <v>10698000</v>
      </c>
      <c r="E22" s="277">
        <f t="shared" si="2"/>
        <v>12.172995972059351</v>
      </c>
      <c r="F22" s="41" t="s">
        <v>722</v>
      </c>
      <c r="G22" s="472">
        <v>1</v>
      </c>
      <c r="H22" s="278">
        <f>VLOOKUP($A22,'HGR2560'!$B$2:$I$28,3,0)</f>
        <v>8133745</v>
      </c>
      <c r="I22" s="278">
        <f>VLOOKUP($A22,'HGR2560'!$B$2:$I$28,5,0)</f>
        <v>8910388.5</v>
      </c>
      <c r="J22" s="278">
        <f>VLOOKUP($A22,'HGR2560'!$B$2:$I$28,8,0)</f>
        <v>11676293.07</v>
      </c>
      <c r="K22" s="278">
        <f>VLOOKUP($A22,'HGR2560'!$B$2:$I$28,4,0)</f>
        <v>31.94</v>
      </c>
      <c r="L22" s="278">
        <f t="shared" si="0"/>
        <v>1787611.5</v>
      </c>
      <c r="M22" s="278">
        <f t="shared" si="1"/>
        <v>-978293.0700000003</v>
      </c>
    </row>
    <row r="23" spans="1:13" ht="27.75" x14ac:dyDescent="0.65">
      <c r="A23" s="166" t="s">
        <v>29</v>
      </c>
      <c r="B23" s="40" t="s">
        <v>30</v>
      </c>
      <c r="C23" s="246">
        <v>15929825.454545455</v>
      </c>
      <c r="D23" s="23">
        <f>SUMIF('1.WS-Re-Exp'!$F$3:$F$439,Planfin2562!A23,'1.WS-Re-Exp'!$C$3:$C$439)</f>
        <v>16159360</v>
      </c>
      <c r="E23" s="277">
        <f t="shared" si="2"/>
        <v>1.420443293883823</v>
      </c>
      <c r="F23" s="40" t="s">
        <v>30</v>
      </c>
      <c r="G23" s="472">
        <v>1</v>
      </c>
      <c r="H23" s="278">
        <f>VLOOKUP($A23,'HGR2560'!$B$2:$I$28,3,0)</f>
        <v>15191020</v>
      </c>
      <c r="I23" s="278">
        <f>VLOOKUP($A23,'HGR2560'!$B$2:$I$28,5,0)</f>
        <v>15491408.779999999</v>
      </c>
      <c r="J23" s="278">
        <f>VLOOKUP($A23,'HGR2560'!$B$2:$I$28,8,0)</f>
        <v>20294236.010000002</v>
      </c>
      <c r="K23" s="278">
        <f>VLOOKUP($A23,'HGR2560'!$B$2:$I$28,4,0)</f>
        <v>5.68</v>
      </c>
      <c r="L23" s="278">
        <f t="shared" si="0"/>
        <v>667951.22000000067</v>
      </c>
      <c r="M23" s="278">
        <f t="shared" si="1"/>
        <v>-4134876.0100000016</v>
      </c>
    </row>
    <row r="24" spans="1:13" ht="27.75" x14ac:dyDescent="0.65">
      <c r="A24" s="166" t="s">
        <v>31</v>
      </c>
      <c r="B24" s="40" t="s">
        <v>32</v>
      </c>
      <c r="C24" s="33">
        <v>2039153.3236363637</v>
      </c>
      <c r="D24" s="23">
        <f>SUMIF('1.WS-Re-Exp'!$F$3:$F$439,Planfin2562!A24,'1.WS-Re-Exp'!$C$3:$C$439)</f>
        <v>1994876.9066666665</v>
      </c>
      <c r="E24" s="277">
        <f t="shared" si="2"/>
        <v>-2.2195062172372717</v>
      </c>
      <c r="F24" s="40" t="s">
        <v>32</v>
      </c>
      <c r="G24" s="472">
        <v>0</v>
      </c>
      <c r="H24" s="278">
        <f>VLOOKUP($A24,'HGR2560'!$B$2:$I$28,3,0)</f>
        <v>2059297.92</v>
      </c>
      <c r="I24" s="278">
        <f>VLOOKUP($A24,'HGR2560'!$B$2:$I$28,5,0)</f>
        <v>2235706.5699999998</v>
      </c>
      <c r="J24" s="278">
        <f>VLOOKUP($A24,'HGR2560'!$B$2:$I$28,8,0)</f>
        <v>2977280.91</v>
      </c>
      <c r="K24" s="278">
        <f>VLOOKUP($A24,'HGR2560'!$B$2:$I$28,4,0)</f>
        <v>2.69</v>
      </c>
      <c r="L24" s="278">
        <f t="shared" si="0"/>
        <v>-240829.66333333333</v>
      </c>
      <c r="M24" s="278">
        <f t="shared" si="1"/>
        <v>-982404.00333333365</v>
      </c>
    </row>
    <row r="25" spans="1:13" ht="27.75" x14ac:dyDescent="0.65">
      <c r="A25" s="166" t="s">
        <v>33</v>
      </c>
      <c r="B25" s="40" t="s">
        <v>34</v>
      </c>
      <c r="C25" s="33">
        <v>2695415.541818182</v>
      </c>
      <c r="D25" s="23">
        <f>SUMIF('1.WS-Re-Exp'!$F$3:$F$439,Planfin2562!A25,'1.WS-Re-Exp'!$C$3:$C$439)</f>
        <v>5082580.8800000008</v>
      </c>
      <c r="E25" s="277">
        <f t="shared" si="2"/>
        <v>46.967581914443016</v>
      </c>
      <c r="F25" s="40" t="s">
        <v>34</v>
      </c>
      <c r="G25" s="472">
        <v>1</v>
      </c>
      <c r="H25" s="278">
        <f>VLOOKUP($A25,'HGR2560'!$B$2:$I$28,3,0)</f>
        <v>3181028.26</v>
      </c>
      <c r="I25" s="278">
        <f>VLOOKUP($A25,'HGR2560'!$B$2:$I$28,5,0)</f>
        <v>4462614.59</v>
      </c>
      <c r="J25" s="278">
        <f>VLOOKUP($A25,'HGR2560'!$B$2:$I$28,8,0)</f>
        <v>7709438.3300000001</v>
      </c>
      <c r="K25" s="278">
        <f>VLOOKUP($A25,'HGR2560'!$B$2:$I$28,4,0)</f>
        <v>11.44</v>
      </c>
      <c r="L25" s="278">
        <f t="shared" si="0"/>
        <v>619966.29000000097</v>
      </c>
      <c r="M25" s="278">
        <f t="shared" si="1"/>
        <v>-2626857.4499999993</v>
      </c>
    </row>
    <row r="26" spans="1:13" ht="27.75" x14ac:dyDescent="0.65">
      <c r="A26" s="166" t="s">
        <v>35</v>
      </c>
      <c r="B26" s="40" t="s">
        <v>36</v>
      </c>
      <c r="C26" s="246">
        <v>1889951.1490909089</v>
      </c>
      <c r="D26" s="23">
        <f>SUMIF('1.WS-Re-Exp'!$F$3:$F$439,Planfin2562!A26,'1.WS-Re-Exp'!$C$3:$C$439)</f>
        <v>2038876.4983999999</v>
      </c>
      <c r="E26" s="277">
        <f t="shared" si="2"/>
        <v>7.3042849542853405</v>
      </c>
      <c r="F26" s="40" t="s">
        <v>36</v>
      </c>
      <c r="G26" s="472">
        <v>0</v>
      </c>
      <c r="H26" s="278">
        <f>VLOOKUP($A26,'HGR2560'!$B$2:$I$28,3,0)</f>
        <v>1811313.51</v>
      </c>
      <c r="I26" s="278">
        <f>VLOOKUP($A26,'HGR2560'!$B$2:$I$28,5,0)</f>
        <v>2250681.17</v>
      </c>
      <c r="J26" s="278">
        <f>VLOOKUP($A26,'HGR2560'!$B$2:$I$28,8,0)</f>
        <v>2842694.46</v>
      </c>
      <c r="K26" s="278">
        <f>VLOOKUP($A26,'HGR2560'!$B$2:$I$28,4,0)</f>
        <v>-2.11</v>
      </c>
      <c r="L26" s="278">
        <f t="shared" si="0"/>
        <v>-211804.6716</v>
      </c>
      <c r="M26" s="278">
        <f t="shared" si="1"/>
        <v>-803817.96160000004</v>
      </c>
    </row>
    <row r="27" spans="1:13" ht="27.75" x14ac:dyDescent="0.65">
      <c r="A27" s="166" t="s">
        <v>37</v>
      </c>
      <c r="B27" s="40" t="s">
        <v>38</v>
      </c>
      <c r="C27" s="246">
        <v>2584849.6145454547</v>
      </c>
      <c r="D27" s="23">
        <f>SUMIF('1.WS-Re-Exp'!$F$3:$F$439,Planfin2562!A27,'1.WS-Re-Exp'!$C$3:$C$439)</f>
        <v>3047400</v>
      </c>
      <c r="E27" s="277">
        <f t="shared" si="2"/>
        <v>15.178525479246089</v>
      </c>
      <c r="F27" s="40" t="s">
        <v>38</v>
      </c>
      <c r="G27" s="472">
        <v>0</v>
      </c>
      <c r="H27" s="278">
        <f>VLOOKUP($A27,'HGR2560'!$B$2:$I$28,3,0)</f>
        <v>2485969</v>
      </c>
      <c r="I27" s="278">
        <f>VLOOKUP($A27,'HGR2560'!$B$2:$I$28,5,0)</f>
        <v>3363210.27</v>
      </c>
      <c r="J27" s="278">
        <f>VLOOKUP($A27,'HGR2560'!$B$2:$I$28,8,0)</f>
        <v>4914873.4400000004</v>
      </c>
      <c r="K27" s="278">
        <f>VLOOKUP($A27,'HGR2560'!$B$2:$I$28,4,0)</f>
        <v>32.47</v>
      </c>
      <c r="L27" s="278">
        <f t="shared" si="0"/>
        <v>-315810.27</v>
      </c>
      <c r="M27" s="278">
        <f t="shared" si="1"/>
        <v>-1867473.4400000004</v>
      </c>
    </row>
    <row r="28" spans="1:13" ht="27.75" x14ac:dyDescent="0.65">
      <c r="A28" s="166" t="s">
        <v>39</v>
      </c>
      <c r="B28" s="40" t="s">
        <v>40</v>
      </c>
      <c r="C28" s="246">
        <v>7122244.3418181818</v>
      </c>
      <c r="D28" s="23">
        <f>SUMIF('1.WS-Re-Exp'!$F$3:$F$439,Planfin2562!A28,'1.WS-Re-Exp'!$C$3:$C$439)</f>
        <v>6984241.2266666666</v>
      </c>
      <c r="E28" s="277">
        <f t="shared" si="2"/>
        <v>-1.9759213731708303</v>
      </c>
      <c r="F28" s="40" t="s">
        <v>40</v>
      </c>
      <c r="G28" s="472">
        <v>1</v>
      </c>
      <c r="H28" s="278">
        <f>VLOOKUP($A28,'HGR2560'!$B$2:$I$28,3,0)</f>
        <v>5854077</v>
      </c>
      <c r="I28" s="278">
        <f>VLOOKUP($A28,'HGR2560'!$B$2:$I$28,5,0)</f>
        <v>5828834.04</v>
      </c>
      <c r="J28" s="278">
        <f>VLOOKUP($A28,'HGR2560'!$B$2:$I$28,8,0)</f>
        <v>8225171.7599999998</v>
      </c>
      <c r="K28" s="278">
        <f>VLOOKUP($A28,'HGR2560'!$B$2:$I$28,4,0)</f>
        <v>-16.29</v>
      </c>
      <c r="L28" s="278">
        <f t="shared" si="0"/>
        <v>1155407.1866666665</v>
      </c>
      <c r="M28" s="278">
        <f t="shared" si="1"/>
        <v>-1240930.5333333332</v>
      </c>
    </row>
    <row r="29" spans="1:13" ht="27.75" x14ac:dyDescent="0.65">
      <c r="A29" s="166" t="s">
        <v>732</v>
      </c>
      <c r="B29" s="40" t="s">
        <v>733</v>
      </c>
      <c r="C29" s="246">
        <v>1769815.0690909089</v>
      </c>
      <c r="D29" s="23">
        <f>SUMIF('1.WS-Re-Exp'!$F$3:$F$439,Planfin2562!A29,'1.WS-Re-Exp'!$C$3:$C$439)</f>
        <v>900000</v>
      </c>
      <c r="E29" s="277">
        <f t="shared" si="2"/>
        <v>-96.646118787878763</v>
      </c>
      <c r="F29" s="40" t="s">
        <v>733</v>
      </c>
      <c r="G29" s="472">
        <v>1</v>
      </c>
      <c r="H29" s="278">
        <f>VLOOKUP($A29,'HGR2560'!$B$2:$I$28,3,0)</f>
        <v>2710765.86</v>
      </c>
      <c r="I29" s="278">
        <f>VLOOKUP($A29,'HGR2560'!$B$2:$I$28,5,0)</f>
        <v>495692.42</v>
      </c>
      <c r="J29" s="278">
        <f>VLOOKUP($A29,'HGR2560'!$B$2:$I$28,8,0)</f>
        <v>1179764.31</v>
      </c>
      <c r="K29" s="278">
        <f>VLOOKUP($A29,'HGR2560'!$B$2:$I$28,4,0)</f>
        <v>318.31</v>
      </c>
      <c r="L29" s="278">
        <f t="shared" si="0"/>
        <v>404307.58</v>
      </c>
      <c r="M29" s="278">
        <f t="shared" si="1"/>
        <v>-279764.31000000006</v>
      </c>
    </row>
    <row r="30" spans="1:13" ht="27.75" x14ac:dyDescent="0.65">
      <c r="A30" s="166" t="s">
        <v>41</v>
      </c>
      <c r="B30" s="40" t="s">
        <v>42</v>
      </c>
      <c r="C30" s="33">
        <v>6231608.9672727268</v>
      </c>
      <c r="D30" s="23">
        <f>SUMIF('1.WS-Re-Exp'!$F$3:$F$439,Planfin2562!A30,'1.WS-Re-Exp'!$C$3:$C$439)</f>
        <v>5521400</v>
      </c>
      <c r="E30" s="277">
        <f t="shared" si="2"/>
        <v>-12.862842164536653</v>
      </c>
      <c r="F30" s="40" t="s">
        <v>42</v>
      </c>
      <c r="G30" s="472">
        <v>0</v>
      </c>
      <c r="H30" s="278">
        <f>VLOOKUP($A30,'HGR2560'!$B$2:$I$28,3,0)</f>
        <v>4940968.99</v>
      </c>
      <c r="I30" s="278">
        <f>VLOOKUP($A30,'HGR2560'!$B$2:$I$28,5,0)</f>
        <v>8912048.0199999996</v>
      </c>
      <c r="J30" s="278">
        <f>VLOOKUP($A30,'HGR2560'!$B$2:$I$28,8,0)</f>
        <v>14289336.130000001</v>
      </c>
      <c r="K30" s="278">
        <f>VLOOKUP($A30,'HGR2560'!$B$2:$I$28,4,0)</f>
        <v>-23.2</v>
      </c>
      <c r="L30" s="278">
        <f t="shared" si="0"/>
        <v>-3390648.0199999996</v>
      </c>
      <c r="M30" s="278">
        <f t="shared" si="1"/>
        <v>-8767936.1300000008</v>
      </c>
    </row>
    <row r="31" spans="1:13" s="155" customFormat="1" ht="24" x14ac:dyDescent="0.55000000000000004">
      <c r="A31" s="172" t="s">
        <v>695</v>
      </c>
      <c r="B31" s="172" t="s">
        <v>696</v>
      </c>
      <c r="C31" s="173">
        <v>88421840.640000001</v>
      </c>
      <c r="D31" s="173">
        <f>SUM(D17:D30)</f>
        <v>92884752.601733327</v>
      </c>
      <c r="E31" s="468">
        <f t="shared" si="2"/>
        <v>4.8047842479262242</v>
      </c>
      <c r="F31" s="172" t="s">
        <v>696</v>
      </c>
      <c r="G31" s="474">
        <v>0</v>
      </c>
      <c r="H31" s="279">
        <f>VLOOKUP($A31,'HGR2560'!$B$2:$I$28,3,0)</f>
        <v>85307823.989999995</v>
      </c>
      <c r="I31" s="279">
        <f>VLOOKUP($A31,'HGR2560'!$B$2:$I$28,5,0)</f>
        <v>98961885.689999998</v>
      </c>
      <c r="J31" s="279">
        <f>VLOOKUP($A31,'HGR2560'!$B$2:$I$28,8,0)</f>
        <v>121682210.77</v>
      </c>
      <c r="K31" s="279">
        <f>VLOOKUP($A31,'HGR2560'!$B$2:$I$28,4,0)</f>
        <v>6.33</v>
      </c>
      <c r="L31" s="278">
        <f t="shared" si="0"/>
        <v>-6077133.0882666707</v>
      </c>
      <c r="M31" s="278">
        <f t="shared" si="1"/>
        <v>-28797458.168266669</v>
      </c>
    </row>
    <row r="32" spans="1:13" s="155" customFormat="1" ht="27.75" x14ac:dyDescent="0.65">
      <c r="A32" s="171" t="s">
        <v>697</v>
      </c>
      <c r="B32" s="174" t="s">
        <v>698</v>
      </c>
      <c r="C32" s="175">
        <f>C16-C31</f>
        <v>10243869.959999993</v>
      </c>
      <c r="D32" s="175">
        <f>D16-D31</f>
        <v>8906493.982433334</v>
      </c>
      <c r="E32" s="156"/>
      <c r="F32" s="156"/>
      <c r="G32" s="156"/>
      <c r="H32" s="156"/>
    </row>
    <row r="33" spans="1:14" s="155" customFormat="1" ht="31.5" thickBot="1" x14ac:dyDescent="0.75">
      <c r="A33" s="176" t="s">
        <v>727</v>
      </c>
      <c r="B33" s="177" t="s">
        <v>728</v>
      </c>
      <c r="C33" s="178" t="str">
        <f>IF(D33&gt;0,"เกินดุล",IF(D33=0,"สมดุล","ขาดดุล"))</f>
        <v>เกินดุล</v>
      </c>
      <c r="D33" s="247">
        <f>D32-D15+D28</f>
        <v>12333975.939100001</v>
      </c>
      <c r="E33" s="156"/>
      <c r="F33" s="156"/>
      <c r="G33" s="156"/>
      <c r="H33" s="156"/>
      <c r="L33" s="31" t="s">
        <v>1320</v>
      </c>
    </row>
    <row r="34" spans="1:14" s="155" customFormat="1" ht="31.5" thickBot="1" x14ac:dyDescent="0.75">
      <c r="A34" s="179"/>
      <c r="B34" s="180"/>
      <c r="C34" s="181"/>
      <c r="D34" s="456"/>
      <c r="F34" s="478" t="s">
        <v>1514</v>
      </c>
      <c r="G34" s="475"/>
      <c r="H34" s="457">
        <f>D33*20/100</f>
        <v>2466795.1878200001</v>
      </c>
      <c r="L34" s="288"/>
      <c r="M34" s="524" t="s">
        <v>1321</v>
      </c>
      <c r="N34" s="524"/>
    </row>
    <row r="35" spans="1:14" ht="28.5" thickBot="1" x14ac:dyDescent="0.7">
      <c r="A35" s="182"/>
      <c r="B35" s="183" t="s">
        <v>699</v>
      </c>
      <c r="C35" s="184"/>
      <c r="D35" s="145"/>
      <c r="F35" s="479" t="s">
        <v>1515</v>
      </c>
      <c r="G35" s="476"/>
      <c r="H35" s="477">
        <f>D86</f>
        <v>5145250</v>
      </c>
      <c r="L35" s="289"/>
      <c r="M35" s="524" t="s">
        <v>1345</v>
      </c>
      <c r="N35" s="524"/>
    </row>
    <row r="36" spans="1:14" ht="24" x14ac:dyDescent="0.55000000000000004">
      <c r="A36" s="188" t="s">
        <v>736</v>
      </c>
      <c r="B36" s="185" t="s">
        <v>726</v>
      </c>
      <c r="C36" s="186">
        <f>C32-C15+C28</f>
        <v>14049144.087272722</v>
      </c>
      <c r="D36" s="145">
        <f>D33</f>
        <v>12333975.939100001</v>
      </c>
      <c r="E36" s="145"/>
      <c r="F36" s="145"/>
      <c r="G36" s="145"/>
      <c r="J36" s="30"/>
      <c r="K36" s="30"/>
    </row>
    <row r="37" spans="1:14" ht="24" x14ac:dyDescent="0.55000000000000004">
      <c r="A37" s="188"/>
      <c r="B37" s="187" t="s">
        <v>811</v>
      </c>
      <c r="C37" s="189" t="str">
        <f>IF(D37&gt;=0,"ไม่เกิน","เกิน")</f>
        <v>เกิน</v>
      </c>
      <c r="D37" s="145">
        <f>IF(D36&lt;0,0-D86,((D36*20%)-D86))</f>
        <v>-2678454.8121799999</v>
      </c>
      <c r="E37" s="145"/>
      <c r="F37" s="145"/>
      <c r="G37" s="145"/>
      <c r="J37" s="157"/>
      <c r="K37" s="157"/>
    </row>
    <row r="38" spans="1:14" ht="24" x14ac:dyDescent="0.55000000000000004">
      <c r="A38" s="495" t="s">
        <v>43</v>
      </c>
      <c r="B38" s="496" t="s">
        <v>986</v>
      </c>
      <c r="C38" s="497">
        <v>29038602.861818179</v>
      </c>
      <c r="D38" s="145"/>
      <c r="E38" s="158"/>
      <c r="F38" s="158"/>
      <c r="G38" s="158"/>
    </row>
    <row r="39" spans="1:14" ht="24" x14ac:dyDescent="0.55000000000000004">
      <c r="A39" s="495" t="s">
        <v>44</v>
      </c>
      <c r="B39" s="498" t="s">
        <v>987</v>
      </c>
      <c r="C39" s="499">
        <v>29258575.101818182</v>
      </c>
      <c r="D39" s="145"/>
      <c r="E39" s="158"/>
      <c r="F39" s="158"/>
      <c r="G39" s="158"/>
    </row>
    <row r="40" spans="1:14" ht="24" x14ac:dyDescent="0.55000000000000004">
      <c r="A40" s="495" t="s">
        <v>700</v>
      </c>
      <c r="B40" s="498" t="s">
        <v>988</v>
      </c>
      <c r="C40" s="499">
        <v>-14989890.021818183</v>
      </c>
      <c r="D40" s="145"/>
      <c r="E40" s="158"/>
      <c r="F40" s="158"/>
      <c r="G40" s="158"/>
    </row>
    <row r="41" spans="1:14" ht="27.75" x14ac:dyDescent="0.65">
      <c r="A41" s="167"/>
      <c r="B41" s="25"/>
      <c r="C41" s="158"/>
      <c r="D41" s="28"/>
      <c r="E41" s="158"/>
      <c r="F41" s="158"/>
      <c r="G41" s="158"/>
    </row>
    <row r="42" spans="1:14" ht="26.25" customHeight="1" x14ac:dyDescent="0.4">
      <c r="A42" s="526" t="s">
        <v>701</v>
      </c>
      <c r="B42" s="526"/>
      <c r="C42" s="527"/>
      <c r="D42" s="198" t="s">
        <v>1389</v>
      </c>
      <c r="E42" s="160"/>
      <c r="F42" s="160"/>
      <c r="G42" s="160"/>
    </row>
    <row r="43" spans="1:14" ht="27.75" x14ac:dyDescent="0.65">
      <c r="A43" s="146"/>
      <c r="B43" s="528" t="s">
        <v>702</v>
      </c>
      <c r="C43" s="528"/>
      <c r="D43" s="190">
        <f>SUM('2.WS-ยา วชภฯ'!J3)</f>
        <v>9260589.4199999999</v>
      </c>
      <c r="E43" s="144"/>
      <c r="F43" s="144"/>
      <c r="G43" s="144"/>
    </row>
    <row r="44" spans="1:14" ht="27.75" x14ac:dyDescent="0.65">
      <c r="A44" s="146"/>
      <c r="B44" s="529" t="s">
        <v>703</v>
      </c>
      <c r="C44" s="529"/>
      <c r="D44" s="190">
        <f>SUM('2.WS-ยา วชภฯ'!J4)</f>
        <v>4638217.9405000005</v>
      </c>
      <c r="E44" s="144"/>
      <c r="F44" s="144"/>
      <c r="G44" s="144"/>
    </row>
    <row r="45" spans="1:14" ht="26.25" customHeight="1" x14ac:dyDescent="0.65">
      <c r="A45" s="146"/>
      <c r="B45" s="529" t="s">
        <v>704</v>
      </c>
      <c r="C45" s="529"/>
      <c r="D45" s="190">
        <f>SUM('2.WS-ยา วชภฯ'!J5)</f>
        <v>1066488.8999999999</v>
      </c>
      <c r="E45" s="144"/>
      <c r="F45" s="144"/>
      <c r="G45" s="144"/>
    </row>
    <row r="46" spans="1:14" ht="26.25" customHeight="1" x14ac:dyDescent="0.65">
      <c r="A46" s="146"/>
      <c r="B46" s="530" t="s">
        <v>666</v>
      </c>
      <c r="C46" s="531"/>
      <c r="D46" s="408">
        <f>SUM(D43:D45)</f>
        <v>14965296.260500001</v>
      </c>
      <c r="E46" s="144"/>
      <c r="F46" s="144"/>
      <c r="G46" s="144"/>
    </row>
    <row r="47" spans="1:14" ht="15.75" customHeight="1" x14ac:dyDescent="0.65">
      <c r="A47" s="146"/>
      <c r="B47" s="144"/>
      <c r="C47" s="144"/>
      <c r="D47" s="27"/>
      <c r="E47" s="144"/>
      <c r="F47" s="144"/>
      <c r="G47" s="144"/>
    </row>
    <row r="48" spans="1:14" ht="21" customHeight="1" x14ac:dyDescent="0.4">
      <c r="A48" s="191" t="s">
        <v>741</v>
      </c>
      <c r="B48" s="192"/>
      <c r="C48" s="191"/>
      <c r="D48" s="198" t="s">
        <v>1389</v>
      </c>
      <c r="E48" s="160"/>
      <c r="F48" s="160"/>
      <c r="G48" s="160"/>
    </row>
    <row r="49" spans="1:9" ht="27.75" x14ac:dyDescent="0.65">
      <c r="A49" s="146"/>
      <c r="B49" s="525" t="s">
        <v>624</v>
      </c>
      <c r="C49" s="525"/>
      <c r="D49" s="170">
        <f>SUM('3.WS-วัสดุอื่น'!G3)</f>
        <v>1004098.2</v>
      </c>
      <c r="E49" s="144"/>
      <c r="F49" s="144"/>
      <c r="G49" s="144"/>
    </row>
    <row r="50" spans="1:9" ht="27.75" x14ac:dyDescent="0.65">
      <c r="A50" s="146"/>
      <c r="B50" s="525" t="s">
        <v>625</v>
      </c>
      <c r="C50" s="525"/>
      <c r="D50" s="170">
        <f>SUM('3.WS-วัสดุอื่น'!G4)</f>
        <v>0</v>
      </c>
      <c r="E50" s="144"/>
      <c r="F50" s="144"/>
      <c r="G50" s="144"/>
    </row>
    <row r="51" spans="1:9" ht="27.75" x14ac:dyDescent="0.65">
      <c r="A51" s="146"/>
      <c r="B51" s="525" t="s">
        <v>626</v>
      </c>
      <c r="C51" s="525"/>
      <c r="D51" s="170">
        <f>SUM('3.WS-วัสดุอื่น'!G5)</f>
        <v>632690</v>
      </c>
      <c r="E51" s="144"/>
      <c r="F51" s="144"/>
      <c r="G51" s="144"/>
      <c r="H51" s="161"/>
      <c r="I51" s="161"/>
    </row>
    <row r="52" spans="1:9" ht="27.75" x14ac:dyDescent="0.65">
      <c r="A52" s="146"/>
      <c r="B52" s="525" t="s">
        <v>627</v>
      </c>
      <c r="C52" s="525"/>
      <c r="D52" s="170">
        <f>SUM('3.WS-วัสดุอื่น'!G6)</f>
        <v>19950</v>
      </c>
      <c r="H52" s="161"/>
      <c r="I52" s="161"/>
    </row>
    <row r="53" spans="1:9" ht="27.75" x14ac:dyDescent="0.65">
      <c r="A53" s="146"/>
      <c r="B53" s="525" t="s">
        <v>628</v>
      </c>
      <c r="C53" s="525"/>
      <c r="D53" s="170">
        <f>SUM('3.WS-วัสดุอื่น'!G7)</f>
        <v>0</v>
      </c>
      <c r="H53" s="161"/>
      <c r="I53" s="161"/>
    </row>
    <row r="54" spans="1:9" ht="27.75" x14ac:dyDescent="0.65">
      <c r="A54" s="146"/>
      <c r="B54" s="525" t="s">
        <v>629</v>
      </c>
      <c r="C54" s="525"/>
      <c r="D54" s="170">
        <f>SUM('3.WS-วัสดุอื่น'!G8)</f>
        <v>537270</v>
      </c>
      <c r="H54" s="161"/>
      <c r="I54" s="161"/>
    </row>
    <row r="55" spans="1:9" ht="27.75" x14ac:dyDescent="0.65">
      <c r="A55" s="146"/>
      <c r="B55" s="525" t="s">
        <v>630</v>
      </c>
      <c r="C55" s="525"/>
      <c r="D55" s="170">
        <f>SUM('3.WS-วัสดุอื่น'!G9)</f>
        <v>1034361</v>
      </c>
      <c r="H55" s="161"/>
      <c r="I55" s="161"/>
    </row>
    <row r="56" spans="1:9" ht="27.75" x14ac:dyDescent="0.65">
      <c r="A56" s="146"/>
      <c r="B56" s="525" t="s">
        <v>631</v>
      </c>
      <c r="C56" s="525"/>
      <c r="D56" s="170">
        <f>SUM('3.WS-วัสดุอื่น'!G10)</f>
        <v>794420</v>
      </c>
      <c r="H56" s="161"/>
      <c r="I56" s="161"/>
    </row>
    <row r="57" spans="1:9" ht="27.75" x14ac:dyDescent="0.65">
      <c r="A57" s="146"/>
      <c r="B57" s="525" t="s">
        <v>632</v>
      </c>
      <c r="C57" s="525"/>
      <c r="D57" s="170">
        <f>SUM('3.WS-วัสดุอื่น'!G11)</f>
        <v>174000</v>
      </c>
      <c r="H57" s="161"/>
      <c r="I57" s="161"/>
    </row>
    <row r="58" spans="1:9" ht="27.75" x14ac:dyDescent="0.65">
      <c r="A58" s="146"/>
      <c r="B58" s="525" t="s">
        <v>633</v>
      </c>
      <c r="C58" s="525"/>
      <c r="D58" s="170">
        <f>SUM('3.WS-วัสดุอื่น'!G12)</f>
        <v>756649.5</v>
      </c>
      <c r="H58" s="161"/>
      <c r="I58" s="161"/>
    </row>
    <row r="59" spans="1:9" ht="27.75" x14ac:dyDescent="0.65">
      <c r="A59" s="146"/>
      <c r="B59" s="525" t="s">
        <v>634</v>
      </c>
      <c r="C59" s="525"/>
      <c r="D59" s="170">
        <f>SUM('3.WS-วัสดุอื่น'!G13)</f>
        <v>76495</v>
      </c>
      <c r="H59" s="161"/>
      <c r="I59" s="161"/>
    </row>
    <row r="60" spans="1:9" ht="27.75" x14ac:dyDescent="0.65">
      <c r="A60" s="146"/>
      <c r="B60" s="534" t="s">
        <v>666</v>
      </c>
      <c r="C60" s="534"/>
      <c r="D60" s="408">
        <f>SUM(D49:D59)</f>
        <v>5029933.7</v>
      </c>
      <c r="H60" s="161"/>
      <c r="I60" s="161"/>
    </row>
    <row r="61" spans="1:9" ht="15.75" customHeight="1" x14ac:dyDescent="0.65">
      <c r="A61" s="146"/>
      <c r="B61" s="162"/>
      <c r="C61" s="144"/>
      <c r="D61" s="28"/>
      <c r="E61" s="25"/>
      <c r="F61" s="25"/>
      <c r="G61" s="25"/>
      <c r="H61" s="161"/>
      <c r="I61" s="161"/>
    </row>
    <row r="62" spans="1:9" ht="28.5" customHeight="1" x14ac:dyDescent="0.4">
      <c r="A62" s="537" t="s">
        <v>750</v>
      </c>
      <c r="B62" s="537"/>
      <c r="C62" s="537"/>
      <c r="D62" s="537"/>
      <c r="E62" s="160"/>
      <c r="F62" s="160"/>
      <c r="G62" s="160"/>
      <c r="H62" s="161"/>
      <c r="I62" s="161"/>
    </row>
    <row r="63" spans="1:9" ht="27.75" x14ac:dyDescent="0.65">
      <c r="A63" s="146"/>
      <c r="B63" s="532" t="s">
        <v>1390</v>
      </c>
      <c r="C63" s="533"/>
      <c r="D63" s="198" t="s">
        <v>705</v>
      </c>
      <c r="E63" s="163"/>
      <c r="F63" s="163"/>
      <c r="G63" s="163"/>
      <c r="H63" s="161"/>
      <c r="I63" s="161"/>
    </row>
    <row r="64" spans="1:9" ht="27.75" x14ac:dyDescent="0.65">
      <c r="A64" s="146"/>
      <c r="B64" s="535" t="s">
        <v>706</v>
      </c>
      <c r="C64" s="535"/>
      <c r="D64" s="170">
        <f>SUM('4.WS-แผน จน.'!E4)</f>
        <v>9364218.9700000007</v>
      </c>
      <c r="E64" s="25"/>
      <c r="F64" s="25"/>
      <c r="G64" s="25"/>
      <c r="H64" s="161"/>
      <c r="I64" s="161"/>
    </row>
    <row r="65" spans="1:11" ht="27.75" x14ac:dyDescent="0.65">
      <c r="A65" s="146"/>
      <c r="B65" s="535" t="s">
        <v>707</v>
      </c>
      <c r="C65" s="535"/>
      <c r="D65" s="170">
        <f>SUM('4.WS-แผน จน.'!E5)</f>
        <v>4445073.68</v>
      </c>
      <c r="E65" s="25"/>
      <c r="F65" s="25"/>
      <c r="G65" s="25"/>
      <c r="H65" s="161"/>
      <c r="I65" s="161"/>
    </row>
    <row r="66" spans="1:11" ht="27.75" x14ac:dyDescent="0.65">
      <c r="A66" s="146"/>
      <c r="B66" s="535" t="s">
        <v>708</v>
      </c>
      <c r="C66" s="535"/>
      <c r="D66" s="170">
        <f>SUM('4.WS-แผน จน.'!E6)</f>
        <v>1621207.75</v>
      </c>
      <c r="E66" s="25"/>
      <c r="F66" s="25"/>
      <c r="G66" s="25"/>
      <c r="H66" s="161"/>
      <c r="I66" s="161"/>
    </row>
    <row r="67" spans="1:11" ht="27.75" x14ac:dyDescent="0.65">
      <c r="A67" s="146"/>
      <c r="B67" s="535" t="s">
        <v>709</v>
      </c>
      <c r="C67" s="535"/>
      <c r="D67" s="170">
        <f>SUM('4.WS-แผน จน.'!E7)</f>
        <v>4173161.38</v>
      </c>
      <c r="E67" s="25"/>
      <c r="F67" s="25"/>
      <c r="G67" s="25"/>
      <c r="H67" s="161"/>
      <c r="I67" s="161"/>
    </row>
    <row r="68" spans="1:11" ht="27.75" x14ac:dyDescent="0.65">
      <c r="A68" s="146"/>
      <c r="B68" s="535" t="s">
        <v>710</v>
      </c>
      <c r="C68" s="535"/>
      <c r="D68" s="170">
        <f>SUM('4.WS-แผน จน.'!E13)</f>
        <v>27036835</v>
      </c>
      <c r="E68" s="25"/>
      <c r="F68" s="25"/>
      <c r="G68" s="25"/>
      <c r="H68" s="161"/>
      <c r="I68" s="161"/>
    </row>
    <row r="69" spans="1:11" ht="27.75" x14ac:dyDescent="0.65">
      <c r="A69" s="146"/>
      <c r="B69" s="535" t="s">
        <v>711</v>
      </c>
      <c r="C69" s="535"/>
      <c r="D69" s="170">
        <f>SUM('4.WS-แผน จน.'!E14)</f>
        <v>4287708.333333333</v>
      </c>
      <c r="E69" s="25"/>
      <c r="F69" s="25"/>
      <c r="G69" s="25"/>
      <c r="H69" s="161"/>
      <c r="I69" s="161"/>
    </row>
    <row r="70" spans="1:11" ht="27.75" x14ac:dyDescent="0.65">
      <c r="A70" s="146"/>
      <c r="B70" s="535" t="s">
        <v>803</v>
      </c>
      <c r="C70" s="535"/>
      <c r="D70" s="170">
        <f>SUM('4.WS-แผน จน.'!E15)</f>
        <v>4508761.8166666664</v>
      </c>
      <c r="E70" s="25"/>
      <c r="F70" s="25"/>
      <c r="G70" s="25"/>
      <c r="H70" s="161"/>
      <c r="I70" s="161"/>
      <c r="J70" s="157"/>
      <c r="K70" s="157"/>
    </row>
    <row r="71" spans="1:11" ht="27.75" x14ac:dyDescent="0.65">
      <c r="A71" s="146"/>
      <c r="B71" s="535" t="s">
        <v>712</v>
      </c>
      <c r="C71" s="535"/>
      <c r="D71" s="170">
        <f>SUM('4.WS-แผน จน.'!E16)</f>
        <v>4799506.4800000004</v>
      </c>
      <c r="E71" s="25"/>
      <c r="F71" s="25"/>
      <c r="G71" s="25"/>
      <c r="H71" s="161"/>
      <c r="I71" s="161"/>
    </row>
    <row r="72" spans="1:11" ht="27.75" x14ac:dyDescent="0.65">
      <c r="A72" s="146"/>
      <c r="B72" s="534" t="s">
        <v>666</v>
      </c>
      <c r="C72" s="534"/>
      <c r="D72" s="408">
        <f>SUM(D64:D71)</f>
        <v>60236473.410000011</v>
      </c>
      <c r="E72" s="25"/>
      <c r="F72" s="25"/>
      <c r="G72" s="25"/>
      <c r="H72" s="161"/>
      <c r="I72" s="161"/>
    </row>
    <row r="73" spans="1:11" ht="12.75" customHeight="1" x14ac:dyDescent="0.65">
      <c r="A73" s="146"/>
      <c r="B73" s="25"/>
      <c r="C73" s="144"/>
      <c r="D73" s="28"/>
      <c r="E73" s="25"/>
      <c r="F73" s="25"/>
      <c r="G73" s="25"/>
      <c r="H73" s="161"/>
      <c r="I73" s="161"/>
    </row>
    <row r="74" spans="1:11" ht="24.75" customHeight="1" x14ac:dyDescent="0.55000000000000004">
      <c r="A74" s="164" t="s">
        <v>751</v>
      </c>
      <c r="C74" s="164"/>
      <c r="D74" s="153"/>
      <c r="E74" s="164"/>
      <c r="F74" s="164"/>
      <c r="G74" s="164"/>
      <c r="H74" s="161"/>
      <c r="I74" s="161"/>
    </row>
    <row r="75" spans="1:11" ht="27" customHeight="1" x14ac:dyDescent="0.65">
      <c r="A75" s="146"/>
      <c r="B75" s="538" t="s">
        <v>1391</v>
      </c>
      <c r="C75" s="538"/>
      <c r="D75" s="216" t="s">
        <v>705</v>
      </c>
      <c r="E75" s="25"/>
      <c r="F75" s="25"/>
      <c r="G75" s="25"/>
      <c r="H75" s="161"/>
      <c r="I75" s="161"/>
    </row>
    <row r="76" spans="1:11" ht="23.25" customHeight="1" x14ac:dyDescent="0.65">
      <c r="A76" s="146"/>
      <c r="B76" s="536" t="s">
        <v>713</v>
      </c>
      <c r="C76" s="536"/>
      <c r="D76" s="170">
        <f>SUM('5.WS-แผน ลน.'!E4)</f>
        <v>9152224.5733333342</v>
      </c>
      <c r="E76" s="25"/>
      <c r="F76" s="25"/>
      <c r="G76" s="25"/>
    </row>
    <row r="77" spans="1:11" ht="27" customHeight="1" x14ac:dyDescent="0.65">
      <c r="A77" s="146"/>
      <c r="B77" s="536" t="s">
        <v>714</v>
      </c>
      <c r="C77" s="536"/>
      <c r="D77" s="170">
        <f>SUM('5.WS-แผน ลน.'!E5)</f>
        <v>1674822.6</v>
      </c>
      <c r="E77" s="25"/>
      <c r="F77" s="25"/>
      <c r="G77" s="25"/>
    </row>
    <row r="78" spans="1:11" ht="26.25" customHeight="1" x14ac:dyDescent="0.65">
      <c r="A78" s="146"/>
      <c r="B78" s="536" t="s">
        <v>715</v>
      </c>
      <c r="C78" s="536"/>
      <c r="D78" s="170">
        <f>SUM('5.WS-แผน ลน.'!E6)</f>
        <v>4974438.3724999996</v>
      </c>
      <c r="E78" s="25"/>
      <c r="F78" s="25"/>
      <c r="G78" s="25"/>
    </row>
    <row r="79" spans="1:11" ht="25.5" customHeight="1" x14ac:dyDescent="0.65">
      <c r="A79" s="146"/>
      <c r="B79" s="536" t="s">
        <v>716</v>
      </c>
      <c r="C79" s="536"/>
      <c r="D79" s="170">
        <f>SUM('5.WS-แผน ลน.'!E7)</f>
        <v>276939</v>
      </c>
      <c r="E79" s="25"/>
      <c r="F79" s="25"/>
      <c r="G79" s="25"/>
    </row>
    <row r="80" spans="1:11" ht="25.5" customHeight="1" x14ac:dyDescent="0.65">
      <c r="A80" s="146"/>
      <c r="B80" s="536" t="s">
        <v>717</v>
      </c>
      <c r="C80" s="536"/>
      <c r="D80" s="170">
        <f>SUM('5.WS-แผน ลน.'!E8)</f>
        <v>124891.66666666666</v>
      </c>
      <c r="E80" s="25"/>
      <c r="F80" s="25"/>
      <c r="G80" s="25"/>
    </row>
    <row r="81" spans="1:14" ht="25.5" customHeight="1" x14ac:dyDescent="0.65">
      <c r="A81" s="146"/>
      <c r="B81" s="536" t="s">
        <v>718</v>
      </c>
      <c r="C81" s="536"/>
      <c r="D81" s="170">
        <f>SUM('5.WS-แผน ลน.'!E9)</f>
        <v>441411.66083333339</v>
      </c>
      <c r="E81" s="25"/>
      <c r="F81" s="25"/>
      <c r="G81" s="25"/>
    </row>
    <row r="82" spans="1:14" ht="24.75" customHeight="1" x14ac:dyDescent="0.65">
      <c r="A82" s="146"/>
      <c r="B82" s="536" t="s">
        <v>719</v>
      </c>
      <c r="C82" s="536"/>
      <c r="D82" s="170">
        <f>SUM('5.WS-แผน ลน.'!E10)</f>
        <v>6387115.54</v>
      </c>
      <c r="E82" s="144"/>
      <c r="F82" s="144"/>
      <c r="G82" s="144"/>
    </row>
    <row r="83" spans="1:14" ht="23.25" customHeight="1" x14ac:dyDescent="0.65">
      <c r="A83" s="146"/>
      <c r="B83" s="534" t="s">
        <v>666</v>
      </c>
      <c r="C83" s="534"/>
      <c r="D83" s="408">
        <f>SUM(D76:D82)</f>
        <v>23031843.413333334</v>
      </c>
      <c r="E83" s="25"/>
      <c r="F83" s="25"/>
      <c r="G83" s="25"/>
      <c r="H83" s="161"/>
      <c r="I83" s="161"/>
    </row>
    <row r="84" spans="1:14" ht="27" customHeight="1" x14ac:dyDescent="0.65">
      <c r="A84" s="146"/>
      <c r="B84" s="25"/>
      <c r="C84" s="144"/>
      <c r="D84" s="28"/>
      <c r="E84" s="144"/>
      <c r="F84" s="144"/>
      <c r="G84" s="144"/>
    </row>
    <row r="85" spans="1:14" ht="23.25" customHeight="1" x14ac:dyDescent="0.55000000000000004">
      <c r="A85" s="164" t="s">
        <v>752</v>
      </c>
      <c r="C85" s="164"/>
      <c r="D85" s="221" t="s">
        <v>705</v>
      </c>
      <c r="E85" s="164"/>
      <c r="F85" s="164"/>
      <c r="G85" s="164"/>
    </row>
    <row r="86" spans="1:14" ht="27.75" x14ac:dyDescent="0.65">
      <c r="A86" s="167"/>
      <c r="B86" s="536" t="s">
        <v>1392</v>
      </c>
      <c r="C86" s="536"/>
      <c r="D86" s="197">
        <f>SUM('6.WS-แผนลงทุน'!G4)</f>
        <v>5145250</v>
      </c>
      <c r="E86" s="158"/>
      <c r="F86" s="158"/>
      <c r="G86" s="158"/>
    </row>
    <row r="87" spans="1:14" ht="27.75" x14ac:dyDescent="0.65">
      <c r="A87" s="167"/>
      <c r="B87" s="536" t="s">
        <v>1393</v>
      </c>
      <c r="C87" s="536"/>
      <c r="D87" s="197">
        <f>SUM('6.WS-แผนลงทุน'!G5)</f>
        <v>3556759.27</v>
      </c>
      <c r="E87" s="158"/>
      <c r="F87" s="158"/>
      <c r="G87" s="158"/>
      <c r="J87" s="161"/>
      <c r="K87" s="161"/>
      <c r="L87" s="161"/>
      <c r="M87" s="161"/>
      <c r="N87" s="161"/>
    </row>
    <row r="88" spans="1:14" ht="27.75" x14ac:dyDescent="0.65">
      <c r="A88" s="167"/>
      <c r="B88" s="536" t="s">
        <v>1394</v>
      </c>
      <c r="C88" s="536"/>
      <c r="D88" s="197">
        <f>SUM('6.WS-แผนลงทุน'!G6)</f>
        <v>0</v>
      </c>
      <c r="E88" s="158"/>
      <c r="F88" s="158"/>
      <c r="G88" s="158"/>
      <c r="J88" s="161"/>
      <c r="K88" s="161"/>
      <c r="L88" s="161"/>
      <c r="M88" s="161"/>
      <c r="N88" s="161"/>
    </row>
    <row r="89" spans="1:14" ht="25.5" customHeight="1" x14ac:dyDescent="0.65">
      <c r="A89" s="146"/>
      <c r="B89" s="534" t="s">
        <v>666</v>
      </c>
      <c r="C89" s="534"/>
      <c r="D89" s="408">
        <f>SUM(D86:D88)</f>
        <v>8702009.2699999996</v>
      </c>
      <c r="E89" s="144"/>
      <c r="F89" s="144"/>
      <c r="G89" s="144"/>
      <c r="J89" s="161"/>
      <c r="K89" s="161"/>
      <c r="L89" s="161"/>
      <c r="M89" s="161"/>
      <c r="N89" s="161"/>
    </row>
    <row r="90" spans="1:14" ht="21.75" customHeight="1" x14ac:dyDescent="0.65">
      <c r="A90" s="146"/>
      <c r="B90" s="144"/>
      <c r="C90" s="144"/>
      <c r="D90" s="27"/>
      <c r="E90" s="144"/>
      <c r="F90" s="144"/>
      <c r="G90" s="144"/>
      <c r="J90" s="161"/>
      <c r="K90" s="161"/>
      <c r="L90" s="161"/>
      <c r="M90" s="161"/>
      <c r="N90" s="161"/>
    </row>
    <row r="91" spans="1:14" ht="23.25" customHeight="1" x14ac:dyDescent="0.65">
      <c r="A91" s="146"/>
      <c r="B91" s="164" t="s">
        <v>753</v>
      </c>
      <c r="C91" s="164"/>
      <c r="D91" s="193" t="s">
        <v>705</v>
      </c>
      <c r="E91" s="164"/>
      <c r="F91" s="164"/>
      <c r="G91" s="164"/>
    </row>
    <row r="92" spans="1:14" ht="27.75" x14ac:dyDescent="0.65">
      <c r="A92" s="167"/>
      <c r="B92" s="529" t="s">
        <v>790</v>
      </c>
      <c r="C92" s="529"/>
      <c r="D92" s="23">
        <f>SUM('7.WS-แผน รพ.สต.'!C18)</f>
        <v>4620000</v>
      </c>
      <c r="E92" s="25"/>
      <c r="F92" s="25"/>
      <c r="G92" s="25"/>
    </row>
    <row r="93" spans="1:14" ht="27.75" x14ac:dyDescent="0.65">
      <c r="A93" s="167"/>
      <c r="B93" s="536" t="s">
        <v>787</v>
      </c>
      <c r="C93" s="536"/>
      <c r="D93" s="23">
        <f>SUM('7.WS-แผน รพ.สต.'!D18)</f>
        <v>10751819</v>
      </c>
      <c r="E93" s="25"/>
      <c r="F93" s="25"/>
      <c r="G93" s="25"/>
    </row>
    <row r="94" spans="1:14" ht="27.75" x14ac:dyDescent="0.65">
      <c r="A94" s="167"/>
      <c r="B94" s="539" t="s">
        <v>785</v>
      </c>
      <c r="C94" s="539"/>
      <c r="D94" s="23">
        <f>SUM('7.WS-แผน รพ.สต.'!E18)</f>
        <v>3105519.4237000002</v>
      </c>
      <c r="E94" s="25"/>
      <c r="F94" s="25"/>
      <c r="G94" s="25"/>
    </row>
    <row r="95" spans="1:14" ht="24" x14ac:dyDescent="0.4">
      <c r="B95" s="539" t="s">
        <v>786</v>
      </c>
      <c r="C95" s="539"/>
      <c r="D95" s="95">
        <f>SUM('7.WS-แผน รพ.สต.'!F18)</f>
        <v>0</v>
      </c>
    </row>
    <row r="96" spans="1:14" ht="24" x14ac:dyDescent="0.55000000000000004">
      <c r="B96" s="534" t="s">
        <v>666</v>
      </c>
      <c r="C96" s="534"/>
      <c r="D96" s="408">
        <f>SUM(D92:D95)</f>
        <v>18477338.423700001</v>
      </c>
    </row>
  </sheetData>
  <mergeCells count="49">
    <mergeCell ref="B80:C80"/>
    <mergeCell ref="B68:C68"/>
    <mergeCell ref="B69:C69"/>
    <mergeCell ref="B96:C96"/>
    <mergeCell ref="B81:C81"/>
    <mergeCell ref="B82:C82"/>
    <mergeCell ref="B83:C83"/>
    <mergeCell ref="B86:C86"/>
    <mergeCell ref="B87:C87"/>
    <mergeCell ref="B88:C88"/>
    <mergeCell ref="B89:C89"/>
    <mergeCell ref="B92:C92"/>
    <mergeCell ref="B93:C93"/>
    <mergeCell ref="B94:C94"/>
    <mergeCell ref="B95:C95"/>
    <mergeCell ref="B77:C77"/>
    <mergeCell ref="B78:C78"/>
    <mergeCell ref="B79:C79"/>
    <mergeCell ref="B67:C67"/>
    <mergeCell ref="A62:D62"/>
    <mergeCell ref="B66:C66"/>
    <mergeCell ref="B70:C70"/>
    <mergeCell ref="B71:C71"/>
    <mergeCell ref="B72:C72"/>
    <mergeCell ref="B75:C75"/>
    <mergeCell ref="B76:C76"/>
    <mergeCell ref="B54:C54"/>
    <mergeCell ref="B55:C55"/>
    <mergeCell ref="B56:C56"/>
    <mergeCell ref="B57:C57"/>
    <mergeCell ref="B58:C58"/>
    <mergeCell ref="B59:C59"/>
    <mergeCell ref="B63:C63"/>
    <mergeCell ref="B60:C60"/>
    <mergeCell ref="B64:C64"/>
    <mergeCell ref="B65:C65"/>
    <mergeCell ref="H3:M3"/>
    <mergeCell ref="M34:N34"/>
    <mergeCell ref="M35:N35"/>
    <mergeCell ref="B53:C53"/>
    <mergeCell ref="A42:C42"/>
    <mergeCell ref="B43:C43"/>
    <mergeCell ref="B44:C44"/>
    <mergeCell ref="B45:C45"/>
    <mergeCell ref="B46:C46"/>
    <mergeCell ref="B49:C49"/>
    <mergeCell ref="B50:C50"/>
    <mergeCell ref="B51:C51"/>
    <mergeCell ref="B52:C52"/>
  </mergeCells>
  <conditionalFormatting sqref="C33">
    <cfRule type="containsText" dxfId="19" priority="5" operator="containsText" text="สมดุล">
      <formula>NOT(ISERROR(SEARCH("สมดุล",C33)))</formula>
    </cfRule>
    <cfRule type="containsText" dxfId="18" priority="6" operator="containsText" text="ขาดดุล">
      <formula>NOT(ISERROR(SEARCH("ขาดดุล",C33)))</formula>
    </cfRule>
    <cfRule type="containsText" dxfId="17" priority="7" operator="containsText" text="เกินดุล">
      <formula>NOT(ISERROR(SEARCH("เกินดุล",C33)))</formula>
    </cfRule>
  </conditionalFormatting>
  <conditionalFormatting sqref="L5:L31">
    <cfRule type="cellIs" dxfId="16" priority="3" operator="greaterThan">
      <formula>0</formula>
    </cfRule>
    <cfRule type="cellIs" dxfId="15" priority="4" operator="lessThan">
      <formula>0</formula>
    </cfRule>
  </conditionalFormatting>
  <conditionalFormatting sqref="L5:M31">
    <cfRule type="cellIs" dxfId="14" priority="1" operator="greaterThan">
      <formula>0</formula>
    </cfRule>
    <cfRule type="cellIs" dxfId="13" priority="2" operator="lessThan">
      <formula>0</formula>
    </cfRule>
  </conditionalFormatting>
  <pageMargins left="0.33" right="0.39370078740157483" top="0.27559055118110237" bottom="0.4" header="0.31496062992125984" footer="0.2"/>
  <pageSetup paperSize="9" scale="70" orientation="portrait" r:id="rId1"/>
  <headerFooter>
    <oddFooter>&amp;L
Planfin60&amp;R
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C1:K56"/>
  <sheetViews>
    <sheetView zoomScale="90" zoomScaleNormal="90" workbookViewId="0">
      <selection activeCell="J10" sqref="J10"/>
    </sheetView>
  </sheetViews>
  <sheetFormatPr defaultColWidth="9" defaultRowHeight="24" x14ac:dyDescent="0.55000000000000004"/>
  <cols>
    <col min="1" max="1" width="2.125" style="1" customWidth="1"/>
    <col min="2" max="2" width="3.125" style="1" customWidth="1"/>
    <col min="3" max="3" width="10.875" style="3" customWidth="1"/>
    <col min="4" max="4" width="55.625" style="1" customWidth="1"/>
    <col min="5" max="5" width="15.375" style="1" customWidth="1"/>
    <col min="6" max="6" width="15" style="1" customWidth="1"/>
    <col min="7" max="7" width="18.25" style="1" customWidth="1"/>
    <col min="8" max="9" width="9" style="1"/>
    <col min="10" max="10" width="18" style="42" customWidth="1"/>
    <col min="11" max="11" width="11.75" style="1" bestFit="1" customWidth="1"/>
    <col min="12" max="16384" width="9" style="1"/>
  </cols>
  <sheetData>
    <row r="1" spans="3:10" ht="30.75" x14ac:dyDescent="0.7">
      <c r="C1" s="45"/>
      <c r="D1" s="96" t="s">
        <v>740</v>
      </c>
      <c r="E1" s="540">
        <v>2562</v>
      </c>
      <c r="F1" s="541"/>
      <c r="G1" s="542"/>
    </row>
    <row r="2" spans="3:10" s="4" customFormat="1" ht="53.25" customHeight="1" x14ac:dyDescent="0.55000000000000004">
      <c r="C2" s="46">
        <v>1</v>
      </c>
      <c r="D2" s="47" t="s">
        <v>637</v>
      </c>
      <c r="E2" s="5" t="s">
        <v>641</v>
      </c>
      <c r="F2" s="37" t="s">
        <v>643</v>
      </c>
      <c r="G2" s="52" t="s">
        <v>642</v>
      </c>
      <c r="J2" s="43"/>
    </row>
    <row r="3" spans="3:10" x14ac:dyDescent="0.55000000000000004">
      <c r="C3" s="53">
        <v>41010</v>
      </c>
      <c r="D3" s="54" t="s">
        <v>1</v>
      </c>
      <c r="E3" s="34">
        <v>51307</v>
      </c>
      <c r="F3" s="6">
        <f>G3/E3</f>
        <v>1033.7201315122693</v>
      </c>
      <c r="G3" s="55">
        <f>SUMIF('1.WS-Re-Exp'!$E$3:$E$439,Revenue!C3,'1.WS-Re-Exp'!$C$3:$C$439)</f>
        <v>53037078.787500001</v>
      </c>
    </row>
    <row r="4" spans="3:10" x14ac:dyDescent="0.55000000000000004">
      <c r="C4" s="53">
        <v>41020</v>
      </c>
      <c r="D4" s="54" t="s">
        <v>5</v>
      </c>
      <c r="E4" s="35">
        <v>15</v>
      </c>
      <c r="F4" s="7">
        <f t="shared" ref="F4:F10" si="0">G4/E4</f>
        <v>1333.3333333333333</v>
      </c>
      <c r="G4" s="56">
        <f>SUMIF('1.WS-Re-Exp'!$E$3:$E$439,Revenue!C4,'1.WS-Re-Exp'!$C$3:$C$439)</f>
        <v>20000</v>
      </c>
      <c r="H4" s="1">
        <v>1</v>
      </c>
    </row>
    <row r="5" spans="3:10" x14ac:dyDescent="0.55000000000000004">
      <c r="C5" s="53">
        <v>41030</v>
      </c>
      <c r="D5" s="54" t="s">
        <v>679</v>
      </c>
      <c r="E5" s="35">
        <v>357</v>
      </c>
      <c r="F5" s="7">
        <f t="shared" si="0"/>
        <v>994.39775910364142</v>
      </c>
      <c r="G5" s="56">
        <f>SUMIF('1.WS-Re-Exp'!$E$3:$E$439,Revenue!C5,'1.WS-Re-Exp'!$C$3:$C$439)</f>
        <v>355000</v>
      </c>
    </row>
    <row r="6" spans="3:10" x14ac:dyDescent="0.55000000000000004">
      <c r="C6" s="53">
        <v>41040</v>
      </c>
      <c r="D6" s="54" t="s">
        <v>7</v>
      </c>
      <c r="E6" s="35">
        <v>6464</v>
      </c>
      <c r="F6" s="7">
        <f t="shared" si="0"/>
        <v>592.91228341584156</v>
      </c>
      <c r="G6" s="56">
        <f>SUMIF('1.WS-Re-Exp'!$E$3:$E$439,Revenue!C6,'1.WS-Re-Exp'!$C$3:$C$439)</f>
        <v>3832585</v>
      </c>
    </row>
    <row r="7" spans="3:10" x14ac:dyDescent="0.55000000000000004">
      <c r="C7" s="53">
        <v>41050</v>
      </c>
      <c r="D7" s="54" t="s">
        <v>9</v>
      </c>
      <c r="E7" s="35">
        <v>2664</v>
      </c>
      <c r="F7" s="7">
        <f t="shared" si="0"/>
        <v>319.12687687687685</v>
      </c>
      <c r="G7" s="56">
        <f>SUMIF('1.WS-Re-Exp'!$E$3:$E$439,Revenue!C7,'1.WS-Re-Exp'!$C$3:$C$439)</f>
        <v>850154</v>
      </c>
    </row>
    <row r="8" spans="3:10" x14ac:dyDescent="0.55000000000000004">
      <c r="C8" s="53">
        <v>41060</v>
      </c>
      <c r="D8" s="54" t="s">
        <v>11</v>
      </c>
      <c r="E8" s="35">
        <v>484</v>
      </c>
      <c r="F8" s="7">
        <f t="shared" si="0"/>
        <v>433.88429752066116</v>
      </c>
      <c r="G8" s="56">
        <f>SUMIF('1.WS-Re-Exp'!$E$3:$E$439,Revenue!C8,'1.WS-Re-Exp'!$C$3:$C$439)</f>
        <v>210000</v>
      </c>
    </row>
    <row r="9" spans="3:10" x14ac:dyDescent="0.55000000000000004">
      <c r="C9" s="53">
        <v>41070</v>
      </c>
      <c r="D9" s="54" t="s">
        <v>13</v>
      </c>
      <c r="E9" s="35">
        <v>7688</v>
      </c>
      <c r="F9" s="7">
        <f t="shared" si="0"/>
        <v>442.89802289281999</v>
      </c>
      <c r="G9" s="56">
        <f>SUMIF('1.WS-Re-Exp'!$E$3:$E$439,Revenue!C9,'1.WS-Re-Exp'!$C$3:$C$439)</f>
        <v>3405000</v>
      </c>
    </row>
    <row r="10" spans="3:10" x14ac:dyDescent="0.55000000000000004">
      <c r="C10" s="53">
        <v>41111</v>
      </c>
      <c r="D10" s="18" t="s">
        <v>677</v>
      </c>
      <c r="E10" s="38">
        <f>SUM(E3:E9)</f>
        <v>68979</v>
      </c>
      <c r="F10" s="7">
        <f t="shared" si="0"/>
        <v>894.61746020527994</v>
      </c>
      <c r="G10" s="57">
        <f>SUM(G3:G9)</f>
        <v>61709817.787500001</v>
      </c>
    </row>
    <row r="11" spans="3:10" x14ac:dyDescent="0.55000000000000004">
      <c r="C11" s="48">
        <v>2</v>
      </c>
      <c r="D11" s="49" t="s">
        <v>738</v>
      </c>
      <c r="E11" s="15" t="s">
        <v>788</v>
      </c>
      <c r="F11" s="39" t="s">
        <v>640</v>
      </c>
      <c r="G11" s="58" t="s">
        <v>739</v>
      </c>
    </row>
    <row r="12" spans="3:10" x14ac:dyDescent="0.55000000000000004">
      <c r="C12" s="53">
        <v>42010</v>
      </c>
      <c r="D12" s="54" t="s">
        <v>1</v>
      </c>
      <c r="E12" s="36">
        <v>1597.54</v>
      </c>
      <c r="F12" s="8">
        <f t="shared" ref="F12:F19" si="1">G12/E12</f>
        <v>6903.1135370632346</v>
      </c>
      <c r="G12" s="56">
        <f>SUMIF('1.WS-Re-Exp'!$E$3:$E$439,Revenue!C12,'1.WS-Re-Exp'!$C$3:$C$439)</f>
        <v>11028000</v>
      </c>
    </row>
    <row r="13" spans="3:10" x14ac:dyDescent="0.55000000000000004">
      <c r="C13" s="53">
        <v>42020</v>
      </c>
      <c r="D13" s="54" t="s">
        <v>5</v>
      </c>
      <c r="E13" s="36">
        <v>0</v>
      </c>
      <c r="F13" s="8" t="e">
        <f t="shared" si="1"/>
        <v>#DIV/0!</v>
      </c>
      <c r="G13" s="56">
        <f>SUMIF('1.WS-Re-Exp'!$E$3:$E$439,Revenue!C13,'1.WS-Re-Exp'!$C$3:$C$439)</f>
        <v>0</v>
      </c>
      <c r="H13" s="1">
        <v>2</v>
      </c>
    </row>
    <row r="14" spans="3:10" x14ac:dyDescent="0.55000000000000004">
      <c r="C14" s="53">
        <v>42030</v>
      </c>
      <c r="D14" s="54" t="s">
        <v>679</v>
      </c>
      <c r="E14" s="36">
        <v>5.42</v>
      </c>
      <c r="F14" s="8">
        <f t="shared" si="1"/>
        <v>21402.214022140222</v>
      </c>
      <c r="G14" s="56">
        <f>SUMIF('1.WS-Re-Exp'!$E$3:$E$439,Revenue!C14,'1.WS-Re-Exp'!$C$3:$C$439)</f>
        <v>116000</v>
      </c>
    </row>
    <row r="15" spans="3:10" x14ac:dyDescent="0.55000000000000004">
      <c r="C15" s="53">
        <v>42040</v>
      </c>
      <c r="D15" s="54" t="s">
        <v>7</v>
      </c>
      <c r="E15" s="36">
        <v>135.27000000000001</v>
      </c>
      <c r="F15" s="8">
        <f t="shared" si="1"/>
        <v>12013.011015007021</v>
      </c>
      <c r="G15" s="56">
        <f>SUMIF('1.WS-Re-Exp'!$E$3:$E$439,Revenue!C15,'1.WS-Re-Exp'!$C$3:$C$439)</f>
        <v>1625000</v>
      </c>
    </row>
    <row r="16" spans="3:10" x14ac:dyDescent="0.55000000000000004">
      <c r="C16" s="53">
        <v>42050</v>
      </c>
      <c r="D16" s="54" t="s">
        <v>9</v>
      </c>
      <c r="E16" s="36">
        <v>49.44916363636365</v>
      </c>
      <c r="F16" s="8">
        <f t="shared" si="1"/>
        <v>10073.901424566788</v>
      </c>
      <c r="G16" s="56">
        <f>SUMIF('1.WS-Re-Exp'!$E$3:$E$439,Revenue!C16,'1.WS-Re-Exp'!$C$3:$C$439)</f>
        <v>498146</v>
      </c>
    </row>
    <row r="17" spans="3:11" x14ac:dyDescent="0.55000000000000004">
      <c r="C17" s="53">
        <v>42060</v>
      </c>
      <c r="D17" s="54" t="s">
        <v>11</v>
      </c>
      <c r="E17" s="36">
        <v>5.41</v>
      </c>
      <c r="F17" s="8">
        <f t="shared" si="1"/>
        <v>16635.859519408503</v>
      </c>
      <c r="G17" s="56">
        <f>SUMIF('1.WS-Re-Exp'!$E$3:$E$439,Revenue!C17,'1.WS-Re-Exp'!$C$3:$C$439)</f>
        <v>90000</v>
      </c>
    </row>
    <row r="18" spans="3:11" x14ac:dyDescent="0.55000000000000004">
      <c r="C18" s="53">
        <v>42070</v>
      </c>
      <c r="D18" s="54" t="s">
        <v>13</v>
      </c>
      <c r="E18" s="36">
        <v>170.38232727272728</v>
      </c>
      <c r="F18" s="8">
        <f t="shared" si="1"/>
        <v>14097.706249517129</v>
      </c>
      <c r="G18" s="56">
        <f>SUMIF('1.WS-Re-Exp'!$E$3:$E$439,Revenue!C18,'1.WS-Re-Exp'!$C$3:$C$439)</f>
        <v>2402000</v>
      </c>
    </row>
    <row r="19" spans="3:11" x14ac:dyDescent="0.55000000000000004">
      <c r="C19" s="53">
        <v>42222</v>
      </c>
      <c r="D19" s="18" t="s">
        <v>678</v>
      </c>
      <c r="E19" s="14">
        <f>SUM(E12:E18)</f>
        <v>1963.471490909091</v>
      </c>
      <c r="F19" s="8">
        <f t="shared" si="1"/>
        <v>8026.1649191063552</v>
      </c>
      <c r="G19" s="57">
        <f>SUM(G12:G18)</f>
        <v>15759146</v>
      </c>
    </row>
    <row r="20" spans="3:11" x14ac:dyDescent="0.55000000000000004">
      <c r="C20" s="48">
        <v>3</v>
      </c>
      <c r="D20" s="49" t="s">
        <v>664</v>
      </c>
      <c r="E20" s="9"/>
      <c r="F20" s="8"/>
      <c r="G20" s="56"/>
    </row>
    <row r="21" spans="3:11" x14ac:dyDescent="0.55000000000000004">
      <c r="C21" s="53">
        <v>43010</v>
      </c>
      <c r="D21" s="54" t="s">
        <v>1</v>
      </c>
      <c r="E21" s="9"/>
      <c r="F21" s="8"/>
      <c r="G21" s="56">
        <f>SUMIF('1.WS-Re-Exp'!$E$3:$E$439,Revenue!C21,'1.WS-Re-Exp'!$C$3:$C$439)</f>
        <v>1587824.1099999999</v>
      </c>
    </row>
    <row r="22" spans="3:11" x14ac:dyDescent="0.55000000000000004">
      <c r="C22" s="53">
        <v>43020</v>
      </c>
      <c r="D22" s="59" t="s">
        <v>7</v>
      </c>
      <c r="E22" s="9"/>
      <c r="F22" s="8"/>
      <c r="G22" s="56">
        <f>SUMIF('1.WS-Re-Exp'!$E$3:$E$439,Revenue!C22,'1.WS-Re-Exp'!$C$3:$C$439)</f>
        <v>73000</v>
      </c>
      <c r="H22" s="1">
        <v>3</v>
      </c>
    </row>
    <row r="23" spans="3:11" x14ac:dyDescent="0.55000000000000004">
      <c r="C23" s="53">
        <v>43030</v>
      </c>
      <c r="D23" s="54" t="s">
        <v>9</v>
      </c>
      <c r="E23" s="9"/>
      <c r="F23" s="8"/>
      <c r="G23" s="56">
        <f>SUMIF('1.WS-Re-Exp'!$E$3:$E$439,Revenue!C23,'1.WS-Re-Exp'!$C$3:$C$439)</f>
        <v>182850</v>
      </c>
    </row>
    <row r="24" spans="3:11" x14ac:dyDescent="0.55000000000000004">
      <c r="C24" s="53">
        <v>43040</v>
      </c>
      <c r="D24" s="54" t="s">
        <v>11</v>
      </c>
      <c r="E24" s="9"/>
      <c r="F24" s="8"/>
      <c r="G24" s="56">
        <f>SUMIF('1.WS-Re-Exp'!$E$3:$E$439,Revenue!C24,'1.WS-Re-Exp'!$C$3:$C$439)</f>
        <v>350000</v>
      </c>
    </row>
    <row r="25" spans="3:11" x14ac:dyDescent="0.55000000000000004">
      <c r="C25" s="53">
        <v>43050</v>
      </c>
      <c r="D25" s="54" t="s">
        <v>13</v>
      </c>
      <c r="E25" s="9"/>
      <c r="F25" s="8"/>
      <c r="G25" s="56">
        <f>SUMIF('1.WS-Re-Exp'!$E$3:$E$439,Revenue!C25,'1.WS-Re-Exp'!$C$3:$C$439)</f>
        <v>5200000</v>
      </c>
    </row>
    <row r="26" spans="3:11" ht="18" customHeight="1" x14ac:dyDescent="0.55000000000000004">
      <c r="C26" s="53">
        <v>43060</v>
      </c>
      <c r="D26" s="54" t="s">
        <v>3</v>
      </c>
      <c r="E26" s="9"/>
      <c r="F26" s="8"/>
      <c r="G26" s="56">
        <f>SUMIF('1.WS-Re-Exp'!$E$3:$E$439,Revenue!C26,'1.WS-Re-Exp'!$C$3:$C$439)</f>
        <v>300000</v>
      </c>
    </row>
    <row r="27" spans="3:11" s="10" customFormat="1" x14ac:dyDescent="0.55000000000000004">
      <c r="C27" s="60">
        <v>43333</v>
      </c>
      <c r="D27" s="61" t="s">
        <v>682</v>
      </c>
      <c r="E27" s="12"/>
      <c r="F27" s="13"/>
      <c r="G27" s="57">
        <f>SUM(G21:G26)</f>
        <v>7693674.1099999994</v>
      </c>
      <c r="J27" s="11"/>
    </row>
    <row r="28" spans="3:11" x14ac:dyDescent="0.55000000000000004">
      <c r="C28" s="48">
        <v>4</v>
      </c>
      <c r="D28" s="49" t="s">
        <v>747</v>
      </c>
      <c r="E28" s="8"/>
      <c r="F28" s="8"/>
      <c r="G28" s="62"/>
    </row>
    <row r="29" spans="3:11" x14ac:dyDescent="0.55000000000000004">
      <c r="C29" s="53">
        <v>44010</v>
      </c>
      <c r="D29" s="103" t="s">
        <v>668</v>
      </c>
      <c r="E29" s="104"/>
      <c r="F29" s="105"/>
      <c r="G29" s="106">
        <f>SUMIF('1.WS-Re-Exp'!$E$3:$E$439,Revenue!C29,'1.WS-Re-Exp'!$C$3:$C$439)</f>
        <v>-22187244.620000001</v>
      </c>
      <c r="K29" s="44"/>
    </row>
    <row r="30" spans="3:11" x14ac:dyDescent="0.55000000000000004">
      <c r="C30" s="53">
        <v>44020</v>
      </c>
      <c r="D30" s="103" t="s">
        <v>669</v>
      </c>
      <c r="E30" s="104"/>
      <c r="F30" s="105"/>
      <c r="G30" s="106">
        <f>SUMIF('1.WS-Re-Exp'!$E$3:$E$439,Revenue!C30,'1.WS-Re-Exp'!$C$3:$C$439)</f>
        <v>163000</v>
      </c>
      <c r="K30" s="44"/>
    </row>
    <row r="31" spans="3:11" x14ac:dyDescent="0.55000000000000004">
      <c r="C31" s="53">
        <v>44030</v>
      </c>
      <c r="D31" s="103" t="s">
        <v>670</v>
      </c>
      <c r="E31" s="104"/>
      <c r="F31" s="105"/>
      <c r="G31" s="106">
        <f>SUMIF('1.WS-Re-Exp'!$E$3:$E$439,Revenue!C31,'1.WS-Re-Exp'!$C$3:$C$439)</f>
        <v>-21000</v>
      </c>
      <c r="K31" s="44"/>
    </row>
    <row r="32" spans="3:11" x14ac:dyDescent="0.55000000000000004">
      <c r="C32" s="53">
        <v>44040</v>
      </c>
      <c r="D32" s="103" t="s">
        <v>671</v>
      </c>
      <c r="E32" s="104"/>
      <c r="F32" s="105"/>
      <c r="G32" s="106">
        <f>SUMIF('1.WS-Re-Exp'!$E$3:$E$439,Revenue!C32,'1.WS-Re-Exp'!$C$3:$C$439)</f>
        <v>-40450</v>
      </c>
      <c r="K32" s="44"/>
    </row>
    <row r="33" spans="3:11" x14ac:dyDescent="0.55000000000000004">
      <c r="C33" s="53">
        <v>44050</v>
      </c>
      <c r="D33" s="103" t="s">
        <v>672</v>
      </c>
      <c r="E33" s="104"/>
      <c r="F33" s="105"/>
      <c r="G33" s="106">
        <f>SUMIF('1.WS-Re-Exp'!$E$3:$E$439,Revenue!C33,'1.WS-Re-Exp'!$C$3:$C$439)</f>
        <v>0</v>
      </c>
      <c r="K33" s="44"/>
    </row>
    <row r="34" spans="3:11" x14ac:dyDescent="0.55000000000000004">
      <c r="C34" s="53">
        <v>44444</v>
      </c>
      <c r="D34" s="107" t="s">
        <v>721</v>
      </c>
      <c r="E34" s="104"/>
      <c r="F34" s="105"/>
      <c r="G34" s="108">
        <f>SUM(G29:G33)</f>
        <v>-22085694.620000001</v>
      </c>
    </row>
    <row r="35" spans="3:11" x14ac:dyDescent="0.55000000000000004">
      <c r="C35" s="50">
        <v>5</v>
      </c>
      <c r="D35" s="49" t="s">
        <v>742</v>
      </c>
      <c r="E35" s="9"/>
      <c r="F35" s="8"/>
      <c r="G35" s="56"/>
    </row>
    <row r="36" spans="3:11" x14ac:dyDescent="0.55000000000000004">
      <c r="C36" s="53">
        <v>45010</v>
      </c>
      <c r="D36" s="105" t="s">
        <v>683</v>
      </c>
      <c r="E36" s="104"/>
      <c r="F36" s="105"/>
      <c r="G36" s="106">
        <f>SUM(G3,G12,G21,G29)</f>
        <v>43465658.277500004</v>
      </c>
      <c r="H36" s="1">
        <v>5</v>
      </c>
    </row>
    <row r="37" spans="3:11" x14ac:dyDescent="0.55000000000000004">
      <c r="C37" s="53">
        <v>45020</v>
      </c>
      <c r="D37" s="105" t="s">
        <v>684</v>
      </c>
      <c r="E37" s="104"/>
      <c r="F37" s="105"/>
      <c r="G37" s="106">
        <f>SUM(G4,G13)</f>
        <v>20000</v>
      </c>
    </row>
    <row r="38" spans="3:11" x14ac:dyDescent="0.55000000000000004">
      <c r="C38" s="53">
        <v>45030</v>
      </c>
      <c r="D38" s="105" t="s">
        <v>679</v>
      </c>
      <c r="E38" s="104"/>
      <c r="F38" s="105"/>
      <c r="G38" s="106">
        <f>SUM(G5,G14,G31)</f>
        <v>450000</v>
      </c>
    </row>
    <row r="39" spans="3:11" x14ac:dyDescent="0.55000000000000004">
      <c r="C39" s="53">
        <v>45040</v>
      </c>
      <c r="D39" s="105" t="s">
        <v>685</v>
      </c>
      <c r="E39" s="104"/>
      <c r="F39" s="105"/>
      <c r="G39" s="106">
        <f>SUM(G6,G15,G22,G30)</f>
        <v>5693585</v>
      </c>
    </row>
    <row r="40" spans="3:11" x14ac:dyDescent="0.55000000000000004">
      <c r="C40" s="53">
        <v>45050</v>
      </c>
      <c r="D40" s="105" t="s">
        <v>686</v>
      </c>
      <c r="E40" s="104"/>
      <c r="F40" s="105"/>
      <c r="G40" s="106">
        <f>SUM(G7,G16,G23,G32)</f>
        <v>1490700</v>
      </c>
    </row>
    <row r="41" spans="3:11" x14ac:dyDescent="0.55000000000000004">
      <c r="C41" s="53">
        <v>45060</v>
      </c>
      <c r="D41" s="105" t="s">
        <v>687</v>
      </c>
      <c r="E41" s="104"/>
      <c r="F41" s="105"/>
      <c r="G41" s="106">
        <f>SUM(G8,G17,G24,G33)</f>
        <v>650000</v>
      </c>
    </row>
    <row r="42" spans="3:11" x14ac:dyDescent="0.55000000000000004">
      <c r="C42" s="53">
        <v>45070</v>
      </c>
      <c r="D42" s="63" t="s">
        <v>13</v>
      </c>
      <c r="E42" s="9"/>
      <c r="F42" s="8"/>
      <c r="G42" s="56">
        <f>SUM(G9,G18,G25)</f>
        <v>11007000</v>
      </c>
    </row>
    <row r="43" spans="3:11" x14ac:dyDescent="0.55000000000000004">
      <c r="C43" s="53">
        <v>45080</v>
      </c>
      <c r="D43" s="64" t="s">
        <v>3</v>
      </c>
      <c r="E43" s="9"/>
      <c r="F43" s="8"/>
      <c r="G43" s="56">
        <f>G26</f>
        <v>300000</v>
      </c>
    </row>
    <row r="44" spans="3:11" x14ac:dyDescent="0.55000000000000004">
      <c r="C44" s="53">
        <v>45090</v>
      </c>
      <c r="D44" s="61" t="s">
        <v>688</v>
      </c>
      <c r="E44" s="9"/>
      <c r="F44" s="8"/>
      <c r="G44" s="57">
        <f>SUM(G36:G43)</f>
        <v>63076943.277500004</v>
      </c>
    </row>
    <row r="45" spans="3:11" s="2" customFormat="1" x14ac:dyDescent="0.55000000000000004">
      <c r="C45" s="53">
        <v>45100</v>
      </c>
      <c r="D45" s="54" t="s">
        <v>15</v>
      </c>
      <c r="E45" s="17"/>
      <c r="F45" s="18"/>
      <c r="G45" s="65">
        <f>SUMIF('1.WS-Re-Exp'!$E$3:$E$439,Revenue!C45,'1.WS-Re-Exp'!$C$3:$C$439)</f>
        <v>28378920</v>
      </c>
      <c r="I45" s="2" t="s">
        <v>1518</v>
      </c>
      <c r="J45" s="11"/>
    </row>
    <row r="46" spans="3:11" x14ac:dyDescent="0.55000000000000004">
      <c r="C46" s="53">
        <v>45110</v>
      </c>
      <c r="D46" s="8" t="s">
        <v>17</v>
      </c>
      <c r="E46" s="9"/>
      <c r="F46" s="8"/>
      <c r="G46" s="56">
        <f>SUMIF('1.WS-Re-Exp'!$E$3:$E$439,Revenue!C46,'1.WS-Re-Exp'!$C$3:$C$439)</f>
        <v>6778624.0366666671</v>
      </c>
    </row>
    <row r="47" spans="3:11" x14ac:dyDescent="0.55000000000000004">
      <c r="C47" s="53">
        <v>45555</v>
      </c>
      <c r="D47" s="18" t="s">
        <v>689</v>
      </c>
      <c r="E47" s="9"/>
      <c r="F47" s="8"/>
      <c r="G47" s="57">
        <f>SUM(G44:G46)</f>
        <v>98234487.314166665</v>
      </c>
    </row>
    <row r="48" spans="3:11" x14ac:dyDescent="0.55000000000000004">
      <c r="C48" s="50">
        <v>6</v>
      </c>
      <c r="D48" s="51" t="s">
        <v>690</v>
      </c>
      <c r="E48" s="9"/>
      <c r="F48" s="8"/>
      <c r="G48" s="56"/>
    </row>
    <row r="49" spans="3:7" x14ac:dyDescent="0.55000000000000004">
      <c r="C49" s="53">
        <v>46010</v>
      </c>
      <c r="D49" s="8" t="s">
        <v>673</v>
      </c>
      <c r="E49" s="9"/>
      <c r="F49" s="8"/>
      <c r="G49" s="56">
        <f>SUMIF('1.WS-Re-Exp'!$E$3:$E$439,Revenue!C49,'1.WS-Re-Exp'!$C$3:$C$439)</f>
        <v>0</v>
      </c>
    </row>
    <row r="50" spans="3:7" x14ac:dyDescent="0.55000000000000004">
      <c r="C50" s="53">
        <v>46020</v>
      </c>
      <c r="D50" s="8" t="s">
        <v>674</v>
      </c>
      <c r="E50" s="9"/>
      <c r="F50" s="8"/>
      <c r="G50" s="56">
        <f>SUMIF('1.WS-Re-Exp'!$E$3:$E$439,Revenue!C50,'1.WS-Re-Exp'!$C$3:$C$439)</f>
        <v>3556759.27</v>
      </c>
    </row>
    <row r="51" spans="3:7" x14ac:dyDescent="0.55000000000000004">
      <c r="C51" s="53">
        <v>46030</v>
      </c>
      <c r="D51" s="8" t="s">
        <v>675</v>
      </c>
      <c r="E51" s="9"/>
      <c r="F51" s="8"/>
      <c r="G51" s="56">
        <f>SUMIF('1.WS-Re-Exp'!$E$3:$E$439,Revenue!C51,'1.WS-Re-Exp'!$C$3:$C$439)</f>
        <v>0</v>
      </c>
    </row>
    <row r="52" spans="3:7" ht="24.75" thickBot="1" x14ac:dyDescent="0.6">
      <c r="C52" s="66" t="s">
        <v>723</v>
      </c>
      <c r="D52" s="13" t="s">
        <v>676</v>
      </c>
      <c r="E52" s="8"/>
      <c r="F52" s="8"/>
      <c r="G52" s="67">
        <f>SUM(G47,G49:G51)</f>
        <v>101791246.58416666</v>
      </c>
    </row>
    <row r="53" spans="3:7" ht="24.75" thickBot="1" x14ac:dyDescent="0.6">
      <c r="C53" s="68"/>
      <c r="D53" s="69"/>
      <c r="E53" s="69"/>
      <c r="F53" s="69"/>
      <c r="G53" s="70"/>
    </row>
    <row r="55" spans="3:7" x14ac:dyDescent="0.55000000000000004">
      <c r="E55" s="10" t="s">
        <v>748</v>
      </c>
    </row>
    <row r="56" spans="3:7" x14ac:dyDescent="0.55000000000000004">
      <c r="E56" s="21" t="s">
        <v>749</v>
      </c>
    </row>
  </sheetData>
  <mergeCells count="1">
    <mergeCell ref="E1:G1"/>
  </mergeCells>
  <pageMargins left="0.25" right="0.25" top="0.75" bottom="0.75" header="0.3" footer="0.3"/>
  <pageSetup paperSize="9" fitToWidth="0" orientation="portrait" verticalDpi="300" r:id="rId1"/>
  <headerFooter>
    <oddFooter xml:space="preserve">&amp;L
&amp;14Revenue&amp;R
&amp;12 3&amp;11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G43"/>
  <sheetViews>
    <sheetView zoomScaleNormal="100" workbookViewId="0">
      <selection activeCell="H42" sqref="H42"/>
    </sheetView>
  </sheetViews>
  <sheetFormatPr defaultColWidth="9" defaultRowHeight="21.75" x14ac:dyDescent="0.5"/>
  <cols>
    <col min="1" max="1" width="3.625" style="1" customWidth="1"/>
    <col min="2" max="2" width="4.625" style="1" customWidth="1"/>
    <col min="3" max="3" width="11.625" style="19" bestFit="1" customWidth="1"/>
    <col min="4" max="4" width="46.375" style="1" bestFit="1" customWidth="1"/>
    <col min="5" max="5" width="20" style="1" customWidth="1"/>
    <col min="6" max="6" width="14.375" style="1" hidden="1" customWidth="1"/>
    <col min="7" max="7" width="16.5" style="1" customWidth="1"/>
    <col min="8" max="16384" width="9" style="1"/>
  </cols>
  <sheetData>
    <row r="1" spans="3:7" ht="24" customHeight="1" x14ac:dyDescent="0.65">
      <c r="C1" s="543" t="s">
        <v>801</v>
      </c>
      <c r="D1" s="544"/>
      <c r="E1" s="117" t="s">
        <v>1395</v>
      </c>
      <c r="F1" s="72"/>
    </row>
    <row r="2" spans="3:7" s="16" customFormat="1" ht="24" x14ac:dyDescent="0.2">
      <c r="C2" s="118">
        <v>1</v>
      </c>
      <c r="D2" s="111" t="s">
        <v>639</v>
      </c>
      <c r="E2" s="119" t="s">
        <v>665</v>
      </c>
      <c r="F2" s="110" t="s">
        <v>737</v>
      </c>
    </row>
    <row r="3" spans="3:7" x14ac:dyDescent="0.5">
      <c r="C3" s="120">
        <v>51010</v>
      </c>
      <c r="D3" s="112" t="s">
        <v>221</v>
      </c>
      <c r="E3" s="121">
        <f>SUMIF('1.WS-Re-Exp'!$E$3:$E$439,Expense!C3,'1.WS-Re-Exp'!$C$3:$C$439)</f>
        <v>8252608.1900000004</v>
      </c>
      <c r="F3" s="73"/>
      <c r="G3" s="345"/>
    </row>
    <row r="4" spans="3:7" x14ac:dyDescent="0.5">
      <c r="C4" s="120">
        <v>51020</v>
      </c>
      <c r="D4" s="112" t="s">
        <v>223</v>
      </c>
      <c r="E4" s="121">
        <f>SUMIF('1.WS-Re-Exp'!$E$3:$E$439,Expense!C4,'1.WS-Re-Exp'!$C$3:$C$439)</f>
        <v>119000</v>
      </c>
      <c r="F4" s="73"/>
      <c r="G4" s="345"/>
    </row>
    <row r="5" spans="3:7" x14ac:dyDescent="0.5">
      <c r="C5" s="120">
        <v>51030</v>
      </c>
      <c r="D5" s="112" t="s">
        <v>644</v>
      </c>
      <c r="E5" s="121">
        <f>SUMIF('1.WS-Re-Exp'!$E$3:$E$439,Expense!C5,'1.WS-Re-Exp'!$C$3:$C$439)</f>
        <v>2191000</v>
      </c>
      <c r="F5" s="73"/>
      <c r="G5" s="345"/>
    </row>
    <row r="6" spans="3:7" x14ac:dyDescent="0.5">
      <c r="C6" s="120">
        <v>51040</v>
      </c>
      <c r="D6" s="112" t="s">
        <v>645</v>
      </c>
      <c r="E6" s="121">
        <f>SUMIF('1.WS-Re-Exp'!$E$3:$E$439,Expense!C6,'1.WS-Re-Exp'!$C$3:$C$439)</f>
        <v>1066488.8999999999</v>
      </c>
      <c r="F6" s="73"/>
      <c r="G6" s="345"/>
    </row>
    <row r="7" spans="3:7" x14ac:dyDescent="0.5">
      <c r="C7" s="120">
        <v>51050</v>
      </c>
      <c r="D7" s="112" t="s">
        <v>226</v>
      </c>
      <c r="E7" s="121">
        <f>SUMIF('1.WS-Re-Exp'!$E$3:$E$439,Expense!C7,'1.WS-Re-Exp'!$C$3:$C$439)</f>
        <v>450000</v>
      </c>
      <c r="F7" s="73"/>
      <c r="G7" s="345"/>
    </row>
    <row r="8" spans="3:7" x14ac:dyDescent="0.5">
      <c r="C8" s="120">
        <v>51060</v>
      </c>
      <c r="D8" s="112" t="s">
        <v>646</v>
      </c>
      <c r="E8" s="121">
        <f>SUMIF('1.WS-Re-Exp'!$E$3:$E$439,Expense!C8,'1.WS-Re-Exp'!$C$3:$C$439)</f>
        <v>3047400</v>
      </c>
      <c r="F8" s="73"/>
      <c r="G8" s="345"/>
    </row>
    <row r="9" spans="3:7" x14ac:dyDescent="0.5">
      <c r="C9" s="120">
        <v>51070</v>
      </c>
      <c r="D9" s="112" t="s">
        <v>647</v>
      </c>
      <c r="E9" s="121">
        <f>SUMIF('1.WS-Re-Exp'!$E$3:$E$439,Expense!C9,'1.WS-Re-Exp'!$C$3:$C$439)</f>
        <v>9570160</v>
      </c>
      <c r="F9" s="73"/>
      <c r="G9" s="345"/>
    </row>
    <row r="10" spans="3:7" x14ac:dyDescent="0.5">
      <c r="C10" s="120">
        <v>51080</v>
      </c>
      <c r="D10" s="112" t="s">
        <v>648</v>
      </c>
      <c r="E10" s="121">
        <f>SUMIF('1.WS-Re-Exp'!$E$3:$E$439,Expense!C10,'1.WS-Re-Exp'!$C$3:$C$439)</f>
        <v>2038876.4983999999</v>
      </c>
      <c r="F10" s="73"/>
      <c r="G10" s="345"/>
    </row>
    <row r="11" spans="3:7" x14ac:dyDescent="0.5">
      <c r="C11" s="120">
        <v>51090</v>
      </c>
      <c r="D11" s="112" t="s">
        <v>372</v>
      </c>
      <c r="E11" s="122">
        <f>SUMIF('1.WS-Re-Exp'!$E$3:$E$439,Expense!C11,'1.WS-Re-Exp'!$C$3:$C$439)</f>
        <v>1445500</v>
      </c>
      <c r="F11" s="65"/>
      <c r="G11" s="345"/>
    </row>
    <row r="12" spans="3:7" x14ac:dyDescent="0.5">
      <c r="C12" s="120">
        <v>51100</v>
      </c>
      <c r="D12" s="112" t="s">
        <v>649</v>
      </c>
      <c r="E12" s="122">
        <f>SUMIF('1.WS-Re-Exp'!$E$3:$E$439,Expense!C12,'1.WS-Re-Exp'!$C$3:$C$439)</f>
        <v>382360</v>
      </c>
      <c r="F12" s="65"/>
      <c r="G12" s="345"/>
    </row>
    <row r="13" spans="3:7" x14ac:dyDescent="0.5">
      <c r="C13" s="120">
        <v>51110</v>
      </c>
      <c r="D13" s="112" t="s">
        <v>650</v>
      </c>
      <c r="E13" s="122">
        <f>SUMIF('1.WS-Re-Exp'!$E$3:$E$439,Expense!C13,'1.WS-Re-Exp'!$C$3:$C$439)</f>
        <v>1531120.4</v>
      </c>
      <c r="F13" s="65"/>
      <c r="G13" s="345"/>
    </row>
    <row r="14" spans="3:7" x14ac:dyDescent="0.5">
      <c r="C14" s="120">
        <v>51120</v>
      </c>
      <c r="D14" s="112" t="s">
        <v>651</v>
      </c>
      <c r="E14" s="122">
        <f>SUMIF('1.WS-Re-Exp'!$E$3:$E$439,Expense!C14,'1.WS-Re-Exp'!$C$3:$C$439)</f>
        <v>1197100</v>
      </c>
      <c r="F14" s="65"/>
      <c r="G14" s="345"/>
    </row>
    <row r="15" spans="3:7" x14ac:dyDescent="0.5">
      <c r="C15" s="120">
        <v>51130</v>
      </c>
      <c r="D15" s="112" t="s">
        <v>652</v>
      </c>
      <c r="E15" s="122">
        <f>SUMIF('1.WS-Re-Exp'!$E$3:$E$439,Expense!C15,'1.WS-Re-Exp'!$C$3:$C$439)</f>
        <v>526500.48</v>
      </c>
      <c r="F15" s="65"/>
      <c r="G15" s="345"/>
    </row>
    <row r="16" spans="3:7" x14ac:dyDescent="0.5">
      <c r="C16" s="120">
        <v>51140</v>
      </c>
      <c r="D16" s="112" t="s">
        <v>653</v>
      </c>
      <c r="E16" s="122">
        <f>SUMIF('1.WS-Re-Exp'!$E$3:$E$439,Expense!C16,'1.WS-Re-Exp'!$C$3:$C$439)</f>
        <v>268000</v>
      </c>
      <c r="F16" s="65"/>
      <c r="G16" s="345"/>
    </row>
    <row r="17" spans="2:7" ht="28.5" thickBot="1" x14ac:dyDescent="0.7">
      <c r="C17" s="123">
        <v>51111</v>
      </c>
      <c r="D17" s="109" t="s">
        <v>666</v>
      </c>
      <c r="E17" s="124">
        <f>SUM(E3:E16)</f>
        <v>32086114.468400002</v>
      </c>
      <c r="F17" s="74">
        <f>SUM(F3:F16)</f>
        <v>0</v>
      </c>
      <c r="G17" s="345"/>
    </row>
    <row r="18" spans="2:7" ht="24" x14ac:dyDescent="0.55000000000000004">
      <c r="C18" s="125">
        <v>2</v>
      </c>
      <c r="D18" s="113" t="s">
        <v>638</v>
      </c>
      <c r="E18" s="124"/>
      <c r="F18" s="75"/>
    </row>
    <row r="19" spans="2:7" ht="24" x14ac:dyDescent="0.55000000000000004">
      <c r="B19" s="31"/>
      <c r="C19" s="120">
        <v>52010</v>
      </c>
      <c r="D19" s="112" t="s">
        <v>26</v>
      </c>
      <c r="E19" s="122">
        <f>SUMIF('1.WS-Re-Exp'!$E$3:$E$439,Expense!C19,'1.WS-Re-Exp'!$C$3:$C$439)</f>
        <v>28378920</v>
      </c>
      <c r="F19" s="76"/>
      <c r="G19" s="345"/>
    </row>
    <row r="20" spans="2:7" x14ac:dyDescent="0.5">
      <c r="C20" s="120">
        <v>52020</v>
      </c>
      <c r="D20" s="112" t="s">
        <v>654</v>
      </c>
      <c r="E20" s="122">
        <f>SUMIF('1.WS-Re-Exp'!$E$3:$E$439,Expense!C20,'1.WS-Re-Exp'!$C$3:$C$439)</f>
        <v>3021360</v>
      </c>
      <c r="F20" s="76"/>
      <c r="G20" s="345"/>
    </row>
    <row r="21" spans="2:7" x14ac:dyDescent="0.5">
      <c r="C21" s="120">
        <v>52030</v>
      </c>
      <c r="D21" s="112" t="s">
        <v>28</v>
      </c>
      <c r="E21" s="122">
        <f>SUMIF('1.WS-Re-Exp'!$E$3:$E$439,Expense!C21,'1.WS-Re-Exp'!$C$3:$C$439)</f>
        <v>7676640</v>
      </c>
      <c r="F21" s="76"/>
      <c r="G21" s="345"/>
    </row>
    <row r="22" spans="2:7" x14ac:dyDescent="0.5">
      <c r="C22" s="120">
        <v>52040</v>
      </c>
      <c r="D22" s="112" t="s">
        <v>655</v>
      </c>
      <c r="E22" s="122">
        <f>SUMIF('1.WS-Re-Exp'!$E$3:$E$439,Expense!C22,'1.WS-Re-Exp'!$C$3:$C$439)</f>
        <v>0</v>
      </c>
      <c r="F22" s="76"/>
      <c r="G22" s="345"/>
    </row>
    <row r="23" spans="2:7" x14ac:dyDescent="0.5">
      <c r="C23" s="126">
        <v>52050</v>
      </c>
      <c r="D23" s="114" t="s">
        <v>656</v>
      </c>
      <c r="E23" s="124">
        <f>SUM(E19:E22)</f>
        <v>39076920</v>
      </c>
      <c r="F23" s="75">
        <f>SUM(F19:F22)</f>
        <v>0</v>
      </c>
      <c r="G23" s="345"/>
    </row>
    <row r="24" spans="2:7" x14ac:dyDescent="0.5">
      <c r="C24" s="120">
        <v>52060</v>
      </c>
      <c r="D24" s="112" t="s">
        <v>657</v>
      </c>
      <c r="E24" s="122">
        <f>SUMIF('1.WS-Re-Exp'!$E$3:$E$439,Expense!C24,'1.WS-Re-Exp'!$C$3:$C$439)</f>
        <v>1994876.9066666665</v>
      </c>
      <c r="F24" s="76"/>
      <c r="G24" s="345"/>
    </row>
    <row r="25" spans="2:7" ht="24" x14ac:dyDescent="0.55000000000000004">
      <c r="C25" s="120">
        <v>52070</v>
      </c>
      <c r="D25" s="112" t="s">
        <v>658</v>
      </c>
      <c r="E25" s="127">
        <f>SUMIF('1.WS-Re-Exp'!$E$3:$E$439,Expense!C25,'1.WS-Re-Exp'!$C$3:$C$439)</f>
        <v>1452000</v>
      </c>
      <c r="F25" s="77"/>
      <c r="G25" s="345"/>
    </row>
    <row r="26" spans="2:7" x14ac:dyDescent="0.5">
      <c r="C26" s="120">
        <v>52080</v>
      </c>
      <c r="D26" s="112" t="s">
        <v>1522</v>
      </c>
      <c r="E26" s="122">
        <f>SUMIF('1.WS-Re-Exp'!$E$3:$E$439,Expense!C26,'1.WS-Re-Exp'!$C$3:$C$439)</f>
        <v>5137200</v>
      </c>
      <c r="F26" s="76"/>
      <c r="G26" s="345"/>
    </row>
    <row r="27" spans="2:7" x14ac:dyDescent="0.5">
      <c r="C27" s="120">
        <v>52090</v>
      </c>
      <c r="D27" s="112" t="s">
        <v>1523</v>
      </c>
      <c r="E27" s="122">
        <f>SUMIF('1.WS-Re-Exp'!$E$3:$E$439,Expense!C27,'1.WS-Re-Exp'!$C$3:$C$439)</f>
        <v>0</v>
      </c>
      <c r="F27" s="76"/>
      <c r="G27" s="345"/>
    </row>
    <row r="28" spans="2:7" x14ac:dyDescent="0.5">
      <c r="C28" s="120">
        <v>52100</v>
      </c>
      <c r="D28" s="112" t="s">
        <v>663</v>
      </c>
      <c r="E28" s="461">
        <f>SUMIF('1.WS-Re-Exp'!$E$3:$E$439,Expense!C28,'1.WS-Re-Exp'!$C$3:$C$439)</f>
        <v>722000</v>
      </c>
      <c r="F28" s="78"/>
      <c r="G28" s="345"/>
    </row>
    <row r="29" spans="2:7" s="10" customFormat="1" ht="24" x14ac:dyDescent="0.55000000000000004">
      <c r="C29" s="128">
        <v>52222</v>
      </c>
      <c r="D29" s="115" t="s">
        <v>667</v>
      </c>
      <c r="E29" s="129">
        <f>SUM(E23,E24,E25,E26,E27,E28)</f>
        <v>48382996.906666666</v>
      </c>
      <c r="F29" s="77">
        <f>SUM(F23,F24,F25,F26,F27,F28)</f>
        <v>0</v>
      </c>
      <c r="G29" s="346"/>
    </row>
    <row r="30" spans="2:7" s="10" customFormat="1" ht="24" x14ac:dyDescent="0.55000000000000004">
      <c r="C30" s="125">
        <v>3</v>
      </c>
      <c r="D30" s="113" t="s">
        <v>664</v>
      </c>
      <c r="E30" s="129"/>
      <c r="F30" s="77"/>
    </row>
    <row r="31" spans="2:7" x14ac:dyDescent="0.5">
      <c r="C31" s="120">
        <v>53010</v>
      </c>
      <c r="D31" s="112" t="s">
        <v>662</v>
      </c>
      <c r="E31" s="122">
        <f>SUMIF('1.WS-Re-Exp'!$E$3:$E$439,Expense!C31,'1.WS-Re-Exp'!$C$3:$C$439)</f>
        <v>900000</v>
      </c>
      <c r="F31" s="78"/>
      <c r="G31" s="345"/>
    </row>
    <row r="32" spans="2:7" ht="24" x14ac:dyDescent="0.55000000000000004">
      <c r="C32" s="120">
        <v>53020</v>
      </c>
      <c r="D32" s="112" t="s">
        <v>659</v>
      </c>
      <c r="E32" s="122">
        <f>SUMIF('1.WS-Re-Exp'!$E$3:$E$439,Expense!C32,'1.WS-Re-Exp'!$C$3:$C$439)</f>
        <v>1702100</v>
      </c>
      <c r="F32" s="77"/>
      <c r="G32" s="345"/>
    </row>
    <row r="33" spans="3:7" x14ac:dyDescent="0.5">
      <c r="C33" s="120">
        <v>53030</v>
      </c>
      <c r="D33" s="112" t="s">
        <v>660</v>
      </c>
      <c r="E33" s="122">
        <f>SUMIF('1.WS-Re-Exp'!$E$3:$E$439,Expense!C33,'1.WS-Re-Exp'!$C$3:$C$439)</f>
        <v>5282141.2266666675</v>
      </c>
      <c r="F33" s="78"/>
      <c r="G33" s="345"/>
    </row>
    <row r="34" spans="3:7" x14ac:dyDescent="0.5">
      <c r="C34" s="120">
        <v>53040</v>
      </c>
      <c r="D34" s="112" t="s">
        <v>680</v>
      </c>
      <c r="E34" s="122">
        <f>SUMIF('1.WS-Re-Exp'!$E$3:$E$439,Expense!C34,'1.WS-Re-Exp'!$C$3:$C$439)</f>
        <v>4100000</v>
      </c>
      <c r="F34" s="78"/>
      <c r="G34" s="345"/>
    </row>
    <row r="35" spans="3:7" x14ac:dyDescent="0.5">
      <c r="C35" s="120">
        <v>53050</v>
      </c>
      <c r="D35" s="116" t="s">
        <v>681</v>
      </c>
      <c r="E35" s="122">
        <f>SUMIF('1.WS-Re-Exp'!$E$3:$E$439,Expense!C35,'1.WS-Re-Exp'!$C$3:$C$439)</f>
        <v>431400</v>
      </c>
      <c r="F35" s="78"/>
      <c r="G35" s="345"/>
    </row>
    <row r="36" spans="3:7" x14ac:dyDescent="0.5">
      <c r="C36" s="120">
        <v>53060</v>
      </c>
      <c r="D36" s="112" t="s">
        <v>661</v>
      </c>
      <c r="E36" s="122">
        <f>SUMIF('1.WS-Re-Exp'!$E$3:$E$439,Expense!C36,'1.WS-Re-Exp'!$C$3:$C$439)</f>
        <v>0</v>
      </c>
      <c r="F36" s="78"/>
      <c r="G36" s="345"/>
    </row>
    <row r="37" spans="3:7" ht="24" x14ac:dyDescent="0.55000000000000004">
      <c r="C37" s="120" t="s">
        <v>724</v>
      </c>
      <c r="D37" s="114" t="s">
        <v>720</v>
      </c>
      <c r="E37" s="129">
        <f>SUM(E17,E29,E31:E36)</f>
        <v>92884752.601733342</v>
      </c>
      <c r="F37" s="79">
        <f>SUM(F17,F29,F31:F36)</f>
        <v>0</v>
      </c>
      <c r="G37" s="345"/>
    </row>
    <row r="38" spans="3:7" s="10" customFormat="1" ht="24" x14ac:dyDescent="0.55000000000000004">
      <c r="C38" s="128">
        <v>61000</v>
      </c>
      <c r="D38" s="115" t="s">
        <v>725</v>
      </c>
      <c r="E38" s="130">
        <f>Revenue!G52-Expense!E37</f>
        <v>8906493.9824333191</v>
      </c>
      <c r="F38" s="80"/>
      <c r="G38" s="346"/>
    </row>
    <row r="39" spans="3:7" s="10" customFormat="1" ht="24" x14ac:dyDescent="0.55000000000000004">
      <c r="C39" s="128">
        <v>62000</v>
      </c>
      <c r="D39" s="115" t="s">
        <v>789</v>
      </c>
      <c r="E39" s="130">
        <f>Revenue!G47-Expense!E37+E32+E33+E36</f>
        <v>12333975.93909999</v>
      </c>
      <c r="F39" s="81"/>
      <c r="G39" s="346"/>
    </row>
    <row r="40" spans="3:7" ht="22.5" thickBot="1" x14ac:dyDescent="0.55000000000000004">
      <c r="C40" s="131"/>
      <c r="D40" s="132"/>
      <c r="E40" s="133"/>
      <c r="F40" s="70"/>
    </row>
    <row r="41" spans="3:7" x14ac:dyDescent="0.5">
      <c r="D41" s="2"/>
    </row>
    <row r="42" spans="3:7" ht="24" x14ac:dyDescent="0.55000000000000004">
      <c r="D42" s="71"/>
      <c r="E42" s="10" t="s">
        <v>748</v>
      </c>
    </row>
    <row r="43" spans="3:7" x14ac:dyDescent="0.5">
      <c r="E43" s="21" t="s">
        <v>749</v>
      </c>
    </row>
  </sheetData>
  <mergeCells count="1">
    <mergeCell ref="C1:D1"/>
  </mergeCells>
  <pageMargins left="1.1023622047244095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Footer>&amp;L
EXPENSE&amp;R
&amp;12 4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K9" sqref="K9"/>
    </sheetView>
  </sheetViews>
  <sheetFormatPr defaultRowHeight="14.25" x14ac:dyDescent="0.2"/>
  <cols>
    <col min="1" max="1" width="9" style="97"/>
    <col min="3" max="3" width="39.75" bestFit="1" customWidth="1"/>
    <col min="4" max="4" width="14.25" style="97" bestFit="1" customWidth="1"/>
    <col min="5" max="5" width="9.25" style="97" bestFit="1" customWidth="1"/>
    <col min="6" max="6" width="17.375" style="97" customWidth="1"/>
    <col min="7" max="7" width="15.25" style="280" bestFit="1" customWidth="1"/>
    <col min="8" max="8" width="12.75" style="97" customWidth="1"/>
    <col min="9" max="9" width="14.25" bestFit="1" customWidth="1"/>
  </cols>
  <sheetData>
    <row r="1" spans="1:9" x14ac:dyDescent="0.2">
      <c r="A1" s="284" t="s">
        <v>1309</v>
      </c>
      <c r="B1" s="284" t="s">
        <v>1310</v>
      </c>
      <c r="C1" s="284" t="s">
        <v>1311</v>
      </c>
      <c r="D1" s="284" t="s">
        <v>665</v>
      </c>
      <c r="E1" s="284" t="s">
        <v>1312</v>
      </c>
      <c r="F1" s="284" t="s">
        <v>1313</v>
      </c>
      <c r="G1" s="285" t="s">
        <v>1315</v>
      </c>
      <c r="H1" s="284" t="s">
        <v>1316</v>
      </c>
      <c r="I1" s="284" t="s">
        <v>1317</v>
      </c>
    </row>
    <row r="2" spans="1:9" x14ac:dyDescent="0.2">
      <c r="A2" s="97">
        <v>1</v>
      </c>
      <c r="B2" t="s">
        <v>0</v>
      </c>
      <c r="C2" t="s">
        <v>1</v>
      </c>
      <c r="D2" s="282">
        <v>48041709.560000002</v>
      </c>
      <c r="E2" s="282">
        <v>35.28</v>
      </c>
      <c r="F2" s="282">
        <v>42503730.479999997</v>
      </c>
      <c r="G2" s="283">
        <v>11782606.300000004</v>
      </c>
      <c r="H2" s="317">
        <v>1</v>
      </c>
      <c r="I2" s="152">
        <f>SUM(F2:G2)</f>
        <v>54286336.780000001</v>
      </c>
    </row>
    <row r="3" spans="1:9" x14ac:dyDescent="0.2">
      <c r="A3" s="97">
        <v>2</v>
      </c>
      <c r="B3" t="s">
        <v>2</v>
      </c>
      <c r="C3" t="s">
        <v>3</v>
      </c>
      <c r="D3" s="282">
        <v>289750</v>
      </c>
      <c r="E3" s="282">
        <v>-4.2300000000000004</v>
      </c>
      <c r="F3" s="282">
        <v>157929.16</v>
      </c>
      <c r="G3" s="283">
        <v>116724.22</v>
      </c>
      <c r="H3" s="317">
        <v>2</v>
      </c>
      <c r="I3" s="152">
        <f t="shared" ref="I3:I28" si="0">SUM(F3:G3)</f>
        <v>274653.38</v>
      </c>
    </row>
    <row r="4" spans="1:9" x14ac:dyDescent="0.2">
      <c r="A4" s="97">
        <v>3</v>
      </c>
      <c r="B4" t="s">
        <v>4</v>
      </c>
      <c r="C4" t="s">
        <v>5</v>
      </c>
      <c r="D4" s="282">
        <v>265018</v>
      </c>
      <c r="E4" s="282">
        <v>852.34</v>
      </c>
      <c r="F4" s="282">
        <v>109448.93</v>
      </c>
      <c r="G4" s="283">
        <v>191885.21000000002</v>
      </c>
      <c r="H4" s="317">
        <v>1</v>
      </c>
      <c r="I4" s="152">
        <f t="shared" si="0"/>
        <v>301334.14</v>
      </c>
    </row>
    <row r="5" spans="1:9" x14ac:dyDescent="0.2">
      <c r="A5" s="97">
        <v>4</v>
      </c>
      <c r="B5" t="s">
        <v>1001</v>
      </c>
      <c r="C5" t="s">
        <v>729</v>
      </c>
      <c r="D5" s="282">
        <v>0</v>
      </c>
      <c r="E5" s="282">
        <v>-100</v>
      </c>
      <c r="F5" s="282">
        <v>0</v>
      </c>
      <c r="G5" s="283">
        <v>0</v>
      </c>
      <c r="H5" s="317">
        <v>0</v>
      </c>
      <c r="I5" s="152">
        <f t="shared" si="0"/>
        <v>0</v>
      </c>
    </row>
    <row r="6" spans="1:9" x14ac:dyDescent="0.2">
      <c r="A6" s="97">
        <v>5</v>
      </c>
      <c r="B6" t="s">
        <v>6</v>
      </c>
      <c r="C6" t="s">
        <v>7</v>
      </c>
      <c r="D6" s="282">
        <v>3967386.58</v>
      </c>
      <c r="E6" s="282">
        <v>16.84</v>
      </c>
      <c r="F6" s="282">
        <v>6003172.1600000001</v>
      </c>
      <c r="G6" s="283">
        <v>4855270.51</v>
      </c>
      <c r="H6" s="317">
        <v>0</v>
      </c>
      <c r="I6" s="152">
        <f t="shared" si="0"/>
        <v>10858442.67</v>
      </c>
    </row>
    <row r="7" spans="1:9" x14ac:dyDescent="0.2">
      <c r="A7" s="97">
        <v>6</v>
      </c>
      <c r="B7" t="s">
        <v>8</v>
      </c>
      <c r="C7" t="s">
        <v>9</v>
      </c>
      <c r="D7" s="282">
        <v>752830.06</v>
      </c>
      <c r="E7" s="282">
        <v>10</v>
      </c>
      <c r="F7" s="282">
        <v>1507791.8</v>
      </c>
      <c r="G7" s="283">
        <v>1328857.2899999998</v>
      </c>
      <c r="H7" s="317">
        <v>0</v>
      </c>
      <c r="I7" s="152">
        <f t="shared" si="0"/>
        <v>2836649.09</v>
      </c>
    </row>
    <row r="8" spans="1:9" x14ac:dyDescent="0.2">
      <c r="A8" s="97">
        <v>7</v>
      </c>
      <c r="B8" t="s">
        <v>10</v>
      </c>
      <c r="C8" t="s">
        <v>11</v>
      </c>
      <c r="D8" s="282">
        <v>525094.57999999996</v>
      </c>
      <c r="E8" s="282">
        <v>802.06</v>
      </c>
      <c r="F8" s="282">
        <v>496858.12</v>
      </c>
      <c r="G8" s="283">
        <v>1040157.65</v>
      </c>
      <c r="H8" s="317">
        <v>1</v>
      </c>
      <c r="I8" s="152">
        <f t="shared" si="0"/>
        <v>1537015.77</v>
      </c>
    </row>
    <row r="9" spans="1:9" x14ac:dyDescent="0.2">
      <c r="A9" s="97">
        <v>8</v>
      </c>
      <c r="B9" t="s">
        <v>12</v>
      </c>
      <c r="C9" t="s">
        <v>13</v>
      </c>
      <c r="D9" s="282">
        <v>8086447.6500000004</v>
      </c>
      <c r="E9" s="282">
        <v>55.11</v>
      </c>
      <c r="F9" s="282">
        <v>5345473.12</v>
      </c>
      <c r="G9" s="283">
        <v>4690770.669999999</v>
      </c>
      <c r="H9" s="317">
        <v>1</v>
      </c>
      <c r="I9" s="152">
        <f t="shared" si="0"/>
        <v>10036243.789999999</v>
      </c>
    </row>
    <row r="10" spans="1:9" x14ac:dyDescent="0.2">
      <c r="A10" s="97">
        <v>9</v>
      </c>
      <c r="B10" t="s">
        <v>14</v>
      </c>
      <c r="C10" t="s">
        <v>15</v>
      </c>
      <c r="D10" s="282">
        <v>26675742.030000001</v>
      </c>
      <c r="E10" s="282">
        <v>-5.9</v>
      </c>
      <c r="F10" s="282">
        <v>32336197.93</v>
      </c>
      <c r="G10" s="283">
        <v>9271152.0099999979</v>
      </c>
      <c r="H10" s="317">
        <v>0</v>
      </c>
      <c r="I10" s="152">
        <f t="shared" si="0"/>
        <v>41607349.939999998</v>
      </c>
    </row>
    <row r="11" spans="1:9" x14ac:dyDescent="0.2">
      <c r="A11" s="97">
        <v>10</v>
      </c>
      <c r="B11" t="s">
        <v>16</v>
      </c>
      <c r="C11" t="s">
        <v>17</v>
      </c>
      <c r="D11" s="282">
        <v>7273449.7699999996</v>
      </c>
      <c r="E11" s="282">
        <v>109.15</v>
      </c>
      <c r="F11" s="282">
        <v>8010292.0099999998</v>
      </c>
      <c r="G11" s="283">
        <v>4444436.51</v>
      </c>
      <c r="H11" s="317">
        <v>0</v>
      </c>
      <c r="I11" s="152">
        <f t="shared" si="0"/>
        <v>12454728.52</v>
      </c>
    </row>
    <row r="12" spans="1:9" x14ac:dyDescent="0.2">
      <c r="A12" s="97">
        <v>11</v>
      </c>
      <c r="B12" t="s">
        <v>18</v>
      </c>
      <c r="C12" t="s">
        <v>690</v>
      </c>
      <c r="D12" s="282">
        <v>2293874.02</v>
      </c>
      <c r="E12" s="282">
        <v>-71.03</v>
      </c>
      <c r="F12" s="282">
        <v>4059473.78</v>
      </c>
      <c r="G12" s="283">
        <v>4705786.6500000004</v>
      </c>
      <c r="H12" s="317">
        <v>0</v>
      </c>
      <c r="I12" s="152">
        <f t="shared" si="0"/>
        <v>8765260.4299999997</v>
      </c>
    </row>
    <row r="13" spans="1:9" x14ac:dyDescent="0.2">
      <c r="A13" s="97">
        <v>12</v>
      </c>
      <c r="B13" t="s">
        <v>694</v>
      </c>
      <c r="C13" t="s">
        <v>676</v>
      </c>
      <c r="D13" s="282">
        <v>98671622.849999994</v>
      </c>
      <c r="E13" s="282">
        <v>15.71</v>
      </c>
      <c r="F13" s="282">
        <v>101348915.13</v>
      </c>
      <c r="G13" s="283">
        <v>24191502.74000001</v>
      </c>
      <c r="H13" s="317">
        <v>0</v>
      </c>
      <c r="I13" s="152">
        <f t="shared" si="0"/>
        <v>125540417.87</v>
      </c>
    </row>
    <row r="14" spans="1:9" x14ac:dyDescent="0.2">
      <c r="A14" s="97">
        <v>13</v>
      </c>
      <c r="B14" t="s">
        <v>19</v>
      </c>
      <c r="C14" t="s">
        <v>20</v>
      </c>
      <c r="D14" s="282">
        <v>7462221.9400000004</v>
      </c>
      <c r="E14" s="282">
        <v>72.09</v>
      </c>
      <c r="F14" s="282">
        <v>8599313.6799999997</v>
      </c>
      <c r="G14" s="283">
        <v>3134768.2100000009</v>
      </c>
      <c r="H14" s="317">
        <v>0</v>
      </c>
      <c r="I14" s="152">
        <f t="shared" si="0"/>
        <v>11734081.890000001</v>
      </c>
    </row>
    <row r="15" spans="1:9" x14ac:dyDescent="0.2">
      <c r="A15" s="97">
        <v>14</v>
      </c>
      <c r="B15" t="s">
        <v>21</v>
      </c>
      <c r="C15" t="s">
        <v>22</v>
      </c>
      <c r="D15" s="282">
        <v>2736004.9</v>
      </c>
      <c r="E15" s="282">
        <v>28.36</v>
      </c>
      <c r="F15" s="282">
        <v>2543495.2599999998</v>
      </c>
      <c r="G15" s="283">
        <v>1204495.0100000002</v>
      </c>
      <c r="H15" s="317">
        <v>1</v>
      </c>
      <c r="I15" s="152">
        <f t="shared" si="0"/>
        <v>3747990.27</v>
      </c>
    </row>
    <row r="16" spans="1:9" x14ac:dyDescent="0.2">
      <c r="A16" s="97">
        <v>15</v>
      </c>
      <c r="B16" t="s">
        <v>730</v>
      </c>
      <c r="C16" t="s">
        <v>731</v>
      </c>
      <c r="D16" s="282">
        <v>273300.59000000003</v>
      </c>
      <c r="E16" s="282">
        <v>52.1</v>
      </c>
      <c r="F16" s="282">
        <v>482822.43</v>
      </c>
      <c r="G16" s="283">
        <v>278228.88000000006</v>
      </c>
      <c r="H16" s="317">
        <v>0</v>
      </c>
      <c r="I16" s="152">
        <f t="shared" si="0"/>
        <v>761051.31</v>
      </c>
    </row>
    <row r="17" spans="1:9" x14ac:dyDescent="0.2">
      <c r="A17" s="97">
        <v>16</v>
      </c>
      <c r="B17" t="s">
        <v>23</v>
      </c>
      <c r="C17" t="s">
        <v>24</v>
      </c>
      <c r="D17" s="282">
        <v>1781640.99</v>
      </c>
      <c r="E17" s="282">
        <v>-12.11</v>
      </c>
      <c r="F17" s="282">
        <v>3102348.77</v>
      </c>
      <c r="G17" s="283">
        <v>1228586.8500000001</v>
      </c>
      <c r="H17" s="317">
        <v>0</v>
      </c>
      <c r="I17" s="152">
        <f t="shared" si="0"/>
        <v>4330935.62</v>
      </c>
    </row>
    <row r="18" spans="1:9" x14ac:dyDescent="0.2">
      <c r="A18" s="97">
        <v>17</v>
      </c>
      <c r="B18" t="s">
        <v>25</v>
      </c>
      <c r="C18" t="s">
        <v>26</v>
      </c>
      <c r="D18" s="282">
        <v>26686470.030000001</v>
      </c>
      <c r="E18" s="282">
        <v>-5.88</v>
      </c>
      <c r="F18" s="282">
        <v>32313201.23</v>
      </c>
      <c r="G18" s="283">
        <v>9026926.9599999972</v>
      </c>
      <c r="H18" s="317">
        <v>0</v>
      </c>
      <c r="I18" s="152">
        <f t="shared" si="0"/>
        <v>41340128.189999998</v>
      </c>
    </row>
    <row r="19" spans="1:9" x14ac:dyDescent="0.2">
      <c r="A19" s="97">
        <v>18</v>
      </c>
      <c r="B19" t="s">
        <v>27</v>
      </c>
      <c r="C19" t="s">
        <v>722</v>
      </c>
      <c r="D19" s="282">
        <v>8133745</v>
      </c>
      <c r="E19" s="282">
        <v>31.94</v>
      </c>
      <c r="F19" s="282">
        <v>8910388.5</v>
      </c>
      <c r="G19" s="283">
        <v>2765904.5700000003</v>
      </c>
      <c r="H19" s="317">
        <v>0</v>
      </c>
      <c r="I19" s="152">
        <f t="shared" si="0"/>
        <v>11676293.07</v>
      </c>
    </row>
    <row r="20" spans="1:9" x14ac:dyDescent="0.2">
      <c r="A20" s="97">
        <v>19</v>
      </c>
      <c r="B20" t="s">
        <v>29</v>
      </c>
      <c r="C20" t="s">
        <v>30</v>
      </c>
      <c r="D20" s="282">
        <v>15191020</v>
      </c>
      <c r="E20" s="282">
        <v>5.68</v>
      </c>
      <c r="F20" s="282">
        <v>15491408.779999999</v>
      </c>
      <c r="G20" s="283">
        <v>4802827.2300000023</v>
      </c>
      <c r="H20" s="317">
        <v>0</v>
      </c>
      <c r="I20" s="152">
        <f t="shared" si="0"/>
        <v>20294236.010000002</v>
      </c>
    </row>
    <row r="21" spans="1:9" x14ac:dyDescent="0.2">
      <c r="A21" s="97">
        <v>20</v>
      </c>
      <c r="B21" t="s">
        <v>31</v>
      </c>
      <c r="C21" t="s">
        <v>32</v>
      </c>
      <c r="D21" s="282">
        <v>2059297.92</v>
      </c>
      <c r="E21" s="282">
        <v>2.69</v>
      </c>
      <c r="F21" s="282">
        <v>2235706.5699999998</v>
      </c>
      <c r="G21" s="283">
        <v>741574.34000000032</v>
      </c>
      <c r="H21" s="317">
        <v>0</v>
      </c>
      <c r="I21" s="152">
        <f t="shared" si="0"/>
        <v>2977280.91</v>
      </c>
    </row>
    <row r="22" spans="1:9" x14ac:dyDescent="0.2">
      <c r="A22" s="97">
        <v>21</v>
      </c>
      <c r="B22" t="s">
        <v>33</v>
      </c>
      <c r="C22" t="s">
        <v>34</v>
      </c>
      <c r="D22" s="282">
        <v>3181028.26</v>
      </c>
      <c r="E22" s="282">
        <v>11.44</v>
      </c>
      <c r="F22" s="282">
        <v>4462614.59</v>
      </c>
      <c r="G22" s="283">
        <v>3246823.74</v>
      </c>
      <c r="H22" s="317">
        <v>0</v>
      </c>
      <c r="I22" s="152">
        <f t="shared" si="0"/>
        <v>7709438.3300000001</v>
      </c>
    </row>
    <row r="23" spans="1:9" x14ac:dyDescent="0.2">
      <c r="A23" s="97">
        <v>22</v>
      </c>
      <c r="B23" t="s">
        <v>35</v>
      </c>
      <c r="C23" t="s">
        <v>36</v>
      </c>
      <c r="D23" s="282">
        <v>1811313.51</v>
      </c>
      <c r="E23" s="282">
        <v>-2.11</v>
      </c>
      <c r="F23" s="282">
        <v>2250681.17</v>
      </c>
      <c r="G23" s="283">
        <v>592013.29</v>
      </c>
      <c r="H23" s="317">
        <v>0</v>
      </c>
      <c r="I23" s="152">
        <f t="shared" si="0"/>
        <v>2842694.46</v>
      </c>
    </row>
    <row r="24" spans="1:9" x14ac:dyDescent="0.2">
      <c r="A24" s="97">
        <v>23</v>
      </c>
      <c r="B24" t="s">
        <v>37</v>
      </c>
      <c r="C24" t="s">
        <v>38</v>
      </c>
      <c r="D24" s="282">
        <v>2485969</v>
      </c>
      <c r="E24" s="282">
        <v>32.47</v>
      </c>
      <c r="F24" s="282">
        <v>3363210.27</v>
      </c>
      <c r="G24" s="283">
        <v>1551663.1700000004</v>
      </c>
      <c r="H24" s="317">
        <v>0</v>
      </c>
      <c r="I24" s="152">
        <f t="shared" si="0"/>
        <v>4914873.4400000004</v>
      </c>
    </row>
    <row r="25" spans="1:9" x14ac:dyDescent="0.2">
      <c r="A25" s="97">
        <v>24</v>
      </c>
      <c r="B25" t="s">
        <v>39</v>
      </c>
      <c r="C25" t="s">
        <v>40</v>
      </c>
      <c r="D25" s="282">
        <v>5854077</v>
      </c>
      <c r="E25" s="282">
        <v>-16.29</v>
      </c>
      <c r="F25" s="282">
        <v>5828834.04</v>
      </c>
      <c r="G25" s="283">
        <v>2396337.7199999997</v>
      </c>
      <c r="H25" s="317">
        <v>1</v>
      </c>
      <c r="I25" s="152">
        <f t="shared" si="0"/>
        <v>8225171.7599999998</v>
      </c>
    </row>
    <row r="26" spans="1:9" x14ac:dyDescent="0.2">
      <c r="A26" s="97">
        <v>25</v>
      </c>
      <c r="B26" t="s">
        <v>732</v>
      </c>
      <c r="C26" t="s">
        <v>733</v>
      </c>
      <c r="D26" s="282">
        <v>2710765.86</v>
      </c>
      <c r="E26" s="282">
        <v>318.31</v>
      </c>
      <c r="F26" s="282">
        <v>495692.42</v>
      </c>
      <c r="G26" s="283">
        <v>684071.89000000013</v>
      </c>
      <c r="H26" s="317">
        <v>4</v>
      </c>
      <c r="I26" s="152">
        <f t="shared" si="0"/>
        <v>1179764.31</v>
      </c>
    </row>
    <row r="27" spans="1:9" x14ac:dyDescent="0.2">
      <c r="A27" s="97">
        <v>26</v>
      </c>
      <c r="B27" t="s">
        <v>41</v>
      </c>
      <c r="C27" t="s">
        <v>42</v>
      </c>
      <c r="D27" s="282">
        <v>4940968.99</v>
      </c>
      <c r="E27" s="282">
        <v>-23.2</v>
      </c>
      <c r="F27" s="282">
        <v>8912048.0199999996</v>
      </c>
      <c r="G27" s="283">
        <v>5377288.1100000013</v>
      </c>
      <c r="H27" s="317">
        <v>0</v>
      </c>
      <c r="I27" s="152">
        <f t="shared" si="0"/>
        <v>14289336.130000001</v>
      </c>
    </row>
    <row r="28" spans="1:9" x14ac:dyDescent="0.2">
      <c r="A28" s="97">
        <v>27</v>
      </c>
      <c r="B28" t="s">
        <v>695</v>
      </c>
      <c r="C28" t="s">
        <v>696</v>
      </c>
      <c r="D28" s="282">
        <v>85307823.989999995</v>
      </c>
      <c r="E28" s="282">
        <v>6.33</v>
      </c>
      <c r="F28" s="282">
        <v>98961885.689999998</v>
      </c>
      <c r="G28" s="283">
        <v>22720325.079999998</v>
      </c>
      <c r="H28" s="317">
        <v>0</v>
      </c>
      <c r="I28" s="152">
        <f t="shared" si="0"/>
        <v>121682210.77</v>
      </c>
    </row>
    <row r="31" spans="1:9" x14ac:dyDescent="0.2">
      <c r="D31" s="316" t="s">
        <v>1329</v>
      </c>
      <c r="E31" s="3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opLeftCell="M1" zoomScale="90" zoomScaleNormal="90" workbookViewId="0">
      <selection activeCell="Q9" sqref="Q9"/>
    </sheetView>
  </sheetViews>
  <sheetFormatPr defaultColWidth="9.125" defaultRowHeight="24" x14ac:dyDescent="0.55000000000000004"/>
  <cols>
    <col min="1" max="1" width="20.375" style="26" bestFit="1" customWidth="1"/>
    <col min="2" max="2" width="21.25" style="26" bestFit="1" customWidth="1"/>
    <col min="3" max="3" width="16.625" style="26" customWidth="1"/>
    <col min="4" max="4" width="13.25" style="26" bestFit="1" customWidth="1"/>
    <col min="5" max="5" width="18" style="26" bestFit="1" customWidth="1"/>
    <col min="6" max="6" width="16.75" style="26" bestFit="1" customWidth="1"/>
    <col min="7" max="7" width="13.875" style="26" bestFit="1" customWidth="1"/>
    <col min="8" max="8" width="17.75" style="26" bestFit="1" customWidth="1"/>
    <col min="9" max="9" width="19.375" style="26" customWidth="1"/>
    <col min="10" max="10" width="25.625" style="26" customWidth="1"/>
    <col min="11" max="11" width="15.75" style="26" bestFit="1" customWidth="1"/>
    <col min="12" max="12" width="14.875" style="26" customWidth="1"/>
    <col min="13" max="13" width="17.75" style="26" bestFit="1" customWidth="1"/>
    <col min="14" max="14" width="22.75" style="26" customWidth="1"/>
    <col min="15" max="15" width="18.125" style="26" customWidth="1"/>
    <col min="16" max="16" width="19.875" style="26" customWidth="1"/>
    <col min="17" max="17" width="23" style="26" customWidth="1"/>
    <col min="18" max="18" width="13.625" style="26" customWidth="1"/>
    <col min="19" max="19" width="52" style="26" customWidth="1"/>
    <col min="20" max="23" width="9.125" style="26"/>
    <col min="24" max="24" width="6.375" style="1" customWidth="1"/>
    <col min="25" max="25" width="11.875" style="1" customWidth="1"/>
    <col min="26" max="26" width="12.375" style="1" customWidth="1"/>
    <col min="27" max="27" width="14" style="1" customWidth="1"/>
    <col min="28" max="28" width="72.375" style="1" customWidth="1"/>
    <col min="29" max="29" width="9.125" style="26" customWidth="1"/>
    <col min="30" max="16384" width="9.125" style="26"/>
  </cols>
  <sheetData>
    <row r="1" spans="1:28" s="239" customFormat="1" ht="22.5" x14ac:dyDescent="0.2">
      <c r="A1" s="548" t="s">
        <v>1238</v>
      </c>
      <c r="B1" s="548" t="s">
        <v>1261</v>
      </c>
      <c r="C1" s="548" t="s">
        <v>1240</v>
      </c>
      <c r="D1" s="548" t="s">
        <v>1241</v>
      </c>
      <c r="E1" s="548" t="s">
        <v>1262</v>
      </c>
      <c r="F1" s="548" t="s">
        <v>1237</v>
      </c>
      <c r="G1" s="548" t="s">
        <v>1264</v>
      </c>
      <c r="H1" s="548" t="s">
        <v>1265</v>
      </c>
      <c r="I1" s="550" t="s">
        <v>1266</v>
      </c>
      <c r="J1" s="550" t="s">
        <v>1267</v>
      </c>
      <c r="K1" s="548" t="s">
        <v>1268</v>
      </c>
      <c r="L1" s="548" t="s">
        <v>1269</v>
      </c>
      <c r="M1" s="548" t="s">
        <v>1271</v>
      </c>
      <c r="N1" s="550" t="s">
        <v>1346</v>
      </c>
      <c r="O1" s="323" t="s">
        <v>1272</v>
      </c>
      <c r="P1" s="323" t="s">
        <v>1273</v>
      </c>
      <c r="Q1" s="323" t="s">
        <v>1274</v>
      </c>
      <c r="R1" s="240"/>
      <c r="S1" s="241"/>
      <c r="X1" s="339"/>
      <c r="Y1" s="339"/>
      <c r="Z1" s="339"/>
      <c r="AA1" s="339"/>
      <c r="AB1" s="339"/>
    </row>
    <row r="2" spans="1:28" s="239" customFormat="1" ht="28.5" customHeight="1" thickBot="1" x14ac:dyDescent="0.25">
      <c r="A2" s="549"/>
      <c r="B2" s="549"/>
      <c r="C2" s="549"/>
      <c r="D2" s="549"/>
      <c r="E2" s="549"/>
      <c r="F2" s="549"/>
      <c r="G2" s="549"/>
      <c r="H2" s="549"/>
      <c r="I2" s="551"/>
      <c r="J2" s="551"/>
      <c r="K2" s="549"/>
      <c r="L2" s="549"/>
      <c r="M2" s="549"/>
      <c r="N2" s="551"/>
      <c r="O2" s="340" t="s">
        <v>1275</v>
      </c>
      <c r="P2" s="341"/>
      <c r="Q2" s="341"/>
      <c r="R2" s="342"/>
      <c r="S2" s="342"/>
      <c r="X2" s="339"/>
      <c r="Y2" s="339"/>
      <c r="Z2" s="339"/>
      <c r="AA2" s="339"/>
      <c r="AB2" s="339"/>
    </row>
    <row r="3" spans="1:28" s="229" customFormat="1" ht="72" x14ac:dyDescent="0.5">
      <c r="A3" s="194" t="s">
        <v>689</v>
      </c>
      <c r="B3" s="194" t="s">
        <v>1249</v>
      </c>
      <c r="C3" s="194" t="s">
        <v>1250</v>
      </c>
      <c r="D3" s="194" t="s">
        <v>728</v>
      </c>
      <c r="E3" s="194" t="s">
        <v>1251</v>
      </c>
      <c r="F3" s="194" t="s">
        <v>1263</v>
      </c>
      <c r="G3" s="230" t="s">
        <v>1260</v>
      </c>
      <c r="H3" s="194" t="s">
        <v>811</v>
      </c>
      <c r="I3" s="194" t="s">
        <v>1524</v>
      </c>
      <c r="J3" s="194" t="s">
        <v>1349</v>
      </c>
      <c r="K3" s="230" t="s">
        <v>1252</v>
      </c>
      <c r="L3" s="194" t="s">
        <v>1270</v>
      </c>
      <c r="M3" s="235" t="s">
        <v>1253</v>
      </c>
      <c r="N3" s="194" t="s">
        <v>1350</v>
      </c>
      <c r="O3" s="194" t="s">
        <v>1254</v>
      </c>
      <c r="P3" s="272" t="s">
        <v>1255</v>
      </c>
      <c r="Q3" s="272" t="s">
        <v>1256</v>
      </c>
      <c r="R3" s="244" t="s">
        <v>1257</v>
      </c>
      <c r="S3" s="243" t="s">
        <v>1276</v>
      </c>
      <c r="X3" s="1"/>
      <c r="Y3" s="1"/>
      <c r="Z3" s="1"/>
      <c r="AA3" s="1"/>
      <c r="AB3" s="1"/>
    </row>
    <row r="4" spans="1:28" ht="24.75" thickBot="1" x14ac:dyDescent="0.6">
      <c r="A4" s="219">
        <f>SUM(Planfin2562!D16-Planfin2562!D15)</f>
        <v>98234487.314166665</v>
      </c>
      <c r="B4" s="219">
        <f>SUM(Planfin2562!D31-Planfin2562!D28)</f>
        <v>85900511.375066668</v>
      </c>
      <c r="C4" s="210">
        <f>SUM(A4-B4)</f>
        <v>12333975.939099997</v>
      </c>
      <c r="D4" s="233" t="str">
        <f>IF(C4&gt;0,"เกินดุล",IF(C4=0,"สมดุล","ขาดดุล"))</f>
        <v>เกินดุล</v>
      </c>
      <c r="E4" s="231">
        <f>IF(C4&lt;=0,0,ROUNDUP((C4*20%),2))</f>
        <v>2466795.19</v>
      </c>
      <c r="F4" s="210">
        <f>SUM(Planfin2562!D86)</f>
        <v>5145250</v>
      </c>
      <c r="G4" s="232">
        <f>IF(C4=0,0,(F4/C4)*100)</f>
        <v>41.716069703760475</v>
      </c>
      <c r="H4" s="231">
        <f>E4-F4</f>
        <v>-2678454.81</v>
      </c>
      <c r="I4" s="219">
        <f>SUM(Planfin2562!C38)</f>
        <v>29038602.861818179</v>
      </c>
      <c r="J4" s="219">
        <f>SUM(Planfin2562!C39-Planfin2562!C40)</f>
        <v>44248465.123636365</v>
      </c>
      <c r="K4" s="234">
        <f>SUM(B4/12)</f>
        <v>7158375.9479222223</v>
      </c>
      <c r="L4" s="210">
        <f>SUM(I4/K4)</f>
        <v>4.0565909185374478</v>
      </c>
      <c r="M4" s="236">
        <f>SUM(H4:I4)</f>
        <v>26360148.051818181</v>
      </c>
      <c r="N4" s="337">
        <f>SUM(M4/K4)</f>
        <v>3.6824201807212193</v>
      </c>
      <c r="O4" s="237" t="str">
        <f>IF(C4&gt;=0, "Normal", "Risk")</f>
        <v>Normal</v>
      </c>
      <c r="P4" s="237" t="str">
        <f t="shared" ref="P4" si="0">IF(H4&gt;=0, "Normal", "Risk")</f>
        <v>Risk</v>
      </c>
      <c r="Q4" s="238" t="str">
        <f t="shared" ref="Q4" si="1">IF(N4&gt;1, "Normal", "Risk")</f>
        <v>Normal</v>
      </c>
      <c r="R4" s="98">
        <f>IF(AND(O4="Normal",P4="Normal",Q4="Normal"),1,IF(AND(O4="Normal",P4="Normal",Q4="Risk"),2,IF(AND(O4="Normal",P4="Risk",Q4="Normal"),3,IF(AND(O4="Normal",P4="Risk",Q4="Risk"),4,IF(AND(O4="Risk",P4="Normal",Q4="Normal"),5,IF(AND(O4="Risk",P4="Normal",Q4="Risk"),6,IF(AND(O4="Risk",P4="Risk",Q4="Normal"),7,IF(AND(O4="Risk",P4="Risk",Q4="Risk"),8,"Unknows"))))))))</f>
        <v>3</v>
      </c>
      <c r="S4" s="242" t="str">
        <f>VLOOKUP(R4,$X$9:$AB$16,5,0)</f>
        <v>ทบทวนการลงทุนอีกครั้ง ทำFeasibility study</v>
      </c>
      <c r="Y4" s="250" t="s">
        <v>1277</v>
      </c>
      <c r="Z4" s="250" t="s">
        <v>1278</v>
      </c>
      <c r="AA4" s="250" t="s">
        <v>1279</v>
      </c>
      <c r="AB4" s="250"/>
    </row>
    <row r="5" spans="1:28" ht="27" customHeight="1" x14ac:dyDescent="0.55000000000000004">
      <c r="I5" s="552" t="s">
        <v>1348</v>
      </c>
      <c r="J5" s="552"/>
      <c r="N5" s="338" t="s">
        <v>1347</v>
      </c>
      <c r="X5" s="251" t="s">
        <v>1280</v>
      </c>
      <c r="Y5" s="251" t="s">
        <v>1281</v>
      </c>
      <c r="Z5" s="251" t="s">
        <v>1282</v>
      </c>
      <c r="AA5" s="251" t="s">
        <v>1283</v>
      </c>
      <c r="AB5" s="545" t="s">
        <v>1276</v>
      </c>
    </row>
    <row r="6" spans="1:28" x14ac:dyDescent="0.55000000000000004">
      <c r="X6" s="252" t="s">
        <v>1284</v>
      </c>
      <c r="Y6" s="253" t="s">
        <v>1285</v>
      </c>
      <c r="Z6" s="252" t="s">
        <v>1286</v>
      </c>
      <c r="AA6" s="253" t="s">
        <v>1287</v>
      </c>
      <c r="AB6" s="546"/>
    </row>
    <row r="7" spans="1:28" x14ac:dyDescent="0.55000000000000004">
      <c r="X7" s="254"/>
      <c r="Y7" s="253" t="s">
        <v>1288</v>
      </c>
      <c r="Z7" s="255" t="s">
        <v>1296</v>
      </c>
      <c r="AA7" s="255" t="s">
        <v>1297</v>
      </c>
      <c r="AB7" s="546"/>
    </row>
    <row r="8" spans="1:28" ht="24.75" thickBot="1" x14ac:dyDescent="0.6">
      <c r="X8" s="256"/>
      <c r="Y8" s="256"/>
      <c r="Z8" s="257" t="s">
        <v>1289</v>
      </c>
      <c r="AA8" s="256"/>
      <c r="AB8" s="547"/>
    </row>
    <row r="9" spans="1:28" ht="25.5" thickTop="1" thickBot="1" x14ac:dyDescent="0.6">
      <c r="X9" s="258">
        <v>1</v>
      </c>
      <c r="Y9" s="258" t="s">
        <v>1290</v>
      </c>
      <c r="Z9" s="258" t="s">
        <v>1291</v>
      </c>
      <c r="AA9" s="258" t="s">
        <v>1258</v>
      </c>
      <c r="AB9" s="267" t="s">
        <v>1292</v>
      </c>
    </row>
    <row r="10" spans="1:28" ht="24.75" thickBot="1" x14ac:dyDescent="0.6">
      <c r="X10" s="259">
        <v>2</v>
      </c>
      <c r="Y10" s="259" t="s">
        <v>1290</v>
      </c>
      <c r="Z10" s="259" t="s">
        <v>1291</v>
      </c>
      <c r="AA10" s="260" t="s">
        <v>1259</v>
      </c>
      <c r="AB10" s="268" t="s">
        <v>1293</v>
      </c>
    </row>
    <row r="11" spans="1:28" ht="24.75" thickBot="1" x14ac:dyDescent="0.6">
      <c r="X11" s="263">
        <v>3</v>
      </c>
      <c r="Y11" s="263" t="s">
        <v>1290</v>
      </c>
      <c r="Z11" s="263" t="s">
        <v>1298</v>
      </c>
      <c r="AA11" s="263" t="s">
        <v>1258</v>
      </c>
      <c r="AB11" s="269" t="s">
        <v>1300</v>
      </c>
    </row>
    <row r="12" spans="1:28" ht="24.75" thickBot="1" x14ac:dyDescent="0.6">
      <c r="X12" s="264">
        <v>4</v>
      </c>
      <c r="Y12" s="264" t="s">
        <v>1290</v>
      </c>
      <c r="Z12" s="264" t="s">
        <v>1298</v>
      </c>
      <c r="AA12" s="265" t="s">
        <v>1259</v>
      </c>
      <c r="AB12" s="270" t="s">
        <v>1304</v>
      </c>
    </row>
    <row r="13" spans="1:28" ht="24.75" thickBot="1" x14ac:dyDescent="0.6">
      <c r="X13" s="261">
        <v>5</v>
      </c>
      <c r="Y13" s="262" t="s">
        <v>1259</v>
      </c>
      <c r="Z13" s="262" t="s">
        <v>1299</v>
      </c>
      <c r="AA13" s="261" t="s">
        <v>1258</v>
      </c>
      <c r="AB13" s="271" t="s">
        <v>1294</v>
      </c>
    </row>
    <row r="14" spans="1:28" ht="24.75" thickBot="1" x14ac:dyDescent="0.6">
      <c r="X14" s="264">
        <v>6</v>
      </c>
      <c r="Y14" s="265" t="s">
        <v>1259</v>
      </c>
      <c r="Z14" s="265" t="s">
        <v>1299</v>
      </c>
      <c r="AA14" s="265" t="s">
        <v>1295</v>
      </c>
      <c r="AB14" s="270" t="s">
        <v>1303</v>
      </c>
    </row>
    <row r="15" spans="1:28" ht="24.75" thickBot="1" x14ac:dyDescent="0.6">
      <c r="X15" s="263">
        <v>7</v>
      </c>
      <c r="Y15" s="266" t="s">
        <v>1259</v>
      </c>
      <c r="Z15" s="266" t="s">
        <v>1295</v>
      </c>
      <c r="AA15" s="263" t="s">
        <v>1258</v>
      </c>
      <c r="AB15" s="269" t="s">
        <v>1301</v>
      </c>
    </row>
    <row r="16" spans="1:28" x14ac:dyDescent="0.55000000000000004">
      <c r="X16" s="264">
        <v>8</v>
      </c>
      <c r="Y16" s="265" t="s">
        <v>1259</v>
      </c>
      <c r="Z16" s="265" t="s">
        <v>1295</v>
      </c>
      <c r="AA16" s="265" t="s">
        <v>1259</v>
      </c>
      <c r="AB16" s="270" t="s">
        <v>1302</v>
      </c>
    </row>
  </sheetData>
  <mergeCells count="16">
    <mergeCell ref="AB5:AB8"/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  <mergeCell ref="I5:J5"/>
  </mergeCells>
  <conditionalFormatting sqref="D1 D3:D1048576">
    <cfRule type="containsText" dxfId="12" priority="13" operator="containsText" text="เกินดุล">
      <formula>NOT(ISERROR(SEARCH("เกินดุล",D1)))</formula>
    </cfRule>
    <cfRule type="containsText" dxfId="11" priority="14" operator="containsText" text="สมดุล">
      <formula>NOT(ISERROR(SEARCH("สมดุล",D1)))</formula>
    </cfRule>
    <cfRule type="containsText" dxfId="10" priority="15" operator="containsText" text="ขาดดุล">
      <formula>NOT(ISERROR(SEARCH("ขาดดุล",D1)))</formula>
    </cfRule>
    <cfRule type="containsText" dxfId="9" priority="16" operator="containsText" text="สมดุล">
      <formula>NOT(ISERROR(SEARCH("สมดุล",D1)))</formula>
    </cfRule>
  </conditionalFormatting>
  <conditionalFormatting sqref="H4">
    <cfRule type="cellIs" dxfId="8" priority="12" operator="lessThan">
      <formula>0</formula>
    </cfRule>
  </conditionalFormatting>
  <conditionalFormatting sqref="R4">
    <cfRule type="cellIs" dxfId="7" priority="1" operator="equal">
      <formula>8</formula>
    </cfRule>
    <cfRule type="cellIs" dxfId="6" priority="2" operator="equal">
      <formula>7</formula>
    </cfRule>
    <cfRule type="cellIs" dxfId="5" priority="3" operator="equal">
      <formula>6</formula>
    </cfRule>
    <cfRule type="cellIs" dxfId="4" priority="4" operator="equal">
      <formula>5</formula>
    </cfRule>
    <cfRule type="cellIs" dxfId="3" priority="5" operator="equal">
      <formula>4</formula>
    </cfRule>
    <cfRule type="cellIs" dxfId="2" priority="6" operator="equal">
      <formula>3</formula>
    </cfRule>
    <cfRule type="cellIs" dxfId="1" priority="9" operator="equal">
      <formula>2</formula>
    </cfRule>
    <cfRule type="cellIs" dxfId="0" priority="10" operator="equal">
      <formula>1</formula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K438"/>
  <sheetViews>
    <sheetView zoomScale="90" zoomScaleNormal="90" workbookViewId="0">
      <pane xSplit="4" ySplit="1" topLeftCell="E2" activePane="bottomRight" state="frozen"/>
      <selection activeCell="H54" sqref="H54"/>
      <selection pane="topRight" activeCell="H54" sqref="H54"/>
      <selection pane="bottomLeft" activeCell="H54" sqref="H54"/>
      <selection pane="bottomRight" activeCell="F54" sqref="F54"/>
    </sheetView>
  </sheetViews>
  <sheetFormatPr defaultColWidth="9" defaultRowHeight="27.75" x14ac:dyDescent="0.2"/>
  <cols>
    <col min="1" max="1" width="15" style="329" customWidth="1"/>
    <col min="2" max="2" width="39.75" style="329" customWidth="1"/>
    <col min="3" max="3" width="5.25" style="329" customWidth="1"/>
    <col min="4" max="4" width="22.25" style="329" customWidth="1"/>
    <col min="5" max="5" width="9.25" style="334" customWidth="1"/>
    <col min="6" max="6" width="38.875" style="329" customWidth="1"/>
    <col min="7" max="7" width="7" style="329" customWidth="1"/>
    <col min="8" max="8" width="8.75" style="329" customWidth="1"/>
    <col min="9" max="11" width="9" style="329" customWidth="1"/>
    <col min="12" max="12" width="16.375" style="329" customWidth="1"/>
    <col min="13" max="16384" width="9" style="329"/>
  </cols>
  <sheetData>
    <row r="1" spans="1:11" x14ac:dyDescent="0.2">
      <c r="A1" s="324" t="s">
        <v>1099</v>
      </c>
      <c r="B1" s="324" t="s">
        <v>1100</v>
      </c>
      <c r="C1" s="325" t="s">
        <v>743</v>
      </c>
      <c r="D1" s="325" t="s">
        <v>744</v>
      </c>
      <c r="E1" s="326" t="s">
        <v>745</v>
      </c>
      <c r="F1" s="327" t="s">
        <v>746</v>
      </c>
      <c r="G1" s="328" t="s">
        <v>1097</v>
      </c>
      <c r="H1" s="328" t="s">
        <v>1098</v>
      </c>
      <c r="I1" s="329" t="s">
        <v>1101</v>
      </c>
      <c r="J1" s="329" t="s">
        <v>1102</v>
      </c>
      <c r="K1" s="329" t="s">
        <v>1103</v>
      </c>
    </row>
    <row r="2" spans="1:11" hidden="1" x14ac:dyDescent="0.2">
      <c r="A2" s="330" t="s">
        <v>144</v>
      </c>
      <c r="B2" s="330" t="s">
        <v>145</v>
      </c>
      <c r="C2" s="330" t="s">
        <v>16</v>
      </c>
      <c r="D2" s="330" t="s">
        <v>17</v>
      </c>
      <c r="E2" s="330" t="s">
        <v>1035</v>
      </c>
      <c r="F2" s="330" t="s">
        <v>17</v>
      </c>
      <c r="G2" s="331">
        <v>9</v>
      </c>
      <c r="H2" s="332" t="s">
        <v>1021</v>
      </c>
      <c r="I2" s="329" t="s">
        <v>1105</v>
      </c>
      <c r="K2" s="329" t="s">
        <v>1104</v>
      </c>
    </row>
    <row r="3" spans="1:11" hidden="1" x14ac:dyDescent="0.2">
      <c r="A3" s="330" t="s">
        <v>146</v>
      </c>
      <c r="B3" s="330" t="s">
        <v>147</v>
      </c>
      <c r="C3" s="330" t="s">
        <v>16</v>
      </c>
      <c r="D3" s="330" t="s">
        <v>17</v>
      </c>
      <c r="E3" s="330" t="s">
        <v>1035</v>
      </c>
      <c r="F3" s="330" t="s">
        <v>17</v>
      </c>
      <c r="G3" s="331">
        <v>9</v>
      </c>
      <c r="H3" s="332" t="s">
        <v>1026</v>
      </c>
      <c r="I3" s="329" t="s">
        <v>1105</v>
      </c>
      <c r="K3" s="329" t="s">
        <v>1104</v>
      </c>
    </row>
    <row r="4" spans="1:11" hidden="1" x14ac:dyDescent="0.2">
      <c r="A4" s="330" t="s">
        <v>148</v>
      </c>
      <c r="B4" s="330" t="s">
        <v>149</v>
      </c>
      <c r="C4" s="330" t="s">
        <v>16</v>
      </c>
      <c r="D4" s="330" t="s">
        <v>17</v>
      </c>
      <c r="E4" s="330" t="s">
        <v>1035</v>
      </c>
      <c r="F4" s="330" t="s">
        <v>17</v>
      </c>
      <c r="G4" s="331">
        <v>9</v>
      </c>
      <c r="H4" s="332" t="s">
        <v>1021</v>
      </c>
      <c r="I4" s="329" t="s">
        <v>1105</v>
      </c>
      <c r="K4" s="329" t="s">
        <v>1107</v>
      </c>
    </row>
    <row r="5" spans="1:11" hidden="1" x14ac:dyDescent="0.2">
      <c r="A5" s="330" t="s">
        <v>150</v>
      </c>
      <c r="B5" s="330" t="s">
        <v>151</v>
      </c>
      <c r="C5" s="330" t="s">
        <v>16</v>
      </c>
      <c r="D5" s="330" t="s">
        <v>17</v>
      </c>
      <c r="E5" s="330" t="s">
        <v>1035</v>
      </c>
      <c r="F5" s="330" t="s">
        <v>17</v>
      </c>
      <c r="G5" s="331">
        <v>9</v>
      </c>
      <c r="H5" s="332" t="s">
        <v>1021</v>
      </c>
      <c r="I5" s="329" t="s">
        <v>1105</v>
      </c>
      <c r="K5" s="329" t="s">
        <v>1107</v>
      </c>
    </row>
    <row r="6" spans="1:11" hidden="1" x14ac:dyDescent="0.2">
      <c r="A6" s="330" t="s">
        <v>152</v>
      </c>
      <c r="B6" s="330" t="s">
        <v>1106</v>
      </c>
      <c r="C6" s="330" t="s">
        <v>16</v>
      </c>
      <c r="D6" s="330" t="s">
        <v>17</v>
      </c>
      <c r="E6" s="330" t="s">
        <v>1035</v>
      </c>
      <c r="F6" s="330" t="s">
        <v>17</v>
      </c>
      <c r="G6" s="331">
        <v>9</v>
      </c>
      <c r="H6" s="332" t="s">
        <v>1022</v>
      </c>
      <c r="I6" s="329" t="s">
        <v>1105</v>
      </c>
      <c r="K6" s="329" t="s">
        <v>1107</v>
      </c>
    </row>
    <row r="7" spans="1:11" hidden="1" x14ac:dyDescent="0.2">
      <c r="A7" s="330" t="s">
        <v>153</v>
      </c>
      <c r="B7" s="330" t="s">
        <v>154</v>
      </c>
      <c r="C7" s="330" t="s">
        <v>16</v>
      </c>
      <c r="D7" s="330" t="s">
        <v>17</v>
      </c>
      <c r="E7" s="330" t="s">
        <v>1035</v>
      </c>
      <c r="F7" s="330" t="s">
        <v>17</v>
      </c>
      <c r="G7" s="331">
        <v>9</v>
      </c>
      <c r="H7" s="332" t="s">
        <v>1024</v>
      </c>
      <c r="I7" s="329" t="s">
        <v>1105</v>
      </c>
      <c r="K7" s="329" t="s">
        <v>1107</v>
      </c>
    </row>
    <row r="8" spans="1:11" hidden="1" x14ac:dyDescent="0.2">
      <c r="A8" s="330" t="s">
        <v>155</v>
      </c>
      <c r="B8" s="330" t="s">
        <v>177</v>
      </c>
      <c r="C8" s="330" t="s">
        <v>16</v>
      </c>
      <c r="D8" s="330" t="s">
        <v>17</v>
      </c>
      <c r="E8" s="330" t="s">
        <v>1035</v>
      </c>
      <c r="F8" s="330" t="s">
        <v>17</v>
      </c>
      <c r="G8" s="331">
        <v>9</v>
      </c>
      <c r="H8" s="332" t="s">
        <v>1024</v>
      </c>
      <c r="I8" s="329" t="s">
        <v>1105</v>
      </c>
      <c r="K8" s="329" t="s">
        <v>1107</v>
      </c>
    </row>
    <row r="9" spans="1:11" hidden="1" x14ac:dyDescent="0.2">
      <c r="A9" s="330" t="s">
        <v>156</v>
      </c>
      <c r="B9" s="330" t="s">
        <v>179</v>
      </c>
      <c r="C9" s="330" t="s">
        <v>16</v>
      </c>
      <c r="D9" s="330" t="s">
        <v>17</v>
      </c>
      <c r="E9" s="330" t="s">
        <v>1035</v>
      </c>
      <c r="F9" s="330" t="s">
        <v>17</v>
      </c>
      <c r="G9" s="331">
        <v>9</v>
      </c>
      <c r="H9" s="332" t="s">
        <v>1021</v>
      </c>
      <c r="I9" s="329" t="s">
        <v>1105</v>
      </c>
      <c r="K9" s="329" t="s">
        <v>1107</v>
      </c>
    </row>
    <row r="10" spans="1:11" hidden="1" x14ac:dyDescent="0.2">
      <c r="A10" s="330" t="s">
        <v>157</v>
      </c>
      <c r="B10" s="330" t="s">
        <v>158</v>
      </c>
      <c r="C10" s="330" t="s">
        <v>16</v>
      </c>
      <c r="D10" s="330" t="s">
        <v>17</v>
      </c>
      <c r="E10" s="330" t="s">
        <v>1035</v>
      </c>
      <c r="F10" s="330" t="s">
        <v>17</v>
      </c>
      <c r="G10" s="331">
        <v>9</v>
      </c>
      <c r="H10" s="332" t="s">
        <v>1026</v>
      </c>
      <c r="I10" s="329" t="s">
        <v>1105</v>
      </c>
      <c r="K10" s="329" t="s">
        <v>1107</v>
      </c>
    </row>
    <row r="11" spans="1:11" hidden="1" x14ac:dyDescent="0.2">
      <c r="A11" s="330" t="s">
        <v>159</v>
      </c>
      <c r="B11" s="330" t="s">
        <v>160</v>
      </c>
      <c r="C11" s="330" t="s">
        <v>16</v>
      </c>
      <c r="D11" s="330" t="s">
        <v>17</v>
      </c>
      <c r="E11" s="330" t="s">
        <v>1035</v>
      </c>
      <c r="F11" s="330" t="s">
        <v>17</v>
      </c>
      <c r="G11" s="331">
        <v>9</v>
      </c>
      <c r="H11" s="332" t="s">
        <v>1026</v>
      </c>
      <c r="I11" s="329" t="s">
        <v>1105</v>
      </c>
      <c r="K11" s="329" t="s">
        <v>1107</v>
      </c>
    </row>
    <row r="12" spans="1:11" hidden="1" x14ac:dyDescent="0.2">
      <c r="A12" s="330" t="s">
        <v>117</v>
      </c>
      <c r="B12" s="330" t="s">
        <v>118</v>
      </c>
      <c r="C12" s="330" t="s">
        <v>12</v>
      </c>
      <c r="D12" s="330" t="s">
        <v>13</v>
      </c>
      <c r="E12" s="330" t="s">
        <v>1028</v>
      </c>
      <c r="F12" s="330" t="s">
        <v>1029</v>
      </c>
      <c r="G12" s="331">
        <v>8</v>
      </c>
      <c r="H12" s="332" t="s">
        <v>1015</v>
      </c>
      <c r="I12" s="329" t="s">
        <v>1105</v>
      </c>
      <c r="K12" s="329" t="s">
        <v>1104</v>
      </c>
    </row>
    <row r="13" spans="1:11" hidden="1" x14ac:dyDescent="0.2">
      <c r="A13" s="330" t="s">
        <v>119</v>
      </c>
      <c r="B13" s="330" t="s">
        <v>120</v>
      </c>
      <c r="C13" s="330" t="s">
        <v>12</v>
      </c>
      <c r="D13" s="330" t="s">
        <v>13</v>
      </c>
      <c r="E13" s="330" t="s">
        <v>1028</v>
      </c>
      <c r="F13" s="330" t="s">
        <v>1029</v>
      </c>
      <c r="G13" s="331">
        <v>8</v>
      </c>
      <c r="H13" s="332" t="s">
        <v>1017</v>
      </c>
      <c r="I13" s="329" t="s">
        <v>1105</v>
      </c>
      <c r="K13" s="329" t="s">
        <v>1104</v>
      </c>
    </row>
    <row r="14" spans="1:11" hidden="1" x14ac:dyDescent="0.2">
      <c r="A14" s="330" t="s">
        <v>829</v>
      </c>
      <c r="B14" s="330" t="s">
        <v>122</v>
      </c>
      <c r="C14" s="330" t="s">
        <v>12</v>
      </c>
      <c r="D14" s="330" t="s">
        <v>13</v>
      </c>
      <c r="E14" s="330" t="s">
        <v>1028</v>
      </c>
      <c r="F14" s="330" t="s">
        <v>1029</v>
      </c>
      <c r="G14" s="331">
        <v>8</v>
      </c>
      <c r="H14" s="332" t="s">
        <v>1015</v>
      </c>
      <c r="I14" s="329" t="s">
        <v>1105</v>
      </c>
      <c r="K14" s="329" t="s">
        <v>1104</v>
      </c>
    </row>
    <row r="15" spans="1:11" hidden="1" x14ac:dyDescent="0.2">
      <c r="A15" s="330" t="s">
        <v>830</v>
      </c>
      <c r="B15" s="330" t="s">
        <v>123</v>
      </c>
      <c r="C15" s="330" t="s">
        <v>12</v>
      </c>
      <c r="D15" s="330" t="s">
        <v>13</v>
      </c>
      <c r="E15" s="330" t="s">
        <v>1028</v>
      </c>
      <c r="F15" s="330" t="s">
        <v>1029</v>
      </c>
      <c r="G15" s="331">
        <v>8</v>
      </c>
      <c r="H15" s="332" t="s">
        <v>1017</v>
      </c>
      <c r="I15" s="329" t="s">
        <v>1105</v>
      </c>
      <c r="K15" s="329" t="s">
        <v>1104</v>
      </c>
    </row>
    <row r="16" spans="1:11" hidden="1" x14ac:dyDescent="0.2">
      <c r="A16" s="330" t="s">
        <v>831</v>
      </c>
      <c r="B16" s="330" t="s">
        <v>832</v>
      </c>
      <c r="C16" s="330" t="s">
        <v>12</v>
      </c>
      <c r="D16" s="330" t="s">
        <v>13</v>
      </c>
      <c r="E16" s="330" t="s">
        <v>1028</v>
      </c>
      <c r="F16" s="330" t="s">
        <v>1029</v>
      </c>
      <c r="G16" s="331">
        <v>8</v>
      </c>
      <c r="H16" s="332" t="s">
        <v>1019</v>
      </c>
      <c r="I16" s="329" t="s">
        <v>1105</v>
      </c>
      <c r="K16" s="329" t="s">
        <v>1104</v>
      </c>
    </row>
    <row r="17" spans="1:11" hidden="1" x14ac:dyDescent="0.2">
      <c r="A17" s="330" t="s">
        <v>124</v>
      </c>
      <c r="B17" s="330" t="s">
        <v>125</v>
      </c>
      <c r="C17" s="330" t="s">
        <v>12</v>
      </c>
      <c r="D17" s="330" t="s">
        <v>13</v>
      </c>
      <c r="E17" s="330" t="s">
        <v>1028</v>
      </c>
      <c r="F17" s="330" t="s">
        <v>1029</v>
      </c>
      <c r="G17" s="331">
        <v>8</v>
      </c>
      <c r="H17" s="332" t="s">
        <v>1017</v>
      </c>
      <c r="I17" s="329" t="s">
        <v>1105</v>
      </c>
      <c r="K17" s="329" t="s">
        <v>1104</v>
      </c>
    </row>
    <row r="18" spans="1:11" hidden="1" x14ac:dyDescent="0.2">
      <c r="A18" s="330" t="s">
        <v>126</v>
      </c>
      <c r="B18" s="330" t="s">
        <v>127</v>
      </c>
      <c r="C18" s="330" t="s">
        <v>12</v>
      </c>
      <c r="D18" s="330" t="s">
        <v>13</v>
      </c>
      <c r="E18" s="330" t="s">
        <v>1028</v>
      </c>
      <c r="F18" s="330" t="s">
        <v>1029</v>
      </c>
      <c r="G18" s="331">
        <v>8</v>
      </c>
      <c r="H18" s="332" t="s">
        <v>1015</v>
      </c>
      <c r="I18" s="329" t="s">
        <v>1105</v>
      </c>
      <c r="K18" s="329" t="s">
        <v>1104</v>
      </c>
    </row>
    <row r="19" spans="1:11" hidden="1" x14ac:dyDescent="0.2">
      <c r="A19" s="330" t="s">
        <v>833</v>
      </c>
      <c r="B19" s="330" t="s">
        <v>121</v>
      </c>
      <c r="C19" s="330" t="s">
        <v>12</v>
      </c>
      <c r="D19" s="330" t="s">
        <v>13</v>
      </c>
      <c r="E19" s="330" t="s">
        <v>1028</v>
      </c>
      <c r="F19" s="330" t="s">
        <v>1029</v>
      </c>
      <c r="G19" s="331">
        <v>8</v>
      </c>
      <c r="H19" s="332" t="s">
        <v>1017</v>
      </c>
      <c r="I19" s="329" t="s">
        <v>1105</v>
      </c>
      <c r="K19" s="329" t="s">
        <v>1104</v>
      </c>
    </row>
    <row r="20" spans="1:11" hidden="1" x14ac:dyDescent="0.2">
      <c r="A20" s="330" t="s">
        <v>834</v>
      </c>
      <c r="B20" s="330" t="s">
        <v>84</v>
      </c>
      <c r="C20" s="330" t="s">
        <v>6</v>
      </c>
      <c r="D20" s="330" t="s">
        <v>7</v>
      </c>
      <c r="E20" s="330" t="s">
        <v>1007</v>
      </c>
      <c r="F20" s="330" t="s">
        <v>1008</v>
      </c>
      <c r="G20" s="331">
        <v>4</v>
      </c>
      <c r="H20" s="332" t="s">
        <v>989</v>
      </c>
      <c r="I20" s="329" t="s">
        <v>1105</v>
      </c>
      <c r="K20" s="329" t="s">
        <v>1104</v>
      </c>
    </row>
    <row r="21" spans="1:11" hidden="1" x14ac:dyDescent="0.2">
      <c r="A21" s="330" t="s">
        <v>835</v>
      </c>
      <c r="B21" s="330" t="s">
        <v>836</v>
      </c>
      <c r="C21" s="330" t="s">
        <v>2</v>
      </c>
      <c r="D21" s="330" t="s">
        <v>3</v>
      </c>
      <c r="E21" s="330" t="s">
        <v>996</v>
      </c>
      <c r="F21" s="330" t="s">
        <v>3</v>
      </c>
      <c r="G21" s="331">
        <v>162</v>
      </c>
      <c r="H21" s="332" t="s">
        <v>1006</v>
      </c>
      <c r="I21" s="329" t="s">
        <v>1105</v>
      </c>
      <c r="K21" s="329" t="s">
        <v>1107</v>
      </c>
    </row>
    <row r="22" spans="1:11" hidden="1" x14ac:dyDescent="0.2">
      <c r="A22" s="330" t="s">
        <v>837</v>
      </c>
      <c r="B22" s="330" t="s">
        <v>838</v>
      </c>
      <c r="C22" s="330" t="s">
        <v>12</v>
      </c>
      <c r="D22" s="330" t="s">
        <v>13</v>
      </c>
      <c r="E22" s="330" t="s">
        <v>1028</v>
      </c>
      <c r="F22" s="330" t="s">
        <v>1029</v>
      </c>
      <c r="G22" s="331">
        <v>8</v>
      </c>
      <c r="H22" s="332" t="s">
        <v>1014</v>
      </c>
      <c r="I22" s="329" t="s">
        <v>1105</v>
      </c>
      <c r="K22" s="329" t="s">
        <v>1104</v>
      </c>
    </row>
    <row r="23" spans="1:11" hidden="1" x14ac:dyDescent="0.2">
      <c r="A23" s="330" t="s">
        <v>76</v>
      </c>
      <c r="B23" s="330" t="s">
        <v>1108</v>
      </c>
      <c r="C23" s="330" t="s">
        <v>4</v>
      </c>
      <c r="D23" s="330" t="s">
        <v>5</v>
      </c>
      <c r="E23" s="330" t="s">
        <v>997</v>
      </c>
      <c r="F23" s="330" t="s">
        <v>998</v>
      </c>
      <c r="G23" s="331">
        <v>162</v>
      </c>
      <c r="H23" s="332" t="s">
        <v>1006</v>
      </c>
      <c r="I23" s="329" t="s">
        <v>1105</v>
      </c>
      <c r="K23" s="329" t="s">
        <v>1107</v>
      </c>
    </row>
    <row r="24" spans="1:11" hidden="1" x14ac:dyDescent="0.2">
      <c r="A24" s="330" t="s">
        <v>77</v>
      </c>
      <c r="B24" s="330" t="s">
        <v>1109</v>
      </c>
      <c r="C24" s="330" t="s">
        <v>4</v>
      </c>
      <c r="D24" s="330" t="s">
        <v>5</v>
      </c>
      <c r="E24" s="330" t="s">
        <v>999</v>
      </c>
      <c r="F24" s="330" t="s">
        <v>1000</v>
      </c>
      <c r="G24" s="331">
        <v>4</v>
      </c>
      <c r="H24" s="332" t="s">
        <v>989</v>
      </c>
      <c r="I24" s="329" t="s">
        <v>1105</v>
      </c>
      <c r="K24" s="329" t="s">
        <v>1104</v>
      </c>
    </row>
    <row r="25" spans="1:11" hidden="1" x14ac:dyDescent="0.2">
      <c r="A25" s="330" t="s">
        <v>128</v>
      </c>
      <c r="B25" s="330" t="s">
        <v>1110</v>
      </c>
      <c r="C25" s="330" t="s">
        <v>12</v>
      </c>
      <c r="D25" s="330" t="s">
        <v>13</v>
      </c>
      <c r="E25" s="330" t="s">
        <v>1030</v>
      </c>
      <c r="F25" s="330" t="s">
        <v>1031</v>
      </c>
      <c r="G25" s="331">
        <v>4</v>
      </c>
      <c r="H25" s="332" t="s">
        <v>993</v>
      </c>
      <c r="I25" s="329" t="s">
        <v>1105</v>
      </c>
      <c r="K25" s="329" t="s">
        <v>1107</v>
      </c>
    </row>
    <row r="26" spans="1:11" hidden="1" x14ac:dyDescent="0.2">
      <c r="A26" s="330" t="s">
        <v>129</v>
      </c>
      <c r="B26" s="330" t="s">
        <v>1111</v>
      </c>
      <c r="C26" s="330" t="s">
        <v>12</v>
      </c>
      <c r="D26" s="330" t="s">
        <v>13</v>
      </c>
      <c r="E26" s="330" t="s">
        <v>1032</v>
      </c>
      <c r="F26" s="330" t="s">
        <v>1033</v>
      </c>
      <c r="G26" s="331">
        <v>4</v>
      </c>
      <c r="H26" s="332" t="s">
        <v>993</v>
      </c>
      <c r="I26" s="329" t="s">
        <v>1105</v>
      </c>
      <c r="K26" s="329" t="s">
        <v>1107</v>
      </c>
    </row>
    <row r="27" spans="1:11" hidden="1" x14ac:dyDescent="0.2">
      <c r="A27" s="330" t="s">
        <v>85</v>
      </c>
      <c r="B27" s="330" t="s">
        <v>1112</v>
      </c>
      <c r="C27" s="330" t="s">
        <v>6</v>
      </c>
      <c r="D27" s="330" t="s">
        <v>7</v>
      </c>
      <c r="E27" s="330" t="s">
        <v>1009</v>
      </c>
      <c r="F27" s="330" t="s">
        <v>1010</v>
      </c>
      <c r="G27" s="331">
        <v>4</v>
      </c>
      <c r="H27" s="332" t="s">
        <v>991</v>
      </c>
      <c r="I27" s="329" t="s">
        <v>1105</v>
      </c>
      <c r="K27" s="329" t="s">
        <v>1104</v>
      </c>
    </row>
    <row r="28" spans="1:11" hidden="1" x14ac:dyDescent="0.2">
      <c r="A28" s="330" t="s">
        <v>86</v>
      </c>
      <c r="B28" s="330" t="s">
        <v>1113</v>
      </c>
      <c r="C28" s="330" t="s">
        <v>6</v>
      </c>
      <c r="D28" s="330" t="s">
        <v>7</v>
      </c>
      <c r="E28" s="330" t="s">
        <v>1011</v>
      </c>
      <c r="F28" s="330" t="s">
        <v>1012</v>
      </c>
      <c r="G28" s="331">
        <v>4</v>
      </c>
      <c r="H28" s="332" t="s">
        <v>989</v>
      </c>
      <c r="I28" s="329" t="s">
        <v>1105</v>
      </c>
      <c r="K28" s="329" t="s">
        <v>1104</v>
      </c>
    </row>
    <row r="29" spans="1:11" hidden="1" x14ac:dyDescent="0.2">
      <c r="A29" s="330" t="s">
        <v>87</v>
      </c>
      <c r="B29" s="330" t="s">
        <v>88</v>
      </c>
      <c r="C29" s="330" t="s">
        <v>6</v>
      </c>
      <c r="D29" s="330" t="s">
        <v>7</v>
      </c>
      <c r="E29" s="330" t="s">
        <v>1013</v>
      </c>
      <c r="F29" s="330" t="s">
        <v>669</v>
      </c>
      <c r="G29" s="331">
        <v>4</v>
      </c>
      <c r="H29" s="332" t="s">
        <v>989</v>
      </c>
      <c r="I29" s="329" t="s">
        <v>1105</v>
      </c>
      <c r="K29" s="329" t="s">
        <v>1104</v>
      </c>
    </row>
    <row r="30" spans="1:11" hidden="1" x14ac:dyDescent="0.2">
      <c r="A30" s="330" t="s">
        <v>89</v>
      </c>
      <c r="B30" s="330" t="s">
        <v>90</v>
      </c>
      <c r="C30" s="330" t="s">
        <v>6</v>
      </c>
      <c r="D30" s="330" t="s">
        <v>7</v>
      </c>
      <c r="E30" s="330" t="s">
        <v>1013</v>
      </c>
      <c r="F30" s="330" t="s">
        <v>669</v>
      </c>
      <c r="G30" s="331">
        <v>33</v>
      </c>
      <c r="H30" s="332" t="s">
        <v>1038</v>
      </c>
      <c r="I30" s="329" t="s">
        <v>1105</v>
      </c>
      <c r="K30" s="329" t="s">
        <v>1104</v>
      </c>
    </row>
    <row r="31" spans="1:11" hidden="1" x14ac:dyDescent="0.2">
      <c r="A31" s="330" t="s">
        <v>130</v>
      </c>
      <c r="B31" s="330" t="s">
        <v>1114</v>
      </c>
      <c r="C31" s="330" t="s">
        <v>12</v>
      </c>
      <c r="D31" s="330" t="s">
        <v>13</v>
      </c>
      <c r="E31" s="330" t="s">
        <v>1030</v>
      </c>
      <c r="F31" s="330" t="s">
        <v>1031</v>
      </c>
      <c r="G31" s="331">
        <v>4</v>
      </c>
      <c r="H31" s="332" t="s">
        <v>993</v>
      </c>
      <c r="I31" s="329" t="s">
        <v>1105</v>
      </c>
      <c r="K31" s="329" t="s">
        <v>1107</v>
      </c>
    </row>
    <row r="32" spans="1:11" hidden="1" x14ac:dyDescent="0.2">
      <c r="A32" s="330" t="s">
        <v>131</v>
      </c>
      <c r="B32" s="330" t="s">
        <v>1115</v>
      </c>
      <c r="C32" s="330" t="s">
        <v>12</v>
      </c>
      <c r="D32" s="330" t="s">
        <v>13</v>
      </c>
      <c r="E32" s="330" t="s">
        <v>1032</v>
      </c>
      <c r="F32" s="330" t="s">
        <v>1033</v>
      </c>
      <c r="G32" s="331">
        <v>4</v>
      </c>
      <c r="H32" s="332" t="s">
        <v>993</v>
      </c>
      <c r="I32" s="329" t="s">
        <v>1105</v>
      </c>
      <c r="K32" s="329" t="s">
        <v>1107</v>
      </c>
    </row>
    <row r="33" spans="1:11" hidden="1" x14ac:dyDescent="0.2">
      <c r="A33" s="330" t="s">
        <v>78</v>
      </c>
      <c r="B33" s="330" t="s">
        <v>1116</v>
      </c>
      <c r="C33" s="330" t="s">
        <v>1001</v>
      </c>
      <c r="D33" s="330" t="s">
        <v>729</v>
      </c>
      <c r="E33" s="330" t="s">
        <v>1002</v>
      </c>
      <c r="F33" s="330" t="s">
        <v>1003</v>
      </c>
      <c r="G33" s="331">
        <v>25</v>
      </c>
      <c r="H33" s="332" t="s">
        <v>1093</v>
      </c>
      <c r="I33" s="329" t="s">
        <v>1105</v>
      </c>
      <c r="K33" s="329" t="s">
        <v>1104</v>
      </c>
    </row>
    <row r="34" spans="1:11" hidden="1" x14ac:dyDescent="0.2">
      <c r="A34" s="330" t="s">
        <v>79</v>
      </c>
      <c r="B34" s="330" t="s">
        <v>1117</v>
      </c>
      <c r="C34" s="330" t="s">
        <v>1001</v>
      </c>
      <c r="D34" s="330" t="s">
        <v>729</v>
      </c>
      <c r="E34" s="330" t="s">
        <v>1004</v>
      </c>
      <c r="F34" s="330" t="s">
        <v>1005</v>
      </c>
      <c r="G34" s="331">
        <v>25</v>
      </c>
      <c r="H34" s="332" t="s">
        <v>1093</v>
      </c>
      <c r="I34" s="329" t="s">
        <v>1105</v>
      </c>
      <c r="K34" s="329" t="s">
        <v>1104</v>
      </c>
    </row>
    <row r="35" spans="1:11" hidden="1" x14ac:dyDescent="0.2">
      <c r="A35" s="330" t="s">
        <v>80</v>
      </c>
      <c r="B35" s="330" t="s">
        <v>81</v>
      </c>
      <c r="C35" s="330" t="s">
        <v>1001</v>
      </c>
      <c r="D35" s="330" t="s">
        <v>729</v>
      </c>
      <c r="E35" s="330" t="s">
        <v>1006</v>
      </c>
      <c r="F35" s="330" t="s">
        <v>670</v>
      </c>
      <c r="G35" s="331">
        <v>25</v>
      </c>
      <c r="H35" s="332" t="s">
        <v>1093</v>
      </c>
      <c r="I35" s="329" t="s">
        <v>1105</v>
      </c>
      <c r="K35" s="329" t="s">
        <v>1104</v>
      </c>
    </row>
    <row r="36" spans="1:11" hidden="1" x14ac:dyDescent="0.2">
      <c r="A36" s="330" t="s">
        <v>82</v>
      </c>
      <c r="B36" s="330" t="s">
        <v>83</v>
      </c>
      <c r="C36" s="330" t="s">
        <v>1001</v>
      </c>
      <c r="D36" s="330" t="s">
        <v>729</v>
      </c>
      <c r="E36" s="330" t="s">
        <v>1006</v>
      </c>
      <c r="F36" s="330" t="s">
        <v>670</v>
      </c>
      <c r="G36" s="331">
        <v>25</v>
      </c>
      <c r="H36" s="332" t="s">
        <v>1093</v>
      </c>
      <c r="I36" s="329" t="s">
        <v>1105</v>
      </c>
      <c r="K36" s="329" t="s">
        <v>1104</v>
      </c>
    </row>
    <row r="37" spans="1:11" hidden="1" x14ac:dyDescent="0.2">
      <c r="A37" s="330" t="s">
        <v>839</v>
      </c>
      <c r="B37" s="330" t="s">
        <v>840</v>
      </c>
      <c r="C37" s="330" t="s">
        <v>1001</v>
      </c>
      <c r="D37" s="330" t="s">
        <v>729</v>
      </c>
      <c r="E37" s="343" t="s">
        <v>1002</v>
      </c>
      <c r="F37" s="343" t="s">
        <v>1003</v>
      </c>
      <c r="G37" s="331">
        <v>25</v>
      </c>
      <c r="H37" s="332" t="s">
        <v>1093</v>
      </c>
      <c r="I37" s="329" t="s">
        <v>1105</v>
      </c>
      <c r="J37" s="329">
        <v>1</v>
      </c>
      <c r="K37" s="329" t="s">
        <v>1104</v>
      </c>
    </row>
    <row r="38" spans="1:11" hidden="1" x14ac:dyDescent="0.2">
      <c r="A38" s="330" t="s">
        <v>841</v>
      </c>
      <c r="B38" s="330" t="s">
        <v>842</v>
      </c>
      <c r="C38" s="330" t="s">
        <v>1001</v>
      </c>
      <c r="D38" s="330" t="s">
        <v>729</v>
      </c>
      <c r="E38" s="330" t="s">
        <v>1004</v>
      </c>
      <c r="F38" s="330" t="s">
        <v>1005</v>
      </c>
      <c r="G38" s="331">
        <v>25</v>
      </c>
      <c r="H38" s="332" t="s">
        <v>1093</v>
      </c>
      <c r="I38" s="329" t="s">
        <v>1105</v>
      </c>
      <c r="K38" s="329" t="s">
        <v>1104</v>
      </c>
    </row>
    <row r="39" spans="1:11" hidden="1" x14ac:dyDescent="0.2">
      <c r="A39" s="330" t="s">
        <v>843</v>
      </c>
      <c r="B39" s="330" t="s">
        <v>844</v>
      </c>
      <c r="C39" s="330" t="s">
        <v>1001</v>
      </c>
      <c r="D39" s="330" t="s">
        <v>729</v>
      </c>
      <c r="E39" s="330" t="s">
        <v>1006</v>
      </c>
      <c r="F39" s="330" t="s">
        <v>670</v>
      </c>
      <c r="G39" s="331">
        <v>25</v>
      </c>
      <c r="H39" s="332" t="s">
        <v>1093</v>
      </c>
      <c r="I39" s="329" t="s">
        <v>1105</v>
      </c>
      <c r="K39" s="329" t="s">
        <v>1104</v>
      </c>
    </row>
    <row r="40" spans="1:11" hidden="1" x14ac:dyDescent="0.2">
      <c r="A40" s="330" t="s">
        <v>845</v>
      </c>
      <c r="B40" s="330" t="s">
        <v>846</v>
      </c>
      <c r="C40" s="330" t="s">
        <v>1001</v>
      </c>
      <c r="D40" s="330" t="s">
        <v>729</v>
      </c>
      <c r="E40" s="330" t="s">
        <v>1006</v>
      </c>
      <c r="F40" s="330" t="s">
        <v>670</v>
      </c>
      <c r="G40" s="331">
        <v>25</v>
      </c>
      <c r="H40" s="332" t="s">
        <v>1093</v>
      </c>
      <c r="I40" s="329" t="s">
        <v>1105</v>
      </c>
      <c r="K40" s="329" t="s">
        <v>1104</v>
      </c>
    </row>
    <row r="41" spans="1:11" hidden="1" x14ac:dyDescent="0.2">
      <c r="A41" s="330" t="s">
        <v>847</v>
      </c>
      <c r="B41" s="330" t="s">
        <v>848</v>
      </c>
      <c r="C41" s="330" t="s">
        <v>1001</v>
      </c>
      <c r="D41" s="330" t="s">
        <v>729</v>
      </c>
      <c r="E41" s="343" t="s">
        <v>1002</v>
      </c>
      <c r="F41" s="343" t="s">
        <v>1003</v>
      </c>
      <c r="G41" s="331">
        <v>25</v>
      </c>
      <c r="H41" s="332" t="s">
        <v>1093</v>
      </c>
      <c r="I41" s="329" t="s">
        <v>1105</v>
      </c>
      <c r="J41" s="329">
        <v>1</v>
      </c>
      <c r="K41" s="329" t="s">
        <v>1104</v>
      </c>
    </row>
    <row r="42" spans="1:11" hidden="1" x14ac:dyDescent="0.2">
      <c r="A42" s="330" t="s">
        <v>849</v>
      </c>
      <c r="B42" s="330" t="s">
        <v>850</v>
      </c>
      <c r="C42" s="330" t="s">
        <v>1001</v>
      </c>
      <c r="D42" s="330" t="s">
        <v>729</v>
      </c>
      <c r="E42" s="330" t="s">
        <v>1004</v>
      </c>
      <c r="F42" s="330" t="s">
        <v>1005</v>
      </c>
      <c r="G42" s="331">
        <v>25</v>
      </c>
      <c r="H42" s="332" t="s">
        <v>1093</v>
      </c>
      <c r="I42" s="329" t="s">
        <v>1105</v>
      </c>
      <c r="K42" s="329" t="s">
        <v>1104</v>
      </c>
    </row>
    <row r="43" spans="1:11" hidden="1" x14ac:dyDescent="0.2">
      <c r="A43" s="330" t="s">
        <v>851</v>
      </c>
      <c r="B43" s="330" t="s">
        <v>852</v>
      </c>
      <c r="C43" s="330" t="s">
        <v>1001</v>
      </c>
      <c r="D43" s="330" t="s">
        <v>729</v>
      </c>
      <c r="E43" s="330" t="s">
        <v>1006</v>
      </c>
      <c r="F43" s="330" t="s">
        <v>670</v>
      </c>
      <c r="G43" s="331">
        <v>25</v>
      </c>
      <c r="H43" s="332" t="s">
        <v>1093</v>
      </c>
      <c r="I43" s="329" t="s">
        <v>1105</v>
      </c>
      <c r="K43" s="329" t="s">
        <v>1104</v>
      </c>
    </row>
    <row r="44" spans="1:11" hidden="1" x14ac:dyDescent="0.2">
      <c r="A44" s="330" t="s">
        <v>853</v>
      </c>
      <c r="B44" s="330" t="s">
        <v>854</v>
      </c>
      <c r="C44" s="330" t="s">
        <v>1001</v>
      </c>
      <c r="D44" s="330" t="s">
        <v>729</v>
      </c>
      <c r="E44" s="330" t="s">
        <v>1006</v>
      </c>
      <c r="F44" s="330" t="s">
        <v>670</v>
      </c>
      <c r="G44" s="331">
        <v>25</v>
      </c>
      <c r="H44" s="332" t="s">
        <v>1093</v>
      </c>
      <c r="I44" s="329" t="s">
        <v>1105</v>
      </c>
      <c r="K44" s="329" t="s">
        <v>1104</v>
      </c>
    </row>
    <row r="45" spans="1:11" x14ac:dyDescent="0.2">
      <c r="A45" s="330" t="s">
        <v>45</v>
      </c>
      <c r="B45" s="330" t="s">
        <v>1118</v>
      </c>
      <c r="C45" s="330" t="s">
        <v>0</v>
      </c>
      <c r="D45" s="330" t="s">
        <v>1</v>
      </c>
      <c r="E45" s="330" t="s">
        <v>989</v>
      </c>
      <c r="F45" s="330" t="s">
        <v>990</v>
      </c>
      <c r="G45" s="331">
        <v>12</v>
      </c>
      <c r="H45" s="332" t="s">
        <v>1035</v>
      </c>
      <c r="I45" s="329" t="s">
        <v>1105</v>
      </c>
      <c r="K45" s="329" t="s">
        <v>1104</v>
      </c>
    </row>
    <row r="46" spans="1:11" x14ac:dyDescent="0.2">
      <c r="A46" s="330" t="s">
        <v>46</v>
      </c>
      <c r="B46" s="330" t="s">
        <v>1119</v>
      </c>
      <c r="C46" s="330" t="s">
        <v>0</v>
      </c>
      <c r="D46" s="330" t="s">
        <v>1</v>
      </c>
      <c r="E46" s="330" t="s">
        <v>991</v>
      </c>
      <c r="F46" s="330" t="s">
        <v>992</v>
      </c>
      <c r="G46" s="331">
        <v>12</v>
      </c>
      <c r="H46" s="332" t="s">
        <v>1035</v>
      </c>
      <c r="I46" s="329" t="s">
        <v>1105</v>
      </c>
      <c r="K46" s="329" t="s">
        <v>1104</v>
      </c>
    </row>
    <row r="47" spans="1:11" x14ac:dyDescent="0.2">
      <c r="A47" s="330" t="s">
        <v>47</v>
      </c>
      <c r="B47" s="330" t="s">
        <v>1120</v>
      </c>
      <c r="C47" s="330" t="s">
        <v>0</v>
      </c>
      <c r="D47" s="330" t="s">
        <v>1</v>
      </c>
      <c r="E47" s="330" t="s">
        <v>989</v>
      </c>
      <c r="F47" s="330" t="s">
        <v>990</v>
      </c>
      <c r="G47" s="331">
        <v>12</v>
      </c>
      <c r="H47" s="332" t="s">
        <v>1035</v>
      </c>
      <c r="I47" s="329" t="s">
        <v>1105</v>
      </c>
      <c r="K47" s="329" t="s">
        <v>1104</v>
      </c>
    </row>
    <row r="48" spans="1:11" x14ac:dyDescent="0.2">
      <c r="A48" s="330" t="s">
        <v>48</v>
      </c>
      <c r="B48" s="330" t="s">
        <v>1121</v>
      </c>
      <c r="C48" s="330" t="s">
        <v>0</v>
      </c>
      <c r="D48" s="330" t="s">
        <v>1</v>
      </c>
      <c r="E48" s="330" t="s">
        <v>989</v>
      </c>
      <c r="F48" s="330" t="s">
        <v>990</v>
      </c>
      <c r="G48" s="331">
        <v>12</v>
      </c>
      <c r="H48" s="332" t="s">
        <v>1035</v>
      </c>
      <c r="I48" s="329" t="s">
        <v>1105</v>
      </c>
      <c r="K48" s="329" t="s">
        <v>1104</v>
      </c>
    </row>
    <row r="49" spans="1:11" x14ac:dyDescent="0.2">
      <c r="A49" s="330" t="s">
        <v>49</v>
      </c>
      <c r="B49" s="330" t="s">
        <v>1122</v>
      </c>
      <c r="C49" s="330" t="s">
        <v>0</v>
      </c>
      <c r="D49" s="330" t="s">
        <v>1</v>
      </c>
      <c r="E49" s="330" t="s">
        <v>989</v>
      </c>
      <c r="F49" s="330" t="s">
        <v>990</v>
      </c>
      <c r="G49" s="331">
        <v>12</v>
      </c>
      <c r="H49" s="332" t="s">
        <v>1035</v>
      </c>
      <c r="I49" s="329" t="s">
        <v>1105</v>
      </c>
      <c r="K49" s="329" t="s">
        <v>1104</v>
      </c>
    </row>
    <row r="50" spans="1:11" hidden="1" x14ac:dyDescent="0.2">
      <c r="A50" s="330" t="s">
        <v>215</v>
      </c>
      <c r="B50" s="330" t="s">
        <v>216</v>
      </c>
      <c r="C50" s="330" t="s">
        <v>18</v>
      </c>
      <c r="D50" s="330" t="s">
        <v>690</v>
      </c>
      <c r="E50" s="330" t="s">
        <v>1038</v>
      </c>
      <c r="F50" s="330" t="s">
        <v>674</v>
      </c>
      <c r="G50" s="331">
        <v>12</v>
      </c>
      <c r="H50" s="332" t="s">
        <v>1035</v>
      </c>
      <c r="I50" s="329" t="s">
        <v>1105</v>
      </c>
      <c r="K50" s="329" t="s">
        <v>1104</v>
      </c>
    </row>
    <row r="51" spans="1:11" x14ac:dyDescent="0.2">
      <c r="A51" s="330" t="s">
        <v>50</v>
      </c>
      <c r="B51" s="330" t="s">
        <v>1123</v>
      </c>
      <c r="C51" s="330" t="s">
        <v>0</v>
      </c>
      <c r="D51" s="330" t="s">
        <v>1</v>
      </c>
      <c r="E51" s="343" t="s">
        <v>989</v>
      </c>
      <c r="F51" s="343" t="s">
        <v>990</v>
      </c>
      <c r="G51" s="331">
        <v>6</v>
      </c>
      <c r="H51" s="332" t="s">
        <v>997</v>
      </c>
      <c r="I51" s="329" t="s">
        <v>1105</v>
      </c>
      <c r="J51" s="329">
        <v>1</v>
      </c>
      <c r="K51" s="329" t="s">
        <v>1104</v>
      </c>
    </row>
    <row r="52" spans="1:11" x14ac:dyDescent="0.2">
      <c r="A52" s="330" t="s">
        <v>51</v>
      </c>
      <c r="B52" s="330" t="s">
        <v>1124</v>
      </c>
      <c r="C52" s="330" t="s">
        <v>0</v>
      </c>
      <c r="D52" s="330" t="s">
        <v>1</v>
      </c>
      <c r="E52" s="330" t="s">
        <v>994</v>
      </c>
      <c r="F52" s="330" t="s">
        <v>995</v>
      </c>
      <c r="G52" s="331">
        <v>10</v>
      </c>
      <c r="H52" s="332" t="s">
        <v>1028</v>
      </c>
      <c r="I52" s="329" t="s">
        <v>1105</v>
      </c>
      <c r="K52" s="329" t="s">
        <v>1107</v>
      </c>
    </row>
    <row r="53" spans="1:11" x14ac:dyDescent="0.2">
      <c r="A53" s="330" t="s">
        <v>52</v>
      </c>
      <c r="B53" s="330" t="s">
        <v>1125</v>
      </c>
      <c r="C53" s="330" t="s">
        <v>0</v>
      </c>
      <c r="D53" s="330" t="s">
        <v>1</v>
      </c>
      <c r="E53" s="330" t="s">
        <v>989</v>
      </c>
      <c r="F53" s="330" t="s">
        <v>990</v>
      </c>
      <c r="G53" s="331">
        <v>12</v>
      </c>
      <c r="H53" s="332" t="s">
        <v>1035</v>
      </c>
      <c r="I53" s="329" t="s">
        <v>1105</v>
      </c>
      <c r="K53" s="329" t="s">
        <v>1104</v>
      </c>
    </row>
    <row r="54" spans="1:11" x14ac:dyDescent="0.2">
      <c r="A54" s="330" t="s">
        <v>53</v>
      </c>
      <c r="B54" s="330" t="s">
        <v>54</v>
      </c>
      <c r="C54" s="330" t="s">
        <v>0</v>
      </c>
      <c r="D54" s="330" t="s">
        <v>1</v>
      </c>
      <c r="E54" s="330" t="s">
        <v>994</v>
      </c>
      <c r="F54" s="330" t="s">
        <v>995</v>
      </c>
      <c r="G54" s="331">
        <v>10</v>
      </c>
      <c r="H54" s="332" t="s">
        <v>1028</v>
      </c>
      <c r="I54" s="329" t="s">
        <v>1105</v>
      </c>
      <c r="K54" s="329" t="s">
        <v>1107</v>
      </c>
    </row>
    <row r="55" spans="1:11" x14ac:dyDescent="0.2">
      <c r="A55" s="330" t="s">
        <v>55</v>
      </c>
      <c r="B55" s="330" t="s">
        <v>1126</v>
      </c>
      <c r="C55" s="330" t="s">
        <v>0</v>
      </c>
      <c r="D55" s="330" t="s">
        <v>1</v>
      </c>
      <c r="E55" s="330" t="s">
        <v>994</v>
      </c>
      <c r="F55" s="330" t="s">
        <v>995</v>
      </c>
      <c r="G55" s="331">
        <v>10</v>
      </c>
      <c r="H55" s="332" t="s">
        <v>1028</v>
      </c>
      <c r="I55" s="329" t="s">
        <v>1105</v>
      </c>
      <c r="K55" s="329" t="s">
        <v>1104</v>
      </c>
    </row>
    <row r="56" spans="1:11" x14ac:dyDescent="0.2">
      <c r="A56" s="330" t="s">
        <v>56</v>
      </c>
      <c r="B56" s="330" t="s">
        <v>57</v>
      </c>
      <c r="C56" s="330" t="s">
        <v>0</v>
      </c>
      <c r="D56" s="330" t="s">
        <v>1</v>
      </c>
      <c r="E56" s="330" t="s">
        <v>994</v>
      </c>
      <c r="F56" s="330" t="s">
        <v>995</v>
      </c>
      <c r="G56" s="331">
        <v>10</v>
      </c>
      <c r="H56" s="332" t="s">
        <v>1028</v>
      </c>
      <c r="I56" s="329" t="s">
        <v>1105</v>
      </c>
      <c r="K56" s="329" t="s">
        <v>1104</v>
      </c>
    </row>
    <row r="57" spans="1:11" x14ac:dyDescent="0.2">
      <c r="A57" s="330" t="s">
        <v>58</v>
      </c>
      <c r="B57" s="330" t="s">
        <v>1127</v>
      </c>
      <c r="C57" s="330" t="s">
        <v>0</v>
      </c>
      <c r="D57" s="330" t="s">
        <v>1</v>
      </c>
      <c r="E57" s="330" t="s">
        <v>993</v>
      </c>
      <c r="F57" s="330" t="s">
        <v>668</v>
      </c>
      <c r="G57" s="331">
        <v>6</v>
      </c>
      <c r="H57" s="332" t="s">
        <v>999</v>
      </c>
      <c r="I57" s="329" t="s">
        <v>1105</v>
      </c>
      <c r="K57" s="329" t="s">
        <v>1104</v>
      </c>
    </row>
    <row r="58" spans="1:11" x14ac:dyDescent="0.2">
      <c r="A58" s="330" t="s">
        <v>59</v>
      </c>
      <c r="B58" s="330" t="s">
        <v>1128</v>
      </c>
      <c r="C58" s="330" t="s">
        <v>0</v>
      </c>
      <c r="D58" s="330" t="s">
        <v>1</v>
      </c>
      <c r="E58" s="330" t="s">
        <v>993</v>
      </c>
      <c r="F58" s="330" t="s">
        <v>668</v>
      </c>
      <c r="G58" s="331">
        <v>10</v>
      </c>
      <c r="H58" s="332" t="s">
        <v>1030</v>
      </c>
      <c r="I58" s="329" t="s">
        <v>1105</v>
      </c>
      <c r="K58" s="329" t="s">
        <v>1104</v>
      </c>
    </row>
    <row r="59" spans="1:11" x14ac:dyDescent="0.2">
      <c r="A59" s="330" t="s">
        <v>60</v>
      </c>
      <c r="B59" s="330" t="s">
        <v>1129</v>
      </c>
      <c r="C59" s="330" t="s">
        <v>0</v>
      </c>
      <c r="D59" s="330" t="s">
        <v>1</v>
      </c>
      <c r="E59" s="330" t="s">
        <v>993</v>
      </c>
      <c r="F59" s="330" t="s">
        <v>668</v>
      </c>
      <c r="G59" s="331">
        <v>10</v>
      </c>
      <c r="H59" s="332" t="s">
        <v>1032</v>
      </c>
      <c r="I59" s="329" t="s">
        <v>1105</v>
      </c>
      <c r="K59" s="329" t="s">
        <v>1104</v>
      </c>
    </row>
    <row r="60" spans="1:11" x14ac:dyDescent="0.2">
      <c r="A60" s="330" t="s">
        <v>61</v>
      </c>
      <c r="B60" s="330" t="s">
        <v>1130</v>
      </c>
      <c r="C60" s="330" t="s">
        <v>0</v>
      </c>
      <c r="D60" s="330" t="s">
        <v>1</v>
      </c>
      <c r="E60" s="330" t="s">
        <v>993</v>
      </c>
      <c r="F60" s="330" t="s">
        <v>668</v>
      </c>
      <c r="G60" s="331">
        <v>7</v>
      </c>
      <c r="H60" s="332" t="s">
        <v>1009</v>
      </c>
      <c r="I60" s="329" t="s">
        <v>1105</v>
      </c>
      <c r="K60" s="329" t="s">
        <v>1104</v>
      </c>
    </row>
    <row r="61" spans="1:11" x14ac:dyDescent="0.2">
      <c r="A61" s="330" t="s">
        <v>62</v>
      </c>
      <c r="B61" s="330" t="s">
        <v>1131</v>
      </c>
      <c r="C61" s="330" t="s">
        <v>0</v>
      </c>
      <c r="D61" s="330" t="s">
        <v>1</v>
      </c>
      <c r="E61" s="330" t="s">
        <v>993</v>
      </c>
      <c r="F61" s="330" t="s">
        <v>668</v>
      </c>
      <c r="G61" s="331">
        <v>7</v>
      </c>
      <c r="H61" s="332" t="s">
        <v>1011</v>
      </c>
      <c r="I61" s="329" t="s">
        <v>1105</v>
      </c>
      <c r="K61" s="329" t="s">
        <v>1104</v>
      </c>
    </row>
    <row r="62" spans="1:11" x14ac:dyDescent="0.2">
      <c r="A62" s="330" t="s">
        <v>63</v>
      </c>
      <c r="B62" s="330" t="s">
        <v>1132</v>
      </c>
      <c r="C62" s="330" t="s">
        <v>0</v>
      </c>
      <c r="D62" s="330" t="s">
        <v>1</v>
      </c>
      <c r="E62" s="330" t="s">
        <v>989</v>
      </c>
      <c r="F62" s="330" t="s">
        <v>990</v>
      </c>
      <c r="G62" s="331">
        <v>12</v>
      </c>
      <c r="H62" s="332" t="s">
        <v>1035</v>
      </c>
      <c r="I62" s="329" t="s">
        <v>1105</v>
      </c>
      <c r="K62" s="329" t="s">
        <v>1104</v>
      </c>
    </row>
    <row r="63" spans="1:11" x14ac:dyDescent="0.2">
      <c r="A63" s="330" t="s">
        <v>64</v>
      </c>
      <c r="B63" s="330" t="s">
        <v>65</v>
      </c>
      <c r="C63" s="330" t="s">
        <v>0</v>
      </c>
      <c r="D63" s="330" t="s">
        <v>1</v>
      </c>
      <c r="E63" s="330" t="s">
        <v>994</v>
      </c>
      <c r="F63" s="330" t="s">
        <v>995</v>
      </c>
      <c r="G63" s="331">
        <v>10</v>
      </c>
      <c r="H63" s="332" t="s">
        <v>1028</v>
      </c>
      <c r="I63" s="329" t="s">
        <v>1105</v>
      </c>
      <c r="K63" s="329" t="s">
        <v>1107</v>
      </c>
    </row>
    <row r="64" spans="1:11" x14ac:dyDescent="0.2">
      <c r="A64" s="330" t="s">
        <v>66</v>
      </c>
      <c r="B64" s="330" t="s">
        <v>67</v>
      </c>
      <c r="C64" s="330" t="s">
        <v>0</v>
      </c>
      <c r="D64" s="330" t="s">
        <v>1</v>
      </c>
      <c r="E64" s="330" t="s">
        <v>994</v>
      </c>
      <c r="F64" s="330" t="s">
        <v>995</v>
      </c>
      <c r="G64" s="331">
        <v>7</v>
      </c>
      <c r="H64" s="332" t="s">
        <v>1007</v>
      </c>
      <c r="I64" s="329" t="s">
        <v>1105</v>
      </c>
      <c r="K64" s="329" t="s">
        <v>1107</v>
      </c>
    </row>
    <row r="65" spans="1:11" x14ac:dyDescent="0.2">
      <c r="A65" s="330" t="s">
        <v>68</v>
      </c>
      <c r="B65" s="330" t="s">
        <v>1133</v>
      </c>
      <c r="C65" s="330" t="s">
        <v>0</v>
      </c>
      <c r="D65" s="330" t="s">
        <v>1</v>
      </c>
      <c r="E65" s="330" t="s">
        <v>989</v>
      </c>
      <c r="F65" s="330" t="s">
        <v>990</v>
      </c>
      <c r="G65" s="331">
        <v>12</v>
      </c>
      <c r="H65" s="332" t="s">
        <v>1035</v>
      </c>
      <c r="I65" s="329" t="s">
        <v>1105</v>
      </c>
      <c r="K65" s="329" t="s">
        <v>1104</v>
      </c>
    </row>
    <row r="66" spans="1:11" x14ac:dyDescent="0.2">
      <c r="A66" s="330" t="s">
        <v>69</v>
      </c>
      <c r="B66" s="330" t="s">
        <v>1134</v>
      </c>
      <c r="C66" s="330" t="s">
        <v>0</v>
      </c>
      <c r="D66" s="330" t="s">
        <v>1</v>
      </c>
      <c r="E66" s="330" t="s">
        <v>991</v>
      </c>
      <c r="F66" s="330" t="s">
        <v>992</v>
      </c>
      <c r="G66" s="331">
        <v>10</v>
      </c>
      <c r="H66" s="332" t="s">
        <v>1028</v>
      </c>
      <c r="I66" s="329" t="s">
        <v>1105</v>
      </c>
      <c r="K66" s="329" t="s">
        <v>1104</v>
      </c>
    </row>
    <row r="67" spans="1:11" x14ac:dyDescent="0.2">
      <c r="A67" s="330" t="s">
        <v>70</v>
      </c>
      <c r="B67" s="330" t="s">
        <v>1135</v>
      </c>
      <c r="C67" s="330" t="s">
        <v>0</v>
      </c>
      <c r="D67" s="330" t="s">
        <v>1</v>
      </c>
      <c r="E67" s="330" t="s">
        <v>989</v>
      </c>
      <c r="F67" s="330" t="s">
        <v>990</v>
      </c>
      <c r="G67" s="331">
        <v>12</v>
      </c>
      <c r="H67" s="332" t="s">
        <v>1035</v>
      </c>
      <c r="I67" s="329" t="s">
        <v>1105</v>
      </c>
      <c r="K67" s="329" t="s">
        <v>1104</v>
      </c>
    </row>
    <row r="68" spans="1:11" x14ac:dyDescent="0.2">
      <c r="A68" s="330" t="s">
        <v>71</v>
      </c>
      <c r="B68" s="330" t="s">
        <v>1136</v>
      </c>
      <c r="C68" s="330" t="s">
        <v>0</v>
      </c>
      <c r="D68" s="330" t="s">
        <v>1</v>
      </c>
      <c r="E68" s="330" t="s">
        <v>991</v>
      </c>
      <c r="F68" s="330" t="s">
        <v>992</v>
      </c>
      <c r="G68" s="331">
        <v>10</v>
      </c>
      <c r="H68" s="332" t="s">
        <v>1028</v>
      </c>
      <c r="I68" s="329" t="s">
        <v>1105</v>
      </c>
      <c r="K68" s="329" t="s">
        <v>1104</v>
      </c>
    </row>
    <row r="69" spans="1:11" x14ac:dyDescent="0.2">
      <c r="A69" s="330" t="s">
        <v>72</v>
      </c>
      <c r="B69" s="330" t="s">
        <v>1137</v>
      </c>
      <c r="C69" s="330" t="s">
        <v>0</v>
      </c>
      <c r="D69" s="330" t="s">
        <v>1</v>
      </c>
      <c r="E69" s="330" t="s">
        <v>989</v>
      </c>
      <c r="F69" s="330" t="s">
        <v>990</v>
      </c>
      <c r="G69" s="331">
        <v>12</v>
      </c>
      <c r="H69" s="332" t="s">
        <v>1035</v>
      </c>
      <c r="I69" s="329" t="s">
        <v>1105</v>
      </c>
      <c r="K69" s="329" t="s">
        <v>1104</v>
      </c>
    </row>
    <row r="70" spans="1:11" x14ac:dyDescent="0.2">
      <c r="A70" s="330" t="s">
        <v>73</v>
      </c>
      <c r="B70" s="330" t="s">
        <v>1138</v>
      </c>
      <c r="C70" s="330" t="s">
        <v>0</v>
      </c>
      <c r="D70" s="330" t="s">
        <v>1</v>
      </c>
      <c r="E70" s="330" t="s">
        <v>991</v>
      </c>
      <c r="F70" s="330" t="s">
        <v>992</v>
      </c>
      <c r="G70" s="331">
        <v>10</v>
      </c>
      <c r="H70" s="332" t="s">
        <v>1028</v>
      </c>
      <c r="I70" s="329" t="s">
        <v>1105</v>
      </c>
      <c r="K70" s="329" t="s">
        <v>1107</v>
      </c>
    </row>
    <row r="71" spans="1:11" x14ac:dyDescent="0.2">
      <c r="A71" s="330" t="s">
        <v>74</v>
      </c>
      <c r="B71" s="330" t="s">
        <v>1139</v>
      </c>
      <c r="C71" s="330" t="s">
        <v>0</v>
      </c>
      <c r="D71" s="330" t="s">
        <v>1</v>
      </c>
      <c r="E71" s="333" t="s">
        <v>993</v>
      </c>
      <c r="F71" s="333" t="s">
        <v>668</v>
      </c>
      <c r="G71" s="331">
        <v>7</v>
      </c>
      <c r="H71" s="332" t="s">
        <v>1013</v>
      </c>
      <c r="I71" s="329" t="s">
        <v>1105</v>
      </c>
      <c r="K71" s="329" t="s">
        <v>1104</v>
      </c>
    </row>
    <row r="72" spans="1:11" x14ac:dyDescent="0.2">
      <c r="A72" s="330" t="s">
        <v>75</v>
      </c>
      <c r="B72" s="330" t="s">
        <v>1140</v>
      </c>
      <c r="C72" s="330" t="s">
        <v>0</v>
      </c>
      <c r="D72" s="330" t="s">
        <v>1</v>
      </c>
      <c r="E72" s="333" t="s">
        <v>993</v>
      </c>
      <c r="F72" s="333" t="s">
        <v>668</v>
      </c>
      <c r="G72" s="331">
        <v>7</v>
      </c>
      <c r="H72" s="332" t="s">
        <v>1013</v>
      </c>
      <c r="I72" s="329" t="s">
        <v>1105</v>
      </c>
      <c r="K72" s="329" t="s">
        <v>1104</v>
      </c>
    </row>
    <row r="73" spans="1:11" x14ac:dyDescent="0.2">
      <c r="A73" s="330" t="s">
        <v>855</v>
      </c>
      <c r="B73" s="330" t="s">
        <v>856</v>
      </c>
      <c r="C73" s="330" t="s">
        <v>0</v>
      </c>
      <c r="D73" s="330" t="s">
        <v>1</v>
      </c>
      <c r="E73" s="330" t="s">
        <v>993</v>
      </c>
      <c r="F73" s="330" t="s">
        <v>668</v>
      </c>
      <c r="G73" s="331">
        <v>10</v>
      </c>
      <c r="H73" s="332" t="s">
        <v>1030</v>
      </c>
      <c r="I73" s="329" t="s">
        <v>1105</v>
      </c>
      <c r="K73" s="329" t="s">
        <v>1104</v>
      </c>
    </row>
    <row r="74" spans="1:11" x14ac:dyDescent="0.2">
      <c r="A74" s="330" t="s">
        <v>857</v>
      </c>
      <c r="B74" s="330" t="s">
        <v>858</v>
      </c>
      <c r="C74" s="330" t="s">
        <v>0</v>
      </c>
      <c r="D74" s="330" t="s">
        <v>1</v>
      </c>
      <c r="E74" s="330" t="s">
        <v>993</v>
      </c>
      <c r="F74" s="330" t="s">
        <v>668</v>
      </c>
      <c r="G74" s="331">
        <v>10</v>
      </c>
      <c r="H74" s="332" t="s">
        <v>1032</v>
      </c>
      <c r="I74" s="329" t="s">
        <v>1105</v>
      </c>
      <c r="K74" s="329" t="s">
        <v>1104</v>
      </c>
    </row>
    <row r="75" spans="1:11" x14ac:dyDescent="0.2">
      <c r="A75" s="330" t="s">
        <v>859</v>
      </c>
      <c r="B75" s="330" t="s">
        <v>860</v>
      </c>
      <c r="C75" s="330" t="s">
        <v>0</v>
      </c>
      <c r="D75" s="330" t="s">
        <v>1</v>
      </c>
      <c r="E75" s="330" t="s">
        <v>994</v>
      </c>
      <c r="F75" s="330" t="s">
        <v>995</v>
      </c>
      <c r="G75" s="331">
        <v>5</v>
      </c>
      <c r="H75" s="332" t="s">
        <v>996</v>
      </c>
      <c r="I75" s="329" t="s">
        <v>1105</v>
      </c>
      <c r="K75" s="329" t="s">
        <v>1107</v>
      </c>
    </row>
    <row r="76" spans="1:11" x14ac:dyDescent="0.2">
      <c r="A76" s="330" t="s">
        <v>861</v>
      </c>
      <c r="B76" s="330" t="s">
        <v>862</v>
      </c>
      <c r="C76" s="330" t="s">
        <v>0</v>
      </c>
      <c r="D76" s="330" t="s">
        <v>1</v>
      </c>
      <c r="E76" s="330" t="s">
        <v>994</v>
      </c>
      <c r="F76" s="330" t="s">
        <v>995</v>
      </c>
      <c r="G76" s="331">
        <v>10</v>
      </c>
      <c r="H76" s="332" t="s">
        <v>1028</v>
      </c>
      <c r="I76" s="329" t="s">
        <v>1105</v>
      </c>
      <c r="K76" s="329" t="s">
        <v>1107</v>
      </c>
    </row>
    <row r="77" spans="1:11" x14ac:dyDescent="0.2">
      <c r="A77" s="330" t="s">
        <v>863</v>
      </c>
      <c r="B77" s="330" t="s">
        <v>864</v>
      </c>
      <c r="C77" s="330" t="s">
        <v>0</v>
      </c>
      <c r="D77" s="330" t="s">
        <v>1</v>
      </c>
      <c r="E77" s="330" t="s">
        <v>993</v>
      </c>
      <c r="F77" s="330" t="s">
        <v>668</v>
      </c>
      <c r="G77" s="331">
        <v>162</v>
      </c>
      <c r="H77" s="332" t="s">
        <v>1002</v>
      </c>
      <c r="I77" s="329" t="s">
        <v>1105</v>
      </c>
      <c r="K77" s="329" t="s">
        <v>1104</v>
      </c>
    </row>
    <row r="78" spans="1:11" x14ac:dyDescent="0.2">
      <c r="A78" s="330" t="s">
        <v>865</v>
      </c>
      <c r="B78" s="330" t="s">
        <v>866</v>
      </c>
      <c r="C78" s="330" t="s">
        <v>0</v>
      </c>
      <c r="D78" s="330" t="s">
        <v>1</v>
      </c>
      <c r="E78" s="330" t="s">
        <v>993</v>
      </c>
      <c r="F78" s="330" t="s">
        <v>668</v>
      </c>
      <c r="G78" s="331">
        <v>162</v>
      </c>
      <c r="H78" s="332" t="s">
        <v>1004</v>
      </c>
      <c r="I78" s="329" t="s">
        <v>1105</v>
      </c>
      <c r="K78" s="329" t="s">
        <v>1104</v>
      </c>
    </row>
    <row r="79" spans="1:11" x14ac:dyDescent="0.2">
      <c r="A79" s="330" t="s">
        <v>867</v>
      </c>
      <c r="B79" s="330" t="s">
        <v>868</v>
      </c>
      <c r="C79" s="330" t="s">
        <v>0</v>
      </c>
      <c r="D79" s="330" t="s">
        <v>1</v>
      </c>
      <c r="E79" s="330" t="s">
        <v>993</v>
      </c>
      <c r="F79" s="330" t="s">
        <v>668</v>
      </c>
      <c r="G79" s="331">
        <v>162</v>
      </c>
      <c r="H79" s="332" t="s">
        <v>1006</v>
      </c>
      <c r="I79" s="329" t="s">
        <v>1105</v>
      </c>
      <c r="K79" s="329" t="s">
        <v>1104</v>
      </c>
    </row>
    <row r="80" spans="1:11" x14ac:dyDescent="0.2">
      <c r="A80" s="330" t="s">
        <v>816</v>
      </c>
      <c r="B80" s="330" t="s">
        <v>1141</v>
      </c>
      <c r="C80" s="330" t="s">
        <v>0</v>
      </c>
      <c r="D80" s="330" t="s">
        <v>1</v>
      </c>
      <c r="E80" s="330" t="s">
        <v>993</v>
      </c>
      <c r="F80" s="330" t="s">
        <v>668</v>
      </c>
      <c r="G80" s="331">
        <v>162</v>
      </c>
      <c r="H80" s="332" t="s">
        <v>1006</v>
      </c>
      <c r="I80" s="329" t="s">
        <v>1105</v>
      </c>
      <c r="K80" s="329" t="s">
        <v>1104</v>
      </c>
    </row>
    <row r="81" spans="1:11" x14ac:dyDescent="0.2">
      <c r="A81" s="330" t="s">
        <v>817</v>
      </c>
      <c r="B81" s="330" t="s">
        <v>818</v>
      </c>
      <c r="C81" s="330" t="s">
        <v>0</v>
      </c>
      <c r="D81" s="330" t="s">
        <v>1</v>
      </c>
      <c r="E81" s="330" t="s">
        <v>993</v>
      </c>
      <c r="F81" s="330" t="s">
        <v>668</v>
      </c>
      <c r="G81" s="331">
        <v>162</v>
      </c>
      <c r="H81" s="332" t="s">
        <v>1006</v>
      </c>
      <c r="I81" s="329" t="s">
        <v>1105</v>
      </c>
      <c r="K81" s="329" t="s">
        <v>1107</v>
      </c>
    </row>
    <row r="82" spans="1:11" x14ac:dyDescent="0.2">
      <c r="A82" s="330" t="s">
        <v>819</v>
      </c>
      <c r="B82" s="330" t="s">
        <v>820</v>
      </c>
      <c r="C82" s="330" t="s">
        <v>0</v>
      </c>
      <c r="D82" s="330" t="s">
        <v>1</v>
      </c>
      <c r="E82" s="330" t="s">
        <v>993</v>
      </c>
      <c r="F82" s="330" t="s">
        <v>668</v>
      </c>
      <c r="G82" s="331">
        <v>162</v>
      </c>
      <c r="H82" s="332" t="s">
        <v>1004</v>
      </c>
      <c r="I82" s="329" t="s">
        <v>1105</v>
      </c>
      <c r="K82" s="329" t="s">
        <v>1107</v>
      </c>
    </row>
    <row r="83" spans="1:11" x14ac:dyDescent="0.2">
      <c r="A83" s="330" t="s">
        <v>821</v>
      </c>
      <c r="B83" s="330" t="s">
        <v>822</v>
      </c>
      <c r="C83" s="330" t="s">
        <v>0</v>
      </c>
      <c r="D83" s="330" t="s">
        <v>1</v>
      </c>
      <c r="E83" s="343" t="s">
        <v>989</v>
      </c>
      <c r="F83" s="343" t="s">
        <v>990</v>
      </c>
      <c r="G83" s="331">
        <v>162</v>
      </c>
      <c r="H83" s="332" t="s">
        <v>1006</v>
      </c>
      <c r="I83" s="329" t="s">
        <v>1105</v>
      </c>
      <c r="J83" s="329">
        <v>1</v>
      </c>
      <c r="K83" s="329" t="s">
        <v>1107</v>
      </c>
    </row>
    <row r="84" spans="1:11" x14ac:dyDescent="0.2">
      <c r="A84" s="330" t="s">
        <v>823</v>
      </c>
      <c r="B84" s="330" t="s">
        <v>824</v>
      </c>
      <c r="C84" s="330" t="s">
        <v>0</v>
      </c>
      <c r="D84" s="330" t="s">
        <v>1</v>
      </c>
      <c r="E84" s="330" t="s">
        <v>993</v>
      </c>
      <c r="F84" s="330" t="s">
        <v>668</v>
      </c>
      <c r="G84" s="331">
        <v>162</v>
      </c>
      <c r="H84" s="332" t="s">
        <v>1006</v>
      </c>
      <c r="I84" s="329" t="s">
        <v>1105</v>
      </c>
      <c r="K84" s="329" t="s">
        <v>1107</v>
      </c>
    </row>
    <row r="85" spans="1:11" x14ac:dyDescent="0.2">
      <c r="A85" s="330" t="s">
        <v>825</v>
      </c>
      <c r="B85" s="330" t="s">
        <v>826</v>
      </c>
      <c r="C85" s="330" t="s">
        <v>0</v>
      </c>
      <c r="D85" s="330" t="s">
        <v>1</v>
      </c>
      <c r="E85" s="330" t="s">
        <v>993</v>
      </c>
      <c r="F85" s="330" t="s">
        <v>668</v>
      </c>
      <c r="G85" s="331">
        <v>162</v>
      </c>
      <c r="H85" s="332" t="s">
        <v>1006</v>
      </c>
      <c r="I85" s="329" t="s">
        <v>1105</v>
      </c>
      <c r="K85" s="329" t="s">
        <v>1107</v>
      </c>
    </row>
    <row r="86" spans="1:11" x14ac:dyDescent="0.2">
      <c r="A86" s="330" t="s">
        <v>827</v>
      </c>
      <c r="B86" s="330" t="s">
        <v>828</v>
      </c>
      <c r="C86" s="330" t="s">
        <v>0</v>
      </c>
      <c r="D86" s="330" t="s">
        <v>1</v>
      </c>
      <c r="E86" s="330" t="s">
        <v>993</v>
      </c>
      <c r="F86" s="330" t="s">
        <v>668</v>
      </c>
      <c r="G86" s="331">
        <v>162</v>
      </c>
      <c r="H86" s="332" t="s">
        <v>1004</v>
      </c>
      <c r="I86" s="329" t="s">
        <v>1105</v>
      </c>
      <c r="K86" s="329" t="s">
        <v>1107</v>
      </c>
    </row>
    <row r="87" spans="1:11" hidden="1" x14ac:dyDescent="0.2">
      <c r="A87" s="330" t="s">
        <v>91</v>
      </c>
      <c r="B87" s="330" t="s">
        <v>92</v>
      </c>
      <c r="C87" s="330" t="s">
        <v>8</v>
      </c>
      <c r="D87" s="330" t="s">
        <v>9</v>
      </c>
      <c r="E87" s="333" t="s">
        <v>1019</v>
      </c>
      <c r="F87" s="333" t="s">
        <v>1020</v>
      </c>
      <c r="G87" s="331">
        <v>4</v>
      </c>
      <c r="H87" s="332" t="s">
        <v>993</v>
      </c>
      <c r="I87" s="329" t="s">
        <v>1105</v>
      </c>
      <c r="K87" s="329" t="s">
        <v>1104</v>
      </c>
    </row>
    <row r="88" spans="1:11" hidden="1" x14ac:dyDescent="0.2">
      <c r="A88" s="330" t="s">
        <v>93</v>
      </c>
      <c r="B88" s="330" t="s">
        <v>1142</v>
      </c>
      <c r="C88" s="330" t="s">
        <v>8</v>
      </c>
      <c r="D88" s="330" t="s">
        <v>9</v>
      </c>
      <c r="E88" s="330" t="s">
        <v>1015</v>
      </c>
      <c r="F88" s="330" t="s">
        <v>1016</v>
      </c>
      <c r="G88" s="331">
        <v>4</v>
      </c>
      <c r="H88" s="332" t="s">
        <v>993</v>
      </c>
      <c r="I88" s="329" t="s">
        <v>1105</v>
      </c>
      <c r="K88" s="329" t="s">
        <v>1104</v>
      </c>
    </row>
    <row r="89" spans="1:11" hidden="1" x14ac:dyDescent="0.2">
      <c r="A89" s="330" t="s">
        <v>94</v>
      </c>
      <c r="B89" s="330" t="s">
        <v>1143</v>
      </c>
      <c r="C89" s="330" t="s">
        <v>8</v>
      </c>
      <c r="D89" s="330" t="s">
        <v>9</v>
      </c>
      <c r="E89" s="330" t="s">
        <v>1017</v>
      </c>
      <c r="F89" s="330" t="s">
        <v>1018</v>
      </c>
      <c r="G89" s="331">
        <v>4</v>
      </c>
      <c r="H89" s="332" t="s">
        <v>994</v>
      </c>
      <c r="I89" s="329" t="s">
        <v>1105</v>
      </c>
      <c r="K89" s="329" t="s">
        <v>1104</v>
      </c>
    </row>
    <row r="90" spans="1:11" hidden="1" x14ac:dyDescent="0.2">
      <c r="A90" s="330" t="s">
        <v>95</v>
      </c>
      <c r="B90" s="330" t="s">
        <v>1144</v>
      </c>
      <c r="C90" s="330" t="s">
        <v>8</v>
      </c>
      <c r="D90" s="330" t="s">
        <v>9</v>
      </c>
      <c r="E90" s="330" t="s">
        <v>1015</v>
      </c>
      <c r="F90" s="330" t="s">
        <v>1016</v>
      </c>
      <c r="G90" s="331">
        <v>4</v>
      </c>
      <c r="H90" s="332" t="s">
        <v>994</v>
      </c>
      <c r="I90" s="329" t="s">
        <v>1105</v>
      </c>
      <c r="K90" s="329" t="s">
        <v>1104</v>
      </c>
    </row>
    <row r="91" spans="1:11" hidden="1" x14ac:dyDescent="0.2">
      <c r="A91" s="330" t="s">
        <v>96</v>
      </c>
      <c r="B91" s="330" t="s">
        <v>1145</v>
      </c>
      <c r="C91" s="330" t="s">
        <v>8</v>
      </c>
      <c r="D91" s="330" t="s">
        <v>9</v>
      </c>
      <c r="E91" s="330" t="s">
        <v>1017</v>
      </c>
      <c r="F91" s="330" t="s">
        <v>1018</v>
      </c>
      <c r="G91" s="331">
        <v>4</v>
      </c>
      <c r="H91" s="332" t="s">
        <v>994</v>
      </c>
      <c r="I91" s="329" t="s">
        <v>1105</v>
      </c>
      <c r="K91" s="329" t="s">
        <v>1104</v>
      </c>
    </row>
    <row r="92" spans="1:11" hidden="1" x14ac:dyDescent="0.2">
      <c r="A92" s="330" t="s">
        <v>97</v>
      </c>
      <c r="B92" s="330" t="s">
        <v>98</v>
      </c>
      <c r="C92" s="330" t="s">
        <v>8</v>
      </c>
      <c r="D92" s="330" t="s">
        <v>9</v>
      </c>
      <c r="E92" s="330" t="s">
        <v>1019</v>
      </c>
      <c r="F92" s="330" t="s">
        <v>1020</v>
      </c>
      <c r="G92" s="331">
        <v>4</v>
      </c>
      <c r="H92" s="332" t="s">
        <v>993</v>
      </c>
      <c r="I92" s="329" t="s">
        <v>1105</v>
      </c>
      <c r="K92" s="329" t="s">
        <v>1104</v>
      </c>
    </row>
    <row r="93" spans="1:11" hidden="1" x14ac:dyDescent="0.2">
      <c r="A93" s="330" t="s">
        <v>99</v>
      </c>
      <c r="B93" s="330" t="s">
        <v>100</v>
      </c>
      <c r="C93" s="330" t="s">
        <v>8</v>
      </c>
      <c r="D93" s="330" t="s">
        <v>9</v>
      </c>
      <c r="E93" s="330" t="s">
        <v>1017</v>
      </c>
      <c r="F93" s="330" t="s">
        <v>1018</v>
      </c>
      <c r="G93" s="331">
        <v>4</v>
      </c>
      <c r="H93" s="332" t="s">
        <v>994</v>
      </c>
      <c r="I93" s="329" t="s">
        <v>1105</v>
      </c>
      <c r="K93" s="329" t="s">
        <v>1104</v>
      </c>
    </row>
    <row r="94" spans="1:11" hidden="1" x14ac:dyDescent="0.2">
      <c r="A94" s="330" t="s">
        <v>101</v>
      </c>
      <c r="B94" s="330" t="s">
        <v>1146</v>
      </c>
      <c r="C94" s="330" t="s">
        <v>8</v>
      </c>
      <c r="D94" s="330" t="s">
        <v>9</v>
      </c>
      <c r="E94" s="330" t="s">
        <v>1015</v>
      </c>
      <c r="F94" s="330" t="s">
        <v>1016</v>
      </c>
      <c r="G94" s="331">
        <v>4</v>
      </c>
      <c r="H94" s="332" t="s">
        <v>989</v>
      </c>
      <c r="I94" s="329" t="s">
        <v>1105</v>
      </c>
      <c r="K94" s="329" t="s">
        <v>1104</v>
      </c>
    </row>
    <row r="95" spans="1:11" hidden="1" x14ac:dyDescent="0.2">
      <c r="A95" s="330" t="s">
        <v>102</v>
      </c>
      <c r="B95" s="330" t="s">
        <v>1147</v>
      </c>
      <c r="C95" s="330" t="s">
        <v>8</v>
      </c>
      <c r="D95" s="330" t="s">
        <v>9</v>
      </c>
      <c r="E95" s="330" t="s">
        <v>1017</v>
      </c>
      <c r="F95" s="330" t="s">
        <v>1018</v>
      </c>
      <c r="G95" s="331">
        <v>4</v>
      </c>
      <c r="H95" s="332" t="s">
        <v>993</v>
      </c>
      <c r="I95" s="329" t="s">
        <v>1105</v>
      </c>
      <c r="K95" s="329" t="s">
        <v>1104</v>
      </c>
    </row>
    <row r="96" spans="1:11" hidden="1" x14ac:dyDescent="0.2">
      <c r="A96" s="330" t="s">
        <v>103</v>
      </c>
      <c r="B96" s="330" t="s">
        <v>1148</v>
      </c>
      <c r="C96" s="330" t="s">
        <v>8</v>
      </c>
      <c r="D96" s="330" t="s">
        <v>9</v>
      </c>
      <c r="E96" s="330" t="s">
        <v>1014</v>
      </c>
      <c r="F96" s="330" t="s">
        <v>671</v>
      </c>
      <c r="G96" s="331">
        <v>4</v>
      </c>
      <c r="H96" s="332" t="s">
        <v>989</v>
      </c>
      <c r="I96" s="329" t="s">
        <v>1105</v>
      </c>
      <c r="K96" s="329" t="s">
        <v>1104</v>
      </c>
    </row>
    <row r="97" spans="1:11" hidden="1" x14ac:dyDescent="0.2">
      <c r="A97" s="330" t="s">
        <v>104</v>
      </c>
      <c r="B97" s="330" t="s">
        <v>1149</v>
      </c>
      <c r="C97" s="330" t="s">
        <v>8</v>
      </c>
      <c r="D97" s="330" t="s">
        <v>9</v>
      </c>
      <c r="E97" s="330" t="s">
        <v>1014</v>
      </c>
      <c r="F97" s="330" t="s">
        <v>671</v>
      </c>
      <c r="G97" s="331">
        <v>4</v>
      </c>
      <c r="H97" s="332" t="s">
        <v>994</v>
      </c>
      <c r="I97" s="329" t="s">
        <v>1105</v>
      </c>
      <c r="K97" s="329" t="s">
        <v>1104</v>
      </c>
    </row>
    <row r="98" spans="1:11" hidden="1" x14ac:dyDescent="0.2">
      <c r="A98" s="330" t="s">
        <v>105</v>
      </c>
      <c r="B98" s="330" t="s">
        <v>1150</v>
      </c>
      <c r="C98" s="330" t="s">
        <v>8</v>
      </c>
      <c r="D98" s="330" t="s">
        <v>9</v>
      </c>
      <c r="E98" s="330" t="s">
        <v>1014</v>
      </c>
      <c r="F98" s="330" t="s">
        <v>671</v>
      </c>
      <c r="G98" s="331">
        <v>4</v>
      </c>
      <c r="H98" s="332" t="s">
        <v>994</v>
      </c>
      <c r="I98" s="329" t="s">
        <v>1105</v>
      </c>
      <c r="K98" s="329" t="s">
        <v>1104</v>
      </c>
    </row>
    <row r="99" spans="1:11" hidden="1" x14ac:dyDescent="0.2">
      <c r="A99" s="330" t="s">
        <v>106</v>
      </c>
      <c r="B99" s="330" t="s">
        <v>1151</v>
      </c>
      <c r="C99" s="330" t="s">
        <v>8</v>
      </c>
      <c r="D99" s="330" t="s">
        <v>9</v>
      </c>
      <c r="E99" s="330" t="s">
        <v>1014</v>
      </c>
      <c r="F99" s="330" t="s">
        <v>671</v>
      </c>
      <c r="G99" s="331">
        <v>4</v>
      </c>
      <c r="H99" s="332" t="s">
        <v>989</v>
      </c>
      <c r="I99" s="329" t="s">
        <v>1105</v>
      </c>
      <c r="K99" s="329" t="s">
        <v>1104</v>
      </c>
    </row>
    <row r="100" spans="1:11" hidden="1" x14ac:dyDescent="0.2">
      <c r="A100" s="330" t="s">
        <v>869</v>
      </c>
      <c r="B100" s="330" t="s">
        <v>107</v>
      </c>
      <c r="C100" s="330" t="s">
        <v>8</v>
      </c>
      <c r="D100" s="330" t="s">
        <v>9</v>
      </c>
      <c r="E100" s="330" t="s">
        <v>1019</v>
      </c>
      <c r="F100" s="330" t="s">
        <v>1020</v>
      </c>
      <c r="G100" s="331">
        <v>4</v>
      </c>
      <c r="H100" s="332" t="s">
        <v>993</v>
      </c>
      <c r="I100" s="329" t="s">
        <v>1105</v>
      </c>
      <c r="K100" s="329" t="s">
        <v>1104</v>
      </c>
    </row>
    <row r="101" spans="1:11" hidden="1" x14ac:dyDescent="0.2">
      <c r="A101" s="330" t="s">
        <v>870</v>
      </c>
      <c r="B101" s="330" t="s">
        <v>108</v>
      </c>
      <c r="C101" s="330" t="s">
        <v>8</v>
      </c>
      <c r="D101" s="330" t="s">
        <v>9</v>
      </c>
      <c r="E101" s="330" t="s">
        <v>1019</v>
      </c>
      <c r="F101" s="330" t="s">
        <v>1020</v>
      </c>
      <c r="G101" s="331">
        <v>4</v>
      </c>
      <c r="H101" s="332" t="s">
        <v>993</v>
      </c>
      <c r="I101" s="329" t="s">
        <v>1105</v>
      </c>
      <c r="K101" s="329" t="s">
        <v>1104</v>
      </c>
    </row>
    <row r="102" spans="1:11" hidden="1" x14ac:dyDescent="0.2">
      <c r="A102" s="330" t="s">
        <v>109</v>
      </c>
      <c r="B102" s="330" t="s">
        <v>1152</v>
      </c>
      <c r="C102" s="330" t="s">
        <v>10</v>
      </c>
      <c r="D102" s="330" t="s">
        <v>11</v>
      </c>
      <c r="E102" s="330" t="s">
        <v>1022</v>
      </c>
      <c r="F102" s="330" t="s">
        <v>1023</v>
      </c>
      <c r="G102" s="331">
        <v>4</v>
      </c>
      <c r="H102" s="332" t="s">
        <v>991</v>
      </c>
      <c r="I102" s="329" t="s">
        <v>1105</v>
      </c>
      <c r="K102" s="329" t="s">
        <v>1104</v>
      </c>
    </row>
    <row r="103" spans="1:11" hidden="1" x14ac:dyDescent="0.2">
      <c r="A103" s="330" t="s">
        <v>110</v>
      </c>
      <c r="B103" s="330" t="s">
        <v>1153</v>
      </c>
      <c r="C103" s="330" t="s">
        <v>10</v>
      </c>
      <c r="D103" s="330" t="s">
        <v>11</v>
      </c>
      <c r="E103" s="330" t="s">
        <v>1024</v>
      </c>
      <c r="F103" s="330" t="s">
        <v>1025</v>
      </c>
      <c r="G103" s="331">
        <v>4</v>
      </c>
      <c r="H103" s="332" t="s">
        <v>991</v>
      </c>
      <c r="I103" s="329" t="s">
        <v>1105</v>
      </c>
      <c r="K103" s="329" t="s">
        <v>1104</v>
      </c>
    </row>
    <row r="104" spans="1:11" hidden="1" x14ac:dyDescent="0.2">
      <c r="A104" s="330" t="s">
        <v>111</v>
      </c>
      <c r="B104" s="330" t="s">
        <v>1154</v>
      </c>
      <c r="C104" s="330" t="s">
        <v>10</v>
      </c>
      <c r="D104" s="330" t="s">
        <v>11</v>
      </c>
      <c r="E104" s="330" t="s">
        <v>1021</v>
      </c>
      <c r="F104" s="330" t="s">
        <v>672</v>
      </c>
      <c r="G104" s="331">
        <v>4</v>
      </c>
      <c r="H104" s="332" t="s">
        <v>994</v>
      </c>
      <c r="I104" s="329" t="s">
        <v>1105</v>
      </c>
      <c r="K104" s="329" t="s">
        <v>1107</v>
      </c>
    </row>
    <row r="105" spans="1:11" hidden="1" x14ac:dyDescent="0.2">
      <c r="A105" s="330" t="s">
        <v>112</v>
      </c>
      <c r="B105" s="330" t="s">
        <v>1155</v>
      </c>
      <c r="C105" s="330" t="s">
        <v>10</v>
      </c>
      <c r="D105" s="330" t="s">
        <v>11</v>
      </c>
      <c r="E105" s="330" t="s">
        <v>1021</v>
      </c>
      <c r="F105" s="330" t="s">
        <v>672</v>
      </c>
      <c r="G105" s="331">
        <v>4</v>
      </c>
      <c r="H105" s="332" t="s">
        <v>994</v>
      </c>
      <c r="I105" s="329" t="s">
        <v>1105</v>
      </c>
      <c r="K105" s="329" t="s">
        <v>1107</v>
      </c>
    </row>
    <row r="106" spans="1:11" hidden="1" x14ac:dyDescent="0.2">
      <c r="A106" s="330" t="s">
        <v>113</v>
      </c>
      <c r="B106" s="344" t="s">
        <v>1156</v>
      </c>
      <c r="C106" s="330" t="s">
        <v>10</v>
      </c>
      <c r="D106" s="330" t="s">
        <v>11</v>
      </c>
      <c r="E106" s="343" t="s">
        <v>1022</v>
      </c>
      <c r="F106" s="343" t="s">
        <v>1023</v>
      </c>
      <c r="G106" s="331">
        <v>4</v>
      </c>
      <c r="H106" s="332" t="s">
        <v>994</v>
      </c>
      <c r="I106" s="329" t="s">
        <v>1105</v>
      </c>
      <c r="J106" s="329">
        <v>1</v>
      </c>
      <c r="K106" s="329" t="s">
        <v>1107</v>
      </c>
    </row>
    <row r="107" spans="1:11" hidden="1" x14ac:dyDescent="0.2">
      <c r="A107" s="330" t="s">
        <v>114</v>
      </c>
      <c r="B107" s="330" t="s">
        <v>1157</v>
      </c>
      <c r="C107" s="330" t="s">
        <v>10</v>
      </c>
      <c r="D107" s="330" t="s">
        <v>11</v>
      </c>
      <c r="E107" s="330" t="s">
        <v>1021</v>
      </c>
      <c r="F107" s="330" t="s">
        <v>672</v>
      </c>
      <c r="G107" s="331">
        <v>4</v>
      </c>
      <c r="H107" s="332" t="s">
        <v>993</v>
      </c>
      <c r="I107" s="329" t="s">
        <v>1105</v>
      </c>
      <c r="K107" s="329" t="s">
        <v>1107</v>
      </c>
    </row>
    <row r="108" spans="1:11" hidden="1" x14ac:dyDescent="0.2">
      <c r="A108" s="330" t="s">
        <v>115</v>
      </c>
      <c r="B108" s="330" t="s">
        <v>1158</v>
      </c>
      <c r="C108" s="330" t="s">
        <v>10</v>
      </c>
      <c r="D108" s="330" t="s">
        <v>11</v>
      </c>
      <c r="E108" s="330" t="s">
        <v>1021</v>
      </c>
      <c r="F108" s="330" t="s">
        <v>672</v>
      </c>
      <c r="G108" s="331">
        <v>4</v>
      </c>
      <c r="H108" s="332" t="s">
        <v>993</v>
      </c>
      <c r="I108" s="329" t="s">
        <v>1105</v>
      </c>
      <c r="K108" s="329" t="s">
        <v>1107</v>
      </c>
    </row>
    <row r="109" spans="1:11" hidden="1" x14ac:dyDescent="0.2">
      <c r="A109" s="330" t="s">
        <v>871</v>
      </c>
      <c r="B109" s="330" t="s">
        <v>872</v>
      </c>
      <c r="C109" s="330" t="s">
        <v>10</v>
      </c>
      <c r="D109" s="330" t="s">
        <v>11</v>
      </c>
      <c r="E109" s="330" t="s">
        <v>1022</v>
      </c>
      <c r="F109" s="330" t="s">
        <v>1023</v>
      </c>
      <c r="G109" s="331">
        <v>4</v>
      </c>
      <c r="H109" s="332" t="s">
        <v>989</v>
      </c>
      <c r="I109" s="329" t="s">
        <v>1105</v>
      </c>
      <c r="K109" s="329" t="s">
        <v>1104</v>
      </c>
    </row>
    <row r="110" spans="1:11" hidden="1" x14ac:dyDescent="0.2">
      <c r="A110" s="330" t="s">
        <v>873</v>
      </c>
      <c r="B110" s="330" t="s">
        <v>874</v>
      </c>
      <c r="C110" s="330" t="s">
        <v>10</v>
      </c>
      <c r="D110" s="330" t="s">
        <v>11</v>
      </c>
      <c r="E110" s="330" t="s">
        <v>1024</v>
      </c>
      <c r="F110" s="330" t="s">
        <v>1025</v>
      </c>
      <c r="G110" s="331">
        <v>4</v>
      </c>
      <c r="H110" s="332" t="s">
        <v>989</v>
      </c>
      <c r="I110" s="329" t="s">
        <v>1105</v>
      </c>
      <c r="K110" s="329" t="s">
        <v>1104</v>
      </c>
    </row>
    <row r="111" spans="1:11" hidden="1" x14ac:dyDescent="0.2">
      <c r="A111" s="330" t="s">
        <v>875</v>
      </c>
      <c r="B111" s="330" t="s">
        <v>876</v>
      </c>
      <c r="C111" s="330" t="s">
        <v>10</v>
      </c>
      <c r="D111" s="330" t="s">
        <v>11</v>
      </c>
      <c r="E111" s="330" t="s">
        <v>1024</v>
      </c>
      <c r="F111" s="330" t="s">
        <v>1025</v>
      </c>
      <c r="G111" s="331">
        <v>4</v>
      </c>
      <c r="H111" s="332" t="s">
        <v>991</v>
      </c>
      <c r="I111" s="329" t="s">
        <v>1105</v>
      </c>
      <c r="K111" s="329" t="s">
        <v>1104</v>
      </c>
    </row>
    <row r="112" spans="1:11" hidden="1" x14ac:dyDescent="0.2">
      <c r="A112" s="330" t="s">
        <v>877</v>
      </c>
      <c r="B112" s="330" t="s">
        <v>878</v>
      </c>
      <c r="C112" s="330" t="s">
        <v>10</v>
      </c>
      <c r="D112" s="330" t="s">
        <v>11</v>
      </c>
      <c r="E112" s="330" t="s">
        <v>1021</v>
      </c>
      <c r="F112" s="330" t="s">
        <v>672</v>
      </c>
      <c r="G112" s="331">
        <v>4</v>
      </c>
      <c r="H112" s="332" t="s">
        <v>993</v>
      </c>
      <c r="I112" s="329" t="s">
        <v>1105</v>
      </c>
      <c r="K112" s="329" t="s">
        <v>1107</v>
      </c>
    </row>
    <row r="113" spans="1:11" hidden="1" x14ac:dyDescent="0.2">
      <c r="A113" s="330" t="s">
        <v>879</v>
      </c>
      <c r="B113" s="330" t="s">
        <v>880</v>
      </c>
      <c r="C113" s="330" t="s">
        <v>10</v>
      </c>
      <c r="D113" s="330" t="s">
        <v>11</v>
      </c>
      <c r="E113" s="330" t="s">
        <v>1026</v>
      </c>
      <c r="F113" s="330" t="s">
        <v>1027</v>
      </c>
      <c r="G113" s="331">
        <v>4</v>
      </c>
      <c r="H113" s="332" t="s">
        <v>994</v>
      </c>
      <c r="I113" s="329" t="s">
        <v>1105</v>
      </c>
      <c r="K113" s="329" t="s">
        <v>1107</v>
      </c>
    </row>
    <row r="114" spans="1:11" hidden="1" x14ac:dyDescent="0.2">
      <c r="A114" s="330" t="s">
        <v>881</v>
      </c>
      <c r="B114" s="330" t="s">
        <v>116</v>
      </c>
      <c r="C114" s="330" t="s">
        <v>10</v>
      </c>
      <c r="D114" s="330" t="s">
        <v>11</v>
      </c>
      <c r="E114" s="330" t="s">
        <v>1026</v>
      </c>
      <c r="F114" s="330" t="s">
        <v>1027</v>
      </c>
      <c r="G114" s="331">
        <v>4</v>
      </c>
      <c r="H114" s="332" t="s">
        <v>993</v>
      </c>
      <c r="I114" s="329" t="s">
        <v>1105</v>
      </c>
      <c r="K114" s="329" t="s">
        <v>1107</v>
      </c>
    </row>
    <row r="115" spans="1:11" hidden="1" x14ac:dyDescent="0.2">
      <c r="A115" s="330" t="s">
        <v>882</v>
      </c>
      <c r="B115" s="330" t="s">
        <v>883</v>
      </c>
      <c r="C115" s="330" t="s">
        <v>10</v>
      </c>
      <c r="D115" s="330" t="s">
        <v>11</v>
      </c>
      <c r="E115" s="330" t="s">
        <v>1026</v>
      </c>
      <c r="F115" s="330" t="s">
        <v>1027</v>
      </c>
      <c r="G115" s="331">
        <v>4</v>
      </c>
      <c r="H115" s="332" t="s">
        <v>993</v>
      </c>
      <c r="I115" s="329" t="s">
        <v>1105</v>
      </c>
      <c r="K115" s="329" t="s">
        <v>1107</v>
      </c>
    </row>
    <row r="116" spans="1:11" hidden="1" x14ac:dyDescent="0.2">
      <c r="A116" s="330" t="s">
        <v>132</v>
      </c>
      <c r="B116" s="330" t="s">
        <v>1159</v>
      </c>
      <c r="C116" s="330" t="s">
        <v>12</v>
      </c>
      <c r="D116" s="330" t="s">
        <v>13</v>
      </c>
      <c r="E116" s="330" t="s">
        <v>1030</v>
      </c>
      <c r="F116" s="330" t="s">
        <v>1031</v>
      </c>
      <c r="G116" s="331">
        <v>4</v>
      </c>
      <c r="H116" s="332" t="s">
        <v>993</v>
      </c>
      <c r="I116" s="329" t="s">
        <v>1105</v>
      </c>
      <c r="K116" s="329" t="s">
        <v>1107</v>
      </c>
    </row>
    <row r="117" spans="1:11" hidden="1" x14ac:dyDescent="0.2">
      <c r="A117" s="330" t="s">
        <v>133</v>
      </c>
      <c r="B117" s="330" t="s">
        <v>1160</v>
      </c>
      <c r="C117" s="330" t="s">
        <v>12</v>
      </c>
      <c r="D117" s="330" t="s">
        <v>13</v>
      </c>
      <c r="E117" s="343" t="s">
        <v>1030</v>
      </c>
      <c r="F117" s="343" t="s">
        <v>1031</v>
      </c>
      <c r="G117" s="331">
        <v>8</v>
      </c>
      <c r="H117" s="332" t="s">
        <v>1014</v>
      </c>
      <c r="I117" s="329" t="s">
        <v>1105</v>
      </c>
      <c r="J117" s="329">
        <v>1</v>
      </c>
      <c r="K117" s="329" t="s">
        <v>1104</v>
      </c>
    </row>
    <row r="118" spans="1:11" hidden="1" x14ac:dyDescent="0.2">
      <c r="A118" s="330" t="s">
        <v>134</v>
      </c>
      <c r="B118" s="330" t="s">
        <v>1161</v>
      </c>
      <c r="C118" s="330" t="s">
        <v>12</v>
      </c>
      <c r="D118" s="330" t="s">
        <v>13</v>
      </c>
      <c r="E118" s="343" t="s">
        <v>1030</v>
      </c>
      <c r="F118" s="343" t="s">
        <v>1031</v>
      </c>
      <c r="G118" s="331">
        <v>8</v>
      </c>
      <c r="H118" s="332" t="s">
        <v>1014</v>
      </c>
      <c r="I118" s="329" t="s">
        <v>1105</v>
      </c>
      <c r="J118" s="329">
        <v>1</v>
      </c>
      <c r="K118" s="329" t="s">
        <v>1104</v>
      </c>
    </row>
    <row r="119" spans="1:11" hidden="1" x14ac:dyDescent="0.2">
      <c r="A119" s="330" t="s">
        <v>135</v>
      </c>
      <c r="B119" s="330" t="s">
        <v>136</v>
      </c>
      <c r="C119" s="330" t="s">
        <v>12</v>
      </c>
      <c r="D119" s="330" t="s">
        <v>13</v>
      </c>
      <c r="E119" s="330" t="s">
        <v>1028</v>
      </c>
      <c r="F119" s="330" t="s">
        <v>1029</v>
      </c>
      <c r="G119" s="331">
        <v>8</v>
      </c>
      <c r="H119" s="332" t="s">
        <v>1014</v>
      </c>
      <c r="I119" s="329" t="s">
        <v>1105</v>
      </c>
      <c r="K119" s="329" t="s">
        <v>1107</v>
      </c>
    </row>
    <row r="120" spans="1:11" hidden="1" x14ac:dyDescent="0.2">
      <c r="A120" s="330" t="s">
        <v>137</v>
      </c>
      <c r="B120" s="330" t="s">
        <v>138</v>
      </c>
      <c r="C120" s="330" t="s">
        <v>12</v>
      </c>
      <c r="D120" s="330" t="s">
        <v>13</v>
      </c>
      <c r="E120" s="330" t="s">
        <v>1028</v>
      </c>
      <c r="F120" s="330" t="s">
        <v>1029</v>
      </c>
      <c r="G120" s="331">
        <v>8</v>
      </c>
      <c r="H120" s="332" t="s">
        <v>1019</v>
      </c>
      <c r="I120" s="329" t="s">
        <v>1105</v>
      </c>
      <c r="K120" s="329" t="s">
        <v>1107</v>
      </c>
    </row>
    <row r="121" spans="1:11" hidden="1" x14ac:dyDescent="0.2">
      <c r="A121" s="330" t="s">
        <v>884</v>
      </c>
      <c r="B121" s="330" t="s">
        <v>885</v>
      </c>
      <c r="C121" s="330" t="s">
        <v>12</v>
      </c>
      <c r="D121" s="330" t="s">
        <v>13</v>
      </c>
      <c r="E121" s="330" t="s">
        <v>1030</v>
      </c>
      <c r="F121" s="330" t="s">
        <v>1031</v>
      </c>
      <c r="G121" s="331">
        <v>4</v>
      </c>
      <c r="H121" s="332" t="s">
        <v>993</v>
      </c>
      <c r="I121" s="329" t="s">
        <v>1105</v>
      </c>
      <c r="K121" s="329" t="s">
        <v>1107</v>
      </c>
    </row>
    <row r="122" spans="1:11" hidden="1" x14ac:dyDescent="0.2">
      <c r="A122" s="330" t="s">
        <v>886</v>
      </c>
      <c r="B122" s="330" t="s">
        <v>887</v>
      </c>
      <c r="C122" s="330" t="s">
        <v>12</v>
      </c>
      <c r="D122" s="330" t="s">
        <v>13</v>
      </c>
      <c r="E122" s="330" t="s">
        <v>1032</v>
      </c>
      <c r="F122" s="330" t="s">
        <v>1033</v>
      </c>
      <c r="G122" s="331">
        <v>4</v>
      </c>
      <c r="H122" s="332" t="s">
        <v>993</v>
      </c>
      <c r="I122" s="329" t="s">
        <v>1105</v>
      </c>
      <c r="K122" s="329" t="s">
        <v>1107</v>
      </c>
    </row>
    <row r="123" spans="1:11" hidden="1" x14ac:dyDescent="0.2">
      <c r="A123" s="330" t="s">
        <v>888</v>
      </c>
      <c r="B123" s="330" t="s">
        <v>889</v>
      </c>
      <c r="C123" s="330" t="s">
        <v>12</v>
      </c>
      <c r="D123" s="330" t="s">
        <v>13</v>
      </c>
      <c r="E123" s="343" t="s">
        <v>1030</v>
      </c>
      <c r="F123" s="343" t="s">
        <v>1031</v>
      </c>
      <c r="G123" s="331">
        <v>8</v>
      </c>
      <c r="H123" s="332" t="s">
        <v>1014</v>
      </c>
      <c r="I123" s="329" t="s">
        <v>1105</v>
      </c>
      <c r="J123" s="329">
        <v>1</v>
      </c>
      <c r="K123" s="329" t="s">
        <v>1104</v>
      </c>
    </row>
    <row r="124" spans="1:11" hidden="1" x14ac:dyDescent="0.2">
      <c r="A124" s="330" t="s">
        <v>890</v>
      </c>
      <c r="B124" s="330" t="s">
        <v>891</v>
      </c>
      <c r="C124" s="330" t="s">
        <v>12</v>
      </c>
      <c r="D124" s="330" t="s">
        <v>13</v>
      </c>
      <c r="E124" s="330" t="s">
        <v>1028</v>
      </c>
      <c r="F124" s="330" t="s">
        <v>1029</v>
      </c>
      <c r="G124" s="331">
        <v>8</v>
      </c>
      <c r="H124" s="332" t="s">
        <v>1019</v>
      </c>
      <c r="I124" s="329" t="s">
        <v>1105</v>
      </c>
      <c r="K124" s="329" t="s">
        <v>1107</v>
      </c>
    </row>
    <row r="125" spans="1:11" hidden="1" x14ac:dyDescent="0.2">
      <c r="A125" s="330" t="s">
        <v>161</v>
      </c>
      <c r="B125" s="330" t="s">
        <v>162</v>
      </c>
      <c r="C125" s="330" t="s">
        <v>16</v>
      </c>
      <c r="D125" s="330" t="s">
        <v>17</v>
      </c>
      <c r="E125" s="330" t="s">
        <v>1035</v>
      </c>
      <c r="F125" s="330" t="s">
        <v>17</v>
      </c>
      <c r="G125" s="331">
        <v>9</v>
      </c>
      <c r="H125" s="332" t="s">
        <v>1026</v>
      </c>
      <c r="I125" s="329" t="s">
        <v>1105</v>
      </c>
      <c r="K125" s="329" t="s">
        <v>1107</v>
      </c>
    </row>
    <row r="126" spans="1:11" hidden="1" x14ac:dyDescent="0.2">
      <c r="A126" s="330" t="s">
        <v>163</v>
      </c>
      <c r="B126" s="330" t="s">
        <v>1162</v>
      </c>
      <c r="C126" s="330" t="s">
        <v>16</v>
      </c>
      <c r="D126" s="330" t="s">
        <v>17</v>
      </c>
      <c r="E126" s="330" t="s">
        <v>1035</v>
      </c>
      <c r="F126" s="330" t="s">
        <v>17</v>
      </c>
      <c r="G126" s="331">
        <v>10</v>
      </c>
      <c r="H126" s="332" t="s">
        <v>1030</v>
      </c>
      <c r="I126" s="329" t="s">
        <v>1105</v>
      </c>
      <c r="K126" s="329" t="s">
        <v>1104</v>
      </c>
    </row>
    <row r="127" spans="1:11" hidden="1" x14ac:dyDescent="0.2">
      <c r="A127" s="330" t="s">
        <v>164</v>
      </c>
      <c r="B127" s="330" t="s">
        <v>1163</v>
      </c>
      <c r="C127" s="330" t="s">
        <v>16</v>
      </c>
      <c r="D127" s="330" t="s">
        <v>17</v>
      </c>
      <c r="E127" s="330" t="s">
        <v>1035</v>
      </c>
      <c r="F127" s="330" t="s">
        <v>17</v>
      </c>
      <c r="G127" s="331">
        <v>10</v>
      </c>
      <c r="H127" s="332" t="s">
        <v>1028</v>
      </c>
      <c r="I127" s="329" t="s">
        <v>1105</v>
      </c>
      <c r="K127" s="329" t="s">
        <v>1104</v>
      </c>
    </row>
    <row r="128" spans="1:11" hidden="1" x14ac:dyDescent="0.2">
      <c r="A128" s="330" t="s">
        <v>166</v>
      </c>
      <c r="B128" s="330" t="s">
        <v>167</v>
      </c>
      <c r="C128" s="330" t="s">
        <v>16</v>
      </c>
      <c r="D128" s="330" t="s">
        <v>17</v>
      </c>
      <c r="E128" s="330" t="s">
        <v>1035</v>
      </c>
      <c r="F128" s="330" t="s">
        <v>17</v>
      </c>
      <c r="G128" s="331">
        <v>10</v>
      </c>
      <c r="H128" s="332" t="s">
        <v>1028</v>
      </c>
      <c r="I128" s="329" t="s">
        <v>1105</v>
      </c>
      <c r="K128" s="329" t="s">
        <v>1104</v>
      </c>
    </row>
    <row r="129" spans="1:11" hidden="1" x14ac:dyDescent="0.2">
      <c r="A129" s="330" t="s">
        <v>168</v>
      </c>
      <c r="B129" s="330" t="s">
        <v>169</v>
      </c>
      <c r="C129" s="330" t="s">
        <v>16</v>
      </c>
      <c r="D129" s="330" t="s">
        <v>17</v>
      </c>
      <c r="E129" s="330" t="s">
        <v>1035</v>
      </c>
      <c r="F129" s="330" t="s">
        <v>17</v>
      </c>
      <c r="G129" s="331">
        <v>10</v>
      </c>
      <c r="H129" s="332" t="s">
        <v>1028</v>
      </c>
      <c r="I129" s="329" t="s">
        <v>1105</v>
      </c>
      <c r="K129" s="329" t="s">
        <v>1104</v>
      </c>
    </row>
    <row r="130" spans="1:11" hidden="1" x14ac:dyDescent="0.2">
      <c r="A130" s="330" t="s">
        <v>170</v>
      </c>
      <c r="B130" s="330" t="s">
        <v>171</v>
      </c>
      <c r="C130" s="330" t="s">
        <v>18</v>
      </c>
      <c r="D130" s="330" t="s">
        <v>690</v>
      </c>
      <c r="E130" s="330" t="s">
        <v>1036</v>
      </c>
      <c r="F130" s="330" t="s">
        <v>675</v>
      </c>
      <c r="G130" s="331">
        <v>12</v>
      </c>
      <c r="H130" s="332" t="s">
        <v>1035</v>
      </c>
      <c r="I130" s="329" t="s">
        <v>1105</v>
      </c>
      <c r="K130" s="329" t="s">
        <v>1104</v>
      </c>
    </row>
    <row r="131" spans="1:11" hidden="1" x14ac:dyDescent="0.2">
      <c r="A131" s="330" t="s">
        <v>172</v>
      </c>
      <c r="B131" s="330" t="s">
        <v>173</v>
      </c>
      <c r="C131" s="330" t="s">
        <v>18</v>
      </c>
      <c r="D131" s="330" t="s">
        <v>690</v>
      </c>
      <c r="E131" s="330" t="s">
        <v>1036</v>
      </c>
      <c r="F131" s="330" t="s">
        <v>675</v>
      </c>
      <c r="G131" s="331">
        <v>12</v>
      </c>
      <c r="H131" s="332" t="s">
        <v>1035</v>
      </c>
      <c r="I131" s="329" t="s">
        <v>1105</v>
      </c>
      <c r="K131" s="329" t="s">
        <v>1104</v>
      </c>
    </row>
    <row r="132" spans="1:11" hidden="1" x14ac:dyDescent="0.2">
      <c r="A132" s="330" t="s">
        <v>892</v>
      </c>
      <c r="B132" s="330" t="s">
        <v>165</v>
      </c>
      <c r="C132" s="330" t="s">
        <v>16</v>
      </c>
      <c r="D132" s="330" t="s">
        <v>17</v>
      </c>
      <c r="E132" s="330" t="s">
        <v>1035</v>
      </c>
      <c r="F132" s="330" t="s">
        <v>17</v>
      </c>
      <c r="G132" s="331">
        <v>10</v>
      </c>
      <c r="H132" s="332" t="s">
        <v>1028</v>
      </c>
      <c r="I132" s="329" t="s">
        <v>1105</v>
      </c>
      <c r="K132" s="329" t="s">
        <v>1104</v>
      </c>
    </row>
    <row r="133" spans="1:11" hidden="1" x14ac:dyDescent="0.2">
      <c r="A133" s="330" t="s">
        <v>174</v>
      </c>
      <c r="B133" s="330" t="s">
        <v>1164</v>
      </c>
      <c r="C133" s="330" t="s">
        <v>16</v>
      </c>
      <c r="D133" s="330" t="s">
        <v>17</v>
      </c>
      <c r="E133" s="330" t="s">
        <v>1035</v>
      </c>
      <c r="F133" s="330" t="s">
        <v>17</v>
      </c>
      <c r="G133" s="331">
        <v>10</v>
      </c>
      <c r="H133" s="332" t="s">
        <v>1030</v>
      </c>
      <c r="I133" s="329" t="s">
        <v>1105</v>
      </c>
      <c r="K133" s="329" t="s">
        <v>1107</v>
      </c>
    </row>
    <row r="134" spans="1:11" hidden="1" x14ac:dyDescent="0.2">
      <c r="A134" s="330" t="s">
        <v>893</v>
      </c>
      <c r="B134" s="330" t="s">
        <v>894</v>
      </c>
      <c r="C134" s="330" t="s">
        <v>16</v>
      </c>
      <c r="D134" s="330" t="s">
        <v>17</v>
      </c>
      <c r="E134" s="330" t="s">
        <v>1035</v>
      </c>
      <c r="F134" s="330" t="s">
        <v>17</v>
      </c>
      <c r="G134" s="331">
        <v>10</v>
      </c>
      <c r="H134" s="332" t="s">
        <v>1032</v>
      </c>
      <c r="I134" s="329" t="s">
        <v>1105</v>
      </c>
      <c r="K134" s="329" t="s">
        <v>1107</v>
      </c>
    </row>
    <row r="135" spans="1:11" hidden="1" x14ac:dyDescent="0.2">
      <c r="A135" s="330" t="s">
        <v>895</v>
      </c>
      <c r="B135" s="330" t="s">
        <v>896</v>
      </c>
      <c r="C135" s="330" t="s">
        <v>16</v>
      </c>
      <c r="D135" s="330" t="s">
        <v>17</v>
      </c>
      <c r="E135" s="330" t="s">
        <v>1035</v>
      </c>
      <c r="F135" s="330" t="s">
        <v>17</v>
      </c>
      <c r="G135" s="331">
        <v>10</v>
      </c>
      <c r="H135" s="332" t="s">
        <v>1032</v>
      </c>
      <c r="I135" s="329" t="s">
        <v>1105</v>
      </c>
      <c r="K135" s="329" t="s">
        <v>1107</v>
      </c>
    </row>
    <row r="136" spans="1:11" hidden="1" x14ac:dyDescent="0.2">
      <c r="A136" s="330" t="s">
        <v>175</v>
      </c>
      <c r="B136" s="330" t="s">
        <v>1165</v>
      </c>
      <c r="C136" s="330" t="s">
        <v>16</v>
      </c>
      <c r="D136" s="330" t="s">
        <v>17</v>
      </c>
      <c r="E136" s="330" t="s">
        <v>1035</v>
      </c>
      <c r="F136" s="330" t="s">
        <v>17</v>
      </c>
      <c r="G136" s="331">
        <v>10</v>
      </c>
      <c r="H136" s="332" t="s">
        <v>1028</v>
      </c>
      <c r="I136" s="329" t="s">
        <v>1105</v>
      </c>
      <c r="K136" s="329" t="s">
        <v>1107</v>
      </c>
    </row>
    <row r="137" spans="1:11" hidden="1" x14ac:dyDescent="0.2">
      <c r="A137" s="330" t="s">
        <v>176</v>
      </c>
      <c r="B137" s="330" t="s">
        <v>177</v>
      </c>
      <c r="C137" s="330" t="s">
        <v>16</v>
      </c>
      <c r="D137" s="330" t="s">
        <v>17</v>
      </c>
      <c r="E137" s="330" t="s">
        <v>1035</v>
      </c>
      <c r="F137" s="330" t="s">
        <v>17</v>
      </c>
      <c r="G137" s="331">
        <v>12</v>
      </c>
      <c r="H137" s="332" t="s">
        <v>1035</v>
      </c>
      <c r="I137" s="329" t="s">
        <v>1105</v>
      </c>
      <c r="K137" s="329" t="s">
        <v>1104</v>
      </c>
    </row>
    <row r="138" spans="1:11" hidden="1" x14ac:dyDescent="0.2">
      <c r="A138" s="330" t="s">
        <v>178</v>
      </c>
      <c r="B138" s="330" t="s">
        <v>179</v>
      </c>
      <c r="C138" s="330" t="s">
        <v>16</v>
      </c>
      <c r="D138" s="330" t="s">
        <v>17</v>
      </c>
      <c r="E138" s="330" t="s">
        <v>1035</v>
      </c>
      <c r="F138" s="330" t="s">
        <v>17</v>
      </c>
      <c r="G138" s="331">
        <v>12</v>
      </c>
      <c r="H138" s="332" t="s">
        <v>1035</v>
      </c>
      <c r="I138" s="329" t="s">
        <v>1105</v>
      </c>
      <c r="K138" s="329" t="s">
        <v>1104</v>
      </c>
    </row>
    <row r="139" spans="1:11" hidden="1" x14ac:dyDescent="0.2">
      <c r="A139" s="330" t="s">
        <v>897</v>
      </c>
      <c r="B139" s="330" t="s">
        <v>898</v>
      </c>
      <c r="C139" s="330" t="s">
        <v>16</v>
      </c>
      <c r="D139" s="330" t="s">
        <v>17</v>
      </c>
      <c r="E139" s="330" t="s">
        <v>1035</v>
      </c>
      <c r="F139" s="330" t="s">
        <v>17</v>
      </c>
      <c r="G139" s="331">
        <v>12</v>
      </c>
      <c r="H139" s="332" t="s">
        <v>1035</v>
      </c>
      <c r="I139" s="329" t="s">
        <v>1105</v>
      </c>
      <c r="K139" s="329" t="s">
        <v>1104</v>
      </c>
    </row>
    <row r="140" spans="1:11" hidden="1" x14ac:dyDescent="0.2">
      <c r="A140" s="330" t="s">
        <v>143</v>
      </c>
      <c r="B140" s="330" t="s">
        <v>1166</v>
      </c>
      <c r="C140" s="330" t="s">
        <v>14</v>
      </c>
      <c r="D140" s="330" t="s">
        <v>15</v>
      </c>
      <c r="E140" s="330" t="s">
        <v>1034</v>
      </c>
      <c r="F140" s="330" t="s">
        <v>15</v>
      </c>
      <c r="G140" s="331">
        <v>9</v>
      </c>
      <c r="H140" s="332" t="s">
        <v>1021</v>
      </c>
      <c r="I140" s="329" t="s">
        <v>1105</v>
      </c>
      <c r="K140" s="329" t="s">
        <v>1104</v>
      </c>
    </row>
    <row r="141" spans="1:11" hidden="1" x14ac:dyDescent="0.2">
      <c r="A141" s="330" t="s">
        <v>217</v>
      </c>
      <c r="B141" s="330" t="s">
        <v>1167</v>
      </c>
      <c r="C141" s="330" t="s">
        <v>18</v>
      </c>
      <c r="D141" s="330" t="s">
        <v>690</v>
      </c>
      <c r="E141" s="330" t="s">
        <v>1037</v>
      </c>
      <c r="F141" s="330" t="s">
        <v>673</v>
      </c>
      <c r="G141" s="331">
        <v>10</v>
      </c>
      <c r="H141" s="332" t="s">
        <v>1028</v>
      </c>
      <c r="I141" s="329" t="s">
        <v>1105</v>
      </c>
      <c r="K141" s="329" t="s">
        <v>1104</v>
      </c>
    </row>
    <row r="142" spans="1:11" hidden="1" x14ac:dyDescent="0.2">
      <c r="A142" s="330" t="s">
        <v>180</v>
      </c>
      <c r="B142" s="330" t="s">
        <v>1168</v>
      </c>
      <c r="C142" s="330" t="s">
        <v>16</v>
      </c>
      <c r="D142" s="330" t="s">
        <v>17</v>
      </c>
      <c r="E142" s="330" t="s">
        <v>1035</v>
      </c>
      <c r="F142" s="330" t="s">
        <v>17</v>
      </c>
      <c r="G142" s="331">
        <v>12</v>
      </c>
      <c r="H142" s="332" t="s">
        <v>1035</v>
      </c>
      <c r="I142" s="329" t="s">
        <v>1105</v>
      </c>
      <c r="K142" s="329" t="s">
        <v>1104</v>
      </c>
    </row>
    <row r="143" spans="1:11" hidden="1" x14ac:dyDescent="0.2">
      <c r="A143" s="330" t="s">
        <v>181</v>
      </c>
      <c r="B143" s="330" t="s">
        <v>1169</v>
      </c>
      <c r="C143" s="330" t="s">
        <v>16</v>
      </c>
      <c r="D143" s="330" t="s">
        <v>17</v>
      </c>
      <c r="E143" s="330" t="s">
        <v>1035</v>
      </c>
      <c r="F143" s="330" t="s">
        <v>17</v>
      </c>
      <c r="G143" s="331">
        <v>12</v>
      </c>
      <c r="H143" s="332" t="s">
        <v>1035</v>
      </c>
      <c r="I143" s="329" t="s">
        <v>1105</v>
      </c>
      <c r="K143" s="329" t="s">
        <v>1104</v>
      </c>
    </row>
    <row r="144" spans="1:11" hidden="1" x14ac:dyDescent="0.2">
      <c r="A144" s="330" t="s">
        <v>182</v>
      </c>
      <c r="B144" s="330" t="s">
        <v>1170</v>
      </c>
      <c r="C144" s="330" t="s">
        <v>16</v>
      </c>
      <c r="D144" s="330" t="s">
        <v>17</v>
      </c>
      <c r="E144" s="330" t="s">
        <v>1035</v>
      </c>
      <c r="F144" s="330" t="s">
        <v>17</v>
      </c>
      <c r="G144" s="331">
        <v>33</v>
      </c>
      <c r="H144" s="332" t="s">
        <v>1036</v>
      </c>
      <c r="I144" s="329" t="s">
        <v>1105</v>
      </c>
      <c r="K144" s="329" t="s">
        <v>1104</v>
      </c>
    </row>
    <row r="145" spans="1:11" hidden="1" x14ac:dyDescent="0.2">
      <c r="A145" s="330" t="s">
        <v>183</v>
      </c>
      <c r="B145" s="330" t="s">
        <v>1171</v>
      </c>
      <c r="C145" s="330" t="s">
        <v>16</v>
      </c>
      <c r="D145" s="330" t="s">
        <v>17</v>
      </c>
      <c r="E145" s="330" t="s">
        <v>1035</v>
      </c>
      <c r="F145" s="330" t="s">
        <v>17</v>
      </c>
      <c r="G145" s="331">
        <v>33</v>
      </c>
      <c r="H145" s="332" t="s">
        <v>1036</v>
      </c>
      <c r="I145" s="329" t="s">
        <v>1105</v>
      </c>
      <c r="K145" s="329" t="s">
        <v>1104</v>
      </c>
    </row>
    <row r="146" spans="1:11" hidden="1" x14ac:dyDescent="0.2">
      <c r="A146" s="330" t="s">
        <v>184</v>
      </c>
      <c r="B146" s="330" t="s">
        <v>1172</v>
      </c>
      <c r="C146" s="330" t="s">
        <v>16</v>
      </c>
      <c r="D146" s="330" t="s">
        <v>17</v>
      </c>
      <c r="E146" s="330" t="s">
        <v>1035</v>
      </c>
      <c r="F146" s="330" t="s">
        <v>17</v>
      </c>
      <c r="G146" s="331">
        <v>12</v>
      </c>
      <c r="H146" s="332" t="s">
        <v>1035</v>
      </c>
      <c r="I146" s="329" t="s">
        <v>1105</v>
      </c>
      <c r="K146" s="329" t="s">
        <v>1107</v>
      </c>
    </row>
    <row r="147" spans="1:11" hidden="1" x14ac:dyDescent="0.2">
      <c r="A147" s="330" t="s">
        <v>899</v>
      </c>
      <c r="B147" s="330" t="s">
        <v>900</v>
      </c>
      <c r="C147" s="330" t="s">
        <v>16</v>
      </c>
      <c r="D147" s="330" t="s">
        <v>17</v>
      </c>
      <c r="E147" s="330" t="s">
        <v>1035</v>
      </c>
      <c r="F147" s="330" t="s">
        <v>17</v>
      </c>
      <c r="G147" s="331">
        <v>12</v>
      </c>
      <c r="H147" s="332" t="s">
        <v>1035</v>
      </c>
      <c r="I147" s="329" t="s">
        <v>1105</v>
      </c>
      <c r="K147" s="329" t="s">
        <v>1104</v>
      </c>
    </row>
    <row r="148" spans="1:11" hidden="1" x14ac:dyDescent="0.2">
      <c r="A148" s="330" t="s">
        <v>901</v>
      </c>
      <c r="B148" s="330" t="s">
        <v>902</v>
      </c>
      <c r="C148" s="330" t="s">
        <v>16</v>
      </c>
      <c r="D148" s="330" t="s">
        <v>17</v>
      </c>
      <c r="E148" s="330" t="s">
        <v>1035</v>
      </c>
      <c r="F148" s="330" t="s">
        <v>17</v>
      </c>
      <c r="G148" s="331">
        <v>12</v>
      </c>
      <c r="H148" s="332" t="s">
        <v>1035</v>
      </c>
      <c r="I148" s="329" t="s">
        <v>1105</v>
      </c>
      <c r="K148" s="329" t="s">
        <v>1107</v>
      </c>
    </row>
    <row r="149" spans="1:11" hidden="1" x14ac:dyDescent="0.2">
      <c r="A149" s="330" t="s">
        <v>903</v>
      </c>
      <c r="B149" s="330" t="s">
        <v>904</v>
      </c>
      <c r="C149" s="330" t="s">
        <v>16</v>
      </c>
      <c r="D149" s="330" t="s">
        <v>17</v>
      </c>
      <c r="E149" s="330" t="s">
        <v>1035</v>
      </c>
      <c r="F149" s="330" t="s">
        <v>17</v>
      </c>
      <c r="G149" s="331">
        <v>12</v>
      </c>
      <c r="H149" s="332" t="s">
        <v>1035</v>
      </c>
      <c r="I149" s="329" t="s">
        <v>1105</v>
      </c>
      <c r="K149" s="329" t="s">
        <v>1107</v>
      </c>
    </row>
    <row r="150" spans="1:11" hidden="1" x14ac:dyDescent="0.2">
      <c r="A150" s="330" t="s">
        <v>185</v>
      </c>
      <c r="B150" s="330" t="s">
        <v>1173</v>
      </c>
      <c r="C150" s="330" t="s">
        <v>16</v>
      </c>
      <c r="D150" s="330" t="s">
        <v>17</v>
      </c>
      <c r="E150" s="330" t="s">
        <v>1035</v>
      </c>
      <c r="F150" s="330" t="s">
        <v>17</v>
      </c>
      <c r="G150" s="331">
        <v>12</v>
      </c>
      <c r="H150" s="332" t="s">
        <v>1035</v>
      </c>
      <c r="I150" s="329" t="s">
        <v>1105</v>
      </c>
      <c r="K150" s="329" t="s">
        <v>1104</v>
      </c>
    </row>
    <row r="151" spans="1:11" hidden="1" x14ac:dyDescent="0.2">
      <c r="A151" s="330" t="s">
        <v>905</v>
      </c>
      <c r="B151" s="330" t="s">
        <v>906</v>
      </c>
      <c r="C151" s="330" t="s">
        <v>16</v>
      </c>
      <c r="D151" s="330" t="s">
        <v>17</v>
      </c>
      <c r="E151" s="330" t="s">
        <v>1035</v>
      </c>
      <c r="F151" s="330" t="s">
        <v>17</v>
      </c>
      <c r="G151" s="331">
        <v>12</v>
      </c>
      <c r="H151" s="332" t="s">
        <v>1035</v>
      </c>
      <c r="I151" s="329" t="s">
        <v>1105</v>
      </c>
      <c r="K151" s="329" t="s">
        <v>1104</v>
      </c>
    </row>
    <row r="152" spans="1:11" hidden="1" x14ac:dyDescent="0.2">
      <c r="A152" s="330" t="s">
        <v>186</v>
      </c>
      <c r="B152" s="330" t="s">
        <v>1174</v>
      </c>
      <c r="C152" s="330" t="s">
        <v>16</v>
      </c>
      <c r="D152" s="330" t="s">
        <v>17</v>
      </c>
      <c r="E152" s="330" t="s">
        <v>1035</v>
      </c>
      <c r="F152" s="330" t="s">
        <v>17</v>
      </c>
      <c r="G152" s="331">
        <v>12</v>
      </c>
      <c r="H152" s="332" t="s">
        <v>1035</v>
      </c>
      <c r="I152" s="329" t="s">
        <v>1105</v>
      </c>
      <c r="K152" s="329" t="s">
        <v>1104</v>
      </c>
    </row>
    <row r="153" spans="1:11" hidden="1" x14ac:dyDescent="0.2">
      <c r="A153" s="330" t="s">
        <v>187</v>
      </c>
      <c r="B153" s="330" t="s">
        <v>188</v>
      </c>
      <c r="C153" s="330" t="s">
        <v>16</v>
      </c>
      <c r="D153" s="330" t="s">
        <v>17</v>
      </c>
      <c r="E153" s="330" t="s">
        <v>1035</v>
      </c>
      <c r="F153" s="330" t="s">
        <v>17</v>
      </c>
      <c r="G153" s="331">
        <v>12</v>
      </c>
      <c r="H153" s="332" t="s">
        <v>1035</v>
      </c>
      <c r="I153" s="329" t="s">
        <v>1105</v>
      </c>
      <c r="K153" s="329" t="s">
        <v>1107</v>
      </c>
    </row>
    <row r="154" spans="1:11" hidden="1" x14ac:dyDescent="0.2">
      <c r="A154" s="330" t="s">
        <v>189</v>
      </c>
      <c r="B154" s="330" t="s">
        <v>190</v>
      </c>
      <c r="C154" s="330" t="s">
        <v>16</v>
      </c>
      <c r="D154" s="330" t="s">
        <v>17</v>
      </c>
      <c r="E154" s="330" t="s">
        <v>1035</v>
      </c>
      <c r="F154" s="330" t="s">
        <v>17</v>
      </c>
      <c r="G154" s="331">
        <v>11</v>
      </c>
      <c r="H154" s="332" t="s">
        <v>1034</v>
      </c>
      <c r="I154" s="329" t="s">
        <v>1105</v>
      </c>
      <c r="K154" s="329" t="s">
        <v>1104</v>
      </c>
    </row>
    <row r="155" spans="1:11" hidden="1" x14ac:dyDescent="0.2">
      <c r="A155" s="330" t="s">
        <v>139</v>
      </c>
      <c r="B155" s="330" t="s">
        <v>140</v>
      </c>
      <c r="C155" s="330" t="s">
        <v>12</v>
      </c>
      <c r="D155" s="330" t="s">
        <v>13</v>
      </c>
      <c r="E155" s="330" t="s">
        <v>1028</v>
      </c>
      <c r="F155" s="330" t="s">
        <v>1029</v>
      </c>
      <c r="G155" s="331">
        <v>9</v>
      </c>
      <c r="H155" s="332" t="s">
        <v>1022</v>
      </c>
      <c r="I155" s="329" t="s">
        <v>1105</v>
      </c>
      <c r="K155" s="329" t="s">
        <v>1104</v>
      </c>
    </row>
    <row r="156" spans="1:11" hidden="1" x14ac:dyDescent="0.2">
      <c r="A156" s="330" t="s">
        <v>141</v>
      </c>
      <c r="B156" s="330" t="s">
        <v>142</v>
      </c>
      <c r="C156" s="330" t="s">
        <v>12</v>
      </c>
      <c r="D156" s="330" t="s">
        <v>13</v>
      </c>
      <c r="E156" s="330" t="s">
        <v>1028</v>
      </c>
      <c r="F156" s="330" t="s">
        <v>1029</v>
      </c>
      <c r="G156" s="331">
        <v>9</v>
      </c>
      <c r="H156" s="332" t="s">
        <v>1024</v>
      </c>
      <c r="I156" s="329" t="s">
        <v>1105</v>
      </c>
      <c r="K156" s="329" t="s">
        <v>1104</v>
      </c>
    </row>
    <row r="157" spans="1:11" hidden="1" x14ac:dyDescent="0.2">
      <c r="A157" s="330" t="s">
        <v>191</v>
      </c>
      <c r="B157" s="330" t="s">
        <v>192</v>
      </c>
      <c r="C157" s="330" t="s">
        <v>16</v>
      </c>
      <c r="D157" s="330" t="s">
        <v>17</v>
      </c>
      <c r="E157" s="330" t="s">
        <v>1035</v>
      </c>
      <c r="F157" s="330" t="s">
        <v>17</v>
      </c>
      <c r="G157" s="331">
        <v>33</v>
      </c>
      <c r="H157" s="332" t="s">
        <v>1037</v>
      </c>
      <c r="I157" s="329" t="s">
        <v>1105</v>
      </c>
      <c r="K157" s="329" t="s">
        <v>1104</v>
      </c>
    </row>
    <row r="158" spans="1:11" hidden="1" x14ac:dyDescent="0.2">
      <c r="A158" s="330" t="s">
        <v>193</v>
      </c>
      <c r="B158" s="330" t="s">
        <v>194</v>
      </c>
      <c r="C158" s="330" t="s">
        <v>16</v>
      </c>
      <c r="D158" s="330" t="s">
        <v>17</v>
      </c>
      <c r="E158" s="330" t="s">
        <v>1035</v>
      </c>
      <c r="F158" s="330" t="s">
        <v>17</v>
      </c>
      <c r="G158" s="331">
        <v>12</v>
      </c>
      <c r="H158" s="332" t="s">
        <v>1035</v>
      </c>
      <c r="I158" s="329" t="s">
        <v>1105</v>
      </c>
      <c r="K158" s="329" t="s">
        <v>1104</v>
      </c>
    </row>
    <row r="159" spans="1:11" hidden="1" x14ac:dyDescent="0.2">
      <c r="A159" s="330" t="s">
        <v>195</v>
      </c>
      <c r="B159" s="330" t="s">
        <v>196</v>
      </c>
      <c r="C159" s="330" t="s">
        <v>16</v>
      </c>
      <c r="D159" s="330" t="s">
        <v>17</v>
      </c>
      <c r="E159" s="330" t="s">
        <v>1035</v>
      </c>
      <c r="F159" s="330" t="s">
        <v>17</v>
      </c>
      <c r="G159" s="331">
        <v>12</v>
      </c>
      <c r="H159" s="332" t="s">
        <v>1035</v>
      </c>
      <c r="I159" s="329" t="s">
        <v>1105</v>
      </c>
      <c r="K159" s="329" t="s">
        <v>1104</v>
      </c>
    </row>
    <row r="160" spans="1:11" hidden="1" x14ac:dyDescent="0.2">
      <c r="A160" s="330" t="s">
        <v>197</v>
      </c>
      <c r="B160" s="330" t="s">
        <v>198</v>
      </c>
      <c r="C160" s="330" t="s">
        <v>16</v>
      </c>
      <c r="D160" s="330" t="s">
        <v>17</v>
      </c>
      <c r="E160" s="330" t="s">
        <v>1035</v>
      </c>
      <c r="F160" s="330" t="s">
        <v>17</v>
      </c>
      <c r="G160" s="331">
        <v>12</v>
      </c>
      <c r="H160" s="332" t="s">
        <v>1035</v>
      </c>
      <c r="I160" s="329" t="s">
        <v>1105</v>
      </c>
      <c r="K160" s="329" t="s">
        <v>1104</v>
      </c>
    </row>
    <row r="161" spans="1:11" hidden="1" x14ac:dyDescent="0.2">
      <c r="A161" s="330" t="s">
        <v>199</v>
      </c>
      <c r="B161" s="330" t="s">
        <v>200</v>
      </c>
      <c r="C161" s="330" t="s">
        <v>16</v>
      </c>
      <c r="D161" s="330" t="s">
        <v>17</v>
      </c>
      <c r="E161" s="330" t="s">
        <v>1035</v>
      </c>
      <c r="F161" s="330" t="s">
        <v>17</v>
      </c>
      <c r="G161" s="331">
        <v>12</v>
      </c>
      <c r="H161" s="332" t="s">
        <v>1035</v>
      </c>
      <c r="I161" s="329" t="s">
        <v>1105</v>
      </c>
      <c r="K161" s="329" t="s">
        <v>1104</v>
      </c>
    </row>
    <row r="162" spans="1:11" hidden="1" x14ac:dyDescent="0.2">
      <c r="A162" s="330" t="s">
        <v>201</v>
      </c>
      <c r="B162" s="330" t="s">
        <v>1175</v>
      </c>
      <c r="C162" s="330" t="s">
        <v>16</v>
      </c>
      <c r="D162" s="330" t="s">
        <v>17</v>
      </c>
      <c r="E162" s="330" t="s">
        <v>1035</v>
      </c>
      <c r="F162" s="330" t="s">
        <v>17</v>
      </c>
      <c r="G162" s="331">
        <v>12</v>
      </c>
      <c r="H162" s="332" t="s">
        <v>1035</v>
      </c>
      <c r="I162" s="329" t="s">
        <v>1105</v>
      </c>
      <c r="K162" s="329" t="s">
        <v>1104</v>
      </c>
    </row>
    <row r="163" spans="1:11" hidden="1" x14ac:dyDescent="0.2">
      <c r="A163" s="330" t="s">
        <v>202</v>
      </c>
      <c r="B163" s="330" t="s">
        <v>1176</v>
      </c>
      <c r="C163" s="330" t="s">
        <v>16</v>
      </c>
      <c r="D163" s="330" t="s">
        <v>17</v>
      </c>
      <c r="E163" s="330" t="s">
        <v>1035</v>
      </c>
      <c r="F163" s="330" t="s">
        <v>17</v>
      </c>
      <c r="G163" s="331">
        <v>12</v>
      </c>
      <c r="H163" s="332" t="s">
        <v>1035</v>
      </c>
      <c r="I163" s="329" t="s">
        <v>1105</v>
      </c>
      <c r="K163" s="329" t="s">
        <v>1107</v>
      </c>
    </row>
    <row r="164" spans="1:11" hidden="1" x14ac:dyDescent="0.2">
      <c r="A164" s="330" t="s">
        <v>203</v>
      </c>
      <c r="B164" s="330" t="s">
        <v>204</v>
      </c>
      <c r="C164" s="330" t="s">
        <v>16</v>
      </c>
      <c r="D164" s="330" t="s">
        <v>17</v>
      </c>
      <c r="E164" s="330" t="s">
        <v>1035</v>
      </c>
      <c r="F164" s="330" t="s">
        <v>17</v>
      </c>
      <c r="G164" s="331">
        <v>12</v>
      </c>
      <c r="H164" s="332" t="s">
        <v>1035</v>
      </c>
      <c r="I164" s="329" t="s">
        <v>1105</v>
      </c>
      <c r="K164" s="329" t="s">
        <v>1107</v>
      </c>
    </row>
    <row r="165" spans="1:11" hidden="1" x14ac:dyDescent="0.2">
      <c r="A165" s="330" t="s">
        <v>205</v>
      </c>
      <c r="B165" s="330" t="s">
        <v>206</v>
      </c>
      <c r="C165" s="330" t="s">
        <v>16</v>
      </c>
      <c r="D165" s="330" t="s">
        <v>17</v>
      </c>
      <c r="E165" s="330" t="s">
        <v>1035</v>
      </c>
      <c r="F165" s="330" t="s">
        <v>17</v>
      </c>
      <c r="G165" s="331">
        <v>12</v>
      </c>
      <c r="H165" s="332" t="s">
        <v>1035</v>
      </c>
      <c r="I165" s="329" t="s">
        <v>1105</v>
      </c>
      <c r="K165" s="329" t="s">
        <v>1107</v>
      </c>
    </row>
    <row r="166" spans="1:11" hidden="1" x14ac:dyDescent="0.2">
      <c r="A166" s="330" t="s">
        <v>218</v>
      </c>
      <c r="B166" s="330" t="s">
        <v>219</v>
      </c>
      <c r="C166" s="330" t="s">
        <v>18</v>
      </c>
      <c r="D166" s="330" t="s">
        <v>690</v>
      </c>
      <c r="E166" s="330" t="s">
        <v>1037</v>
      </c>
      <c r="F166" s="330" t="s">
        <v>673</v>
      </c>
      <c r="G166" s="331">
        <v>10</v>
      </c>
      <c r="H166" s="332" t="s">
        <v>1028</v>
      </c>
      <c r="I166" s="329" t="s">
        <v>1105</v>
      </c>
      <c r="K166" s="329" t="s">
        <v>1104</v>
      </c>
    </row>
    <row r="167" spans="1:11" hidden="1" x14ac:dyDescent="0.2">
      <c r="A167" s="330" t="s">
        <v>207</v>
      </c>
      <c r="B167" s="330" t="s">
        <v>1177</v>
      </c>
      <c r="C167" s="330" t="s">
        <v>16</v>
      </c>
      <c r="D167" s="330" t="s">
        <v>17</v>
      </c>
      <c r="E167" s="330" t="s">
        <v>1035</v>
      </c>
      <c r="F167" s="330" t="s">
        <v>17</v>
      </c>
      <c r="G167" s="331">
        <v>12</v>
      </c>
      <c r="H167" s="332" t="s">
        <v>1035</v>
      </c>
      <c r="I167" s="329" t="s">
        <v>1105</v>
      </c>
      <c r="K167" s="329" t="s">
        <v>1104</v>
      </c>
    </row>
    <row r="168" spans="1:11" hidden="1" x14ac:dyDescent="0.2">
      <c r="A168" s="330" t="s">
        <v>208</v>
      </c>
      <c r="B168" s="330" t="s">
        <v>209</v>
      </c>
      <c r="C168" s="330" t="s">
        <v>16</v>
      </c>
      <c r="D168" s="330" t="s">
        <v>17</v>
      </c>
      <c r="E168" s="330" t="s">
        <v>1035</v>
      </c>
      <c r="F168" s="330" t="s">
        <v>17</v>
      </c>
      <c r="G168" s="331">
        <v>12</v>
      </c>
      <c r="H168" s="332" t="s">
        <v>1035</v>
      </c>
      <c r="I168" s="329" t="s">
        <v>1105</v>
      </c>
      <c r="K168" s="329" t="s">
        <v>1107</v>
      </c>
    </row>
    <row r="169" spans="1:11" hidden="1" x14ac:dyDescent="0.2">
      <c r="A169" s="330" t="s">
        <v>210</v>
      </c>
      <c r="B169" s="330" t="s">
        <v>1178</v>
      </c>
      <c r="C169" s="330" t="s">
        <v>16</v>
      </c>
      <c r="D169" s="330" t="s">
        <v>17</v>
      </c>
      <c r="E169" s="330" t="s">
        <v>1035</v>
      </c>
      <c r="F169" s="330" t="s">
        <v>17</v>
      </c>
      <c r="G169" s="331">
        <v>12</v>
      </c>
      <c r="H169" s="332" t="s">
        <v>1035</v>
      </c>
      <c r="I169" s="329" t="s">
        <v>1105</v>
      </c>
      <c r="K169" s="329" t="s">
        <v>1104</v>
      </c>
    </row>
    <row r="170" spans="1:11" hidden="1" x14ac:dyDescent="0.2">
      <c r="A170" s="330" t="s">
        <v>211</v>
      </c>
      <c r="B170" s="330" t="s">
        <v>212</v>
      </c>
      <c r="C170" s="330" t="s">
        <v>16</v>
      </c>
      <c r="D170" s="330" t="s">
        <v>17</v>
      </c>
      <c r="E170" s="330" t="s">
        <v>1035</v>
      </c>
      <c r="F170" s="330" t="s">
        <v>17</v>
      </c>
      <c r="G170" s="331">
        <v>12</v>
      </c>
      <c r="H170" s="332" t="s">
        <v>1035</v>
      </c>
      <c r="I170" s="329" t="s">
        <v>1105</v>
      </c>
      <c r="K170" s="329" t="s">
        <v>1104</v>
      </c>
    </row>
    <row r="171" spans="1:11" hidden="1" x14ac:dyDescent="0.2">
      <c r="A171" s="330" t="s">
        <v>213</v>
      </c>
      <c r="B171" s="330" t="s">
        <v>214</v>
      </c>
      <c r="C171" s="330" t="s">
        <v>16</v>
      </c>
      <c r="D171" s="330" t="s">
        <v>17</v>
      </c>
      <c r="E171" s="330" t="s">
        <v>1035</v>
      </c>
      <c r="F171" s="330" t="s">
        <v>17</v>
      </c>
      <c r="G171" s="331">
        <v>12</v>
      </c>
      <c r="H171" s="332" t="s">
        <v>1035</v>
      </c>
      <c r="I171" s="329" t="s">
        <v>1105</v>
      </c>
      <c r="K171" s="329" t="s">
        <v>1104</v>
      </c>
    </row>
    <row r="172" spans="1:11" hidden="1" x14ac:dyDescent="0.2">
      <c r="A172" s="330" t="s">
        <v>229</v>
      </c>
      <c r="B172" s="330" t="s">
        <v>230</v>
      </c>
      <c r="C172" s="330" t="s">
        <v>25</v>
      </c>
      <c r="D172" s="330" t="s">
        <v>26</v>
      </c>
      <c r="E172" s="330" t="s">
        <v>1049</v>
      </c>
      <c r="F172" s="330" t="s">
        <v>1050</v>
      </c>
      <c r="G172" s="331">
        <v>33</v>
      </c>
      <c r="H172" s="332" t="s">
        <v>1037</v>
      </c>
      <c r="I172" s="329" t="s">
        <v>1105</v>
      </c>
      <c r="K172" s="329" t="s">
        <v>1104</v>
      </c>
    </row>
    <row r="173" spans="1:11" hidden="1" x14ac:dyDescent="0.2">
      <c r="A173" s="330" t="s">
        <v>231</v>
      </c>
      <c r="B173" s="330" t="s">
        <v>232</v>
      </c>
      <c r="C173" s="330" t="s">
        <v>25</v>
      </c>
      <c r="D173" s="330" t="s">
        <v>26</v>
      </c>
      <c r="E173" s="330" t="s">
        <v>1049</v>
      </c>
      <c r="F173" s="330" t="s">
        <v>1050</v>
      </c>
      <c r="G173" s="331">
        <v>12</v>
      </c>
      <c r="H173" s="332" t="s">
        <v>1035</v>
      </c>
      <c r="I173" s="329" t="s">
        <v>1105</v>
      </c>
      <c r="K173" s="329" t="s">
        <v>1104</v>
      </c>
    </row>
    <row r="174" spans="1:11" hidden="1" x14ac:dyDescent="0.2">
      <c r="A174" s="330" t="s">
        <v>233</v>
      </c>
      <c r="B174" s="330" t="s">
        <v>234</v>
      </c>
      <c r="C174" s="330" t="s">
        <v>25</v>
      </c>
      <c r="D174" s="330" t="s">
        <v>26</v>
      </c>
      <c r="E174" s="330" t="s">
        <v>1049</v>
      </c>
      <c r="F174" s="330" t="s">
        <v>1050</v>
      </c>
      <c r="G174" s="331">
        <v>12</v>
      </c>
      <c r="H174" s="332" t="s">
        <v>1035</v>
      </c>
      <c r="I174" s="329" t="s">
        <v>1105</v>
      </c>
      <c r="K174" s="329" t="s">
        <v>1104</v>
      </c>
    </row>
    <row r="175" spans="1:11" hidden="1" x14ac:dyDescent="0.2">
      <c r="A175" s="330" t="s">
        <v>235</v>
      </c>
      <c r="B175" s="330" t="s">
        <v>236</v>
      </c>
      <c r="C175" s="330" t="s">
        <v>25</v>
      </c>
      <c r="D175" s="330" t="s">
        <v>26</v>
      </c>
      <c r="E175" s="330" t="s">
        <v>1049</v>
      </c>
      <c r="F175" s="330" t="s">
        <v>1050</v>
      </c>
      <c r="G175" s="331">
        <v>12</v>
      </c>
      <c r="H175" s="332" t="s">
        <v>1035</v>
      </c>
      <c r="I175" s="329" t="s">
        <v>1105</v>
      </c>
      <c r="K175" s="329" t="s">
        <v>1104</v>
      </c>
    </row>
    <row r="176" spans="1:11" hidden="1" x14ac:dyDescent="0.2">
      <c r="A176" s="330" t="s">
        <v>237</v>
      </c>
      <c r="B176" s="330" t="s">
        <v>238</v>
      </c>
      <c r="C176" s="330" t="s">
        <v>25</v>
      </c>
      <c r="D176" s="330" t="s">
        <v>26</v>
      </c>
      <c r="E176" s="330" t="s">
        <v>1049</v>
      </c>
      <c r="F176" s="330" t="s">
        <v>1050</v>
      </c>
      <c r="G176" s="331">
        <v>12</v>
      </c>
      <c r="H176" s="332" t="s">
        <v>1035</v>
      </c>
      <c r="I176" s="329" t="s">
        <v>1105</v>
      </c>
      <c r="K176" s="329" t="s">
        <v>1104</v>
      </c>
    </row>
    <row r="177" spans="1:11" hidden="1" x14ac:dyDescent="0.2">
      <c r="A177" s="330" t="s">
        <v>239</v>
      </c>
      <c r="B177" s="330" t="s">
        <v>240</v>
      </c>
      <c r="C177" s="330" t="s">
        <v>29</v>
      </c>
      <c r="D177" s="330" t="s">
        <v>30</v>
      </c>
      <c r="E177" s="330" t="s">
        <v>1051</v>
      </c>
      <c r="F177" s="330" t="s">
        <v>1052</v>
      </c>
      <c r="G177" s="331">
        <v>17</v>
      </c>
      <c r="H177" s="332" t="s">
        <v>1049</v>
      </c>
      <c r="I177" s="329" t="s">
        <v>1105</v>
      </c>
      <c r="K177" s="329" t="s">
        <v>1104</v>
      </c>
    </row>
    <row r="178" spans="1:11" hidden="1" x14ac:dyDescent="0.2">
      <c r="A178" s="330" t="s">
        <v>241</v>
      </c>
      <c r="B178" s="330" t="s">
        <v>242</v>
      </c>
      <c r="C178" s="330" t="s">
        <v>25</v>
      </c>
      <c r="D178" s="330" t="s">
        <v>26</v>
      </c>
      <c r="E178" s="330" t="s">
        <v>1049</v>
      </c>
      <c r="F178" s="330" t="s">
        <v>1050</v>
      </c>
      <c r="G178" s="331">
        <v>12</v>
      </c>
      <c r="H178" s="332" t="s">
        <v>1035</v>
      </c>
      <c r="I178" s="329" t="s">
        <v>1105</v>
      </c>
      <c r="K178" s="329" t="s">
        <v>1104</v>
      </c>
    </row>
    <row r="179" spans="1:11" hidden="1" x14ac:dyDescent="0.2">
      <c r="A179" s="330" t="s">
        <v>243</v>
      </c>
      <c r="B179" s="330" t="s">
        <v>244</v>
      </c>
      <c r="C179" s="330" t="s">
        <v>25</v>
      </c>
      <c r="D179" s="330" t="s">
        <v>26</v>
      </c>
      <c r="E179" s="330" t="s">
        <v>1049</v>
      </c>
      <c r="F179" s="330" t="s">
        <v>1050</v>
      </c>
      <c r="G179" s="331">
        <v>17</v>
      </c>
      <c r="H179" s="332" t="s">
        <v>1049</v>
      </c>
      <c r="I179" s="329" t="s">
        <v>1105</v>
      </c>
      <c r="K179" s="329" t="s">
        <v>1104</v>
      </c>
    </row>
    <row r="180" spans="1:11" hidden="1" x14ac:dyDescent="0.2">
      <c r="A180" s="330" t="s">
        <v>245</v>
      </c>
      <c r="B180" s="330" t="s">
        <v>246</v>
      </c>
      <c r="C180" s="330" t="s">
        <v>25</v>
      </c>
      <c r="D180" s="330" t="s">
        <v>26</v>
      </c>
      <c r="E180" s="330" t="s">
        <v>1049</v>
      </c>
      <c r="F180" s="330" t="s">
        <v>1050</v>
      </c>
      <c r="G180" s="331">
        <v>17</v>
      </c>
      <c r="H180" s="332" t="s">
        <v>1049</v>
      </c>
      <c r="I180" s="329" t="s">
        <v>1105</v>
      </c>
      <c r="K180" s="329" t="s">
        <v>1104</v>
      </c>
    </row>
    <row r="181" spans="1:11" hidden="1" x14ac:dyDescent="0.2">
      <c r="A181" s="330" t="s">
        <v>247</v>
      </c>
      <c r="B181" s="330" t="s">
        <v>248</v>
      </c>
      <c r="C181" s="330" t="s">
        <v>25</v>
      </c>
      <c r="D181" s="330" t="s">
        <v>26</v>
      </c>
      <c r="E181" s="330" t="s">
        <v>1049</v>
      </c>
      <c r="F181" s="330" t="s">
        <v>1050</v>
      </c>
      <c r="G181" s="331">
        <v>17</v>
      </c>
      <c r="H181" s="332" t="s">
        <v>1049</v>
      </c>
      <c r="I181" s="329" t="s">
        <v>1105</v>
      </c>
      <c r="K181" s="329" t="s">
        <v>1104</v>
      </c>
    </row>
    <row r="182" spans="1:11" hidden="1" x14ac:dyDescent="0.2">
      <c r="A182" s="330" t="s">
        <v>249</v>
      </c>
      <c r="B182" s="330" t="s">
        <v>250</v>
      </c>
      <c r="C182" s="330" t="s">
        <v>25</v>
      </c>
      <c r="D182" s="330" t="s">
        <v>26</v>
      </c>
      <c r="E182" s="330" t="s">
        <v>1049</v>
      </c>
      <c r="F182" s="330" t="s">
        <v>1050</v>
      </c>
      <c r="G182" s="331">
        <v>17</v>
      </c>
      <c r="H182" s="332" t="s">
        <v>1049</v>
      </c>
      <c r="I182" s="329" t="s">
        <v>1105</v>
      </c>
      <c r="K182" s="329" t="s">
        <v>1104</v>
      </c>
    </row>
    <row r="183" spans="1:11" hidden="1" x14ac:dyDescent="0.2">
      <c r="A183" s="330" t="s">
        <v>251</v>
      </c>
      <c r="B183" s="330" t="s">
        <v>252</v>
      </c>
      <c r="C183" s="330" t="s">
        <v>25</v>
      </c>
      <c r="D183" s="330" t="s">
        <v>26</v>
      </c>
      <c r="E183" s="330" t="s">
        <v>1049</v>
      </c>
      <c r="F183" s="330" t="s">
        <v>1050</v>
      </c>
      <c r="G183" s="331">
        <v>17</v>
      </c>
      <c r="H183" s="332" t="s">
        <v>1049</v>
      </c>
      <c r="I183" s="329" t="s">
        <v>1105</v>
      </c>
      <c r="K183" s="329" t="s">
        <v>1104</v>
      </c>
    </row>
    <row r="184" spans="1:11" hidden="1" x14ac:dyDescent="0.2">
      <c r="A184" s="330" t="s">
        <v>261</v>
      </c>
      <c r="B184" s="330" t="s">
        <v>262</v>
      </c>
      <c r="C184" s="330" t="s">
        <v>27</v>
      </c>
      <c r="D184" s="330" t="s">
        <v>28</v>
      </c>
      <c r="E184" s="330" t="s">
        <v>1053</v>
      </c>
      <c r="F184" s="330" t="s">
        <v>1054</v>
      </c>
      <c r="G184" s="331">
        <v>18</v>
      </c>
      <c r="H184" s="332" t="s">
        <v>1057</v>
      </c>
      <c r="I184" s="329" t="s">
        <v>1105</v>
      </c>
      <c r="K184" s="329" t="s">
        <v>1104</v>
      </c>
    </row>
    <row r="185" spans="1:11" hidden="1" x14ac:dyDescent="0.2">
      <c r="A185" s="330" t="s">
        <v>263</v>
      </c>
      <c r="B185" s="330" t="s">
        <v>264</v>
      </c>
      <c r="C185" s="330" t="s">
        <v>27</v>
      </c>
      <c r="D185" s="330" t="s">
        <v>28</v>
      </c>
      <c r="E185" s="330" t="s">
        <v>1053</v>
      </c>
      <c r="F185" s="330" t="s">
        <v>1054</v>
      </c>
      <c r="G185" s="331">
        <v>17</v>
      </c>
      <c r="H185" s="332" t="s">
        <v>1049</v>
      </c>
      <c r="I185" s="329" t="s">
        <v>1105</v>
      </c>
      <c r="K185" s="329" t="s">
        <v>1104</v>
      </c>
    </row>
    <row r="186" spans="1:11" hidden="1" x14ac:dyDescent="0.2">
      <c r="A186" s="330" t="s">
        <v>265</v>
      </c>
      <c r="B186" s="330" t="s">
        <v>1179</v>
      </c>
      <c r="C186" s="330" t="s">
        <v>27</v>
      </c>
      <c r="D186" s="330" t="s">
        <v>28</v>
      </c>
      <c r="E186" s="330" t="s">
        <v>1055</v>
      </c>
      <c r="F186" s="330" t="s">
        <v>1056</v>
      </c>
      <c r="G186" s="331">
        <v>18</v>
      </c>
      <c r="H186" s="332" t="s">
        <v>1055</v>
      </c>
      <c r="I186" s="329" t="s">
        <v>1105</v>
      </c>
      <c r="K186" s="329" t="s">
        <v>1104</v>
      </c>
    </row>
    <row r="187" spans="1:11" hidden="1" x14ac:dyDescent="0.2">
      <c r="A187" s="330" t="s">
        <v>266</v>
      </c>
      <c r="B187" s="330" t="s">
        <v>267</v>
      </c>
      <c r="C187" s="330" t="s">
        <v>27</v>
      </c>
      <c r="D187" s="330" t="s">
        <v>28</v>
      </c>
      <c r="E187" s="330" t="s">
        <v>1055</v>
      </c>
      <c r="F187" s="330" t="s">
        <v>1056</v>
      </c>
      <c r="G187" s="331">
        <v>18</v>
      </c>
      <c r="H187" s="332" t="s">
        <v>1057</v>
      </c>
      <c r="I187" s="329" t="s">
        <v>1105</v>
      </c>
      <c r="K187" s="329" t="s">
        <v>1104</v>
      </c>
    </row>
    <row r="188" spans="1:11" hidden="1" x14ac:dyDescent="0.2">
      <c r="A188" s="330" t="s">
        <v>268</v>
      </c>
      <c r="B188" s="330" t="s">
        <v>269</v>
      </c>
      <c r="C188" s="330" t="s">
        <v>27</v>
      </c>
      <c r="D188" s="330" t="s">
        <v>28</v>
      </c>
      <c r="E188" s="330" t="s">
        <v>1057</v>
      </c>
      <c r="F188" s="330" t="s">
        <v>1058</v>
      </c>
      <c r="G188" s="331">
        <v>17</v>
      </c>
      <c r="H188" s="332" t="s">
        <v>1049</v>
      </c>
      <c r="I188" s="329" t="s">
        <v>1105</v>
      </c>
      <c r="K188" s="329" t="s">
        <v>1104</v>
      </c>
    </row>
    <row r="189" spans="1:11" hidden="1" x14ac:dyDescent="0.2">
      <c r="A189" s="330" t="s">
        <v>270</v>
      </c>
      <c r="B189" s="330" t="s">
        <v>636</v>
      </c>
      <c r="C189" s="330" t="s">
        <v>27</v>
      </c>
      <c r="D189" s="330" t="s">
        <v>28</v>
      </c>
      <c r="E189" s="330" t="s">
        <v>1057</v>
      </c>
      <c r="F189" s="330" t="s">
        <v>1058</v>
      </c>
      <c r="G189" s="331">
        <v>17</v>
      </c>
      <c r="H189" s="332" t="s">
        <v>1049</v>
      </c>
      <c r="I189" s="329" t="s">
        <v>1105</v>
      </c>
      <c r="K189" s="329" t="s">
        <v>1104</v>
      </c>
    </row>
    <row r="190" spans="1:11" hidden="1" x14ac:dyDescent="0.2">
      <c r="A190" s="330" t="s">
        <v>253</v>
      </c>
      <c r="B190" s="330" t="s">
        <v>1180</v>
      </c>
      <c r="C190" s="330" t="s">
        <v>25</v>
      </c>
      <c r="D190" s="330" t="s">
        <v>26</v>
      </c>
      <c r="E190" s="330" t="s">
        <v>1049</v>
      </c>
      <c r="F190" s="330" t="s">
        <v>1050</v>
      </c>
      <c r="G190" s="331">
        <v>19</v>
      </c>
      <c r="H190" s="332" t="s">
        <v>1051</v>
      </c>
      <c r="I190" s="329" t="s">
        <v>1105</v>
      </c>
      <c r="K190" s="329" t="s">
        <v>1104</v>
      </c>
    </row>
    <row r="191" spans="1:11" hidden="1" x14ac:dyDescent="0.2">
      <c r="A191" s="330" t="s">
        <v>254</v>
      </c>
      <c r="B191" s="330" t="s">
        <v>1181</v>
      </c>
      <c r="C191" s="330" t="s">
        <v>25</v>
      </c>
      <c r="D191" s="330" t="s">
        <v>26</v>
      </c>
      <c r="E191" s="330" t="s">
        <v>1049</v>
      </c>
      <c r="F191" s="330" t="s">
        <v>1050</v>
      </c>
      <c r="G191" s="331">
        <v>17</v>
      </c>
      <c r="H191" s="332" t="s">
        <v>1049</v>
      </c>
      <c r="I191" s="329" t="s">
        <v>1105</v>
      </c>
      <c r="K191" s="329" t="s">
        <v>1104</v>
      </c>
    </row>
    <row r="192" spans="1:11" hidden="1" x14ac:dyDescent="0.2">
      <c r="A192" s="330" t="s">
        <v>255</v>
      </c>
      <c r="B192" s="330" t="s">
        <v>1182</v>
      </c>
      <c r="C192" s="330" t="s">
        <v>25</v>
      </c>
      <c r="D192" s="330" t="s">
        <v>26</v>
      </c>
      <c r="E192" s="330" t="s">
        <v>1049</v>
      </c>
      <c r="F192" s="330" t="s">
        <v>1050</v>
      </c>
      <c r="G192" s="331">
        <v>17</v>
      </c>
      <c r="H192" s="332" t="s">
        <v>1049</v>
      </c>
      <c r="I192" s="329" t="s">
        <v>1105</v>
      </c>
      <c r="K192" s="329" t="s">
        <v>1104</v>
      </c>
    </row>
    <row r="193" spans="1:11" hidden="1" x14ac:dyDescent="0.2">
      <c r="A193" s="330" t="s">
        <v>256</v>
      </c>
      <c r="B193" s="330" t="s">
        <v>1183</v>
      </c>
      <c r="C193" s="330" t="s">
        <v>25</v>
      </c>
      <c r="D193" s="330" t="s">
        <v>26</v>
      </c>
      <c r="E193" s="330" t="s">
        <v>1049</v>
      </c>
      <c r="F193" s="330" t="s">
        <v>1050</v>
      </c>
      <c r="G193" s="331">
        <v>17</v>
      </c>
      <c r="H193" s="332" t="s">
        <v>1049</v>
      </c>
      <c r="I193" s="329" t="s">
        <v>1105</v>
      </c>
      <c r="K193" s="329" t="s">
        <v>1104</v>
      </c>
    </row>
    <row r="194" spans="1:11" hidden="1" x14ac:dyDescent="0.2">
      <c r="A194" s="330" t="s">
        <v>257</v>
      </c>
      <c r="B194" s="330" t="s">
        <v>1184</v>
      </c>
      <c r="C194" s="330" t="s">
        <v>25</v>
      </c>
      <c r="D194" s="330" t="s">
        <v>26</v>
      </c>
      <c r="E194" s="330" t="s">
        <v>1049</v>
      </c>
      <c r="F194" s="330" t="s">
        <v>1050</v>
      </c>
      <c r="G194" s="331">
        <v>17</v>
      </c>
      <c r="H194" s="332" t="s">
        <v>1049</v>
      </c>
      <c r="I194" s="329" t="s">
        <v>1105</v>
      </c>
      <c r="K194" s="329" t="s">
        <v>1104</v>
      </c>
    </row>
    <row r="195" spans="1:11" hidden="1" x14ac:dyDescent="0.2">
      <c r="A195" s="330" t="s">
        <v>258</v>
      </c>
      <c r="B195" s="330" t="s">
        <v>1185</v>
      </c>
      <c r="C195" s="330" t="s">
        <v>25</v>
      </c>
      <c r="D195" s="330" t="s">
        <v>26</v>
      </c>
      <c r="E195" s="330" t="s">
        <v>1049</v>
      </c>
      <c r="F195" s="330" t="s">
        <v>1050</v>
      </c>
      <c r="G195" s="331">
        <v>17</v>
      </c>
      <c r="H195" s="332" t="s">
        <v>1049</v>
      </c>
      <c r="I195" s="329" t="s">
        <v>1105</v>
      </c>
      <c r="K195" s="329" t="s">
        <v>1104</v>
      </c>
    </row>
    <row r="196" spans="1:11" hidden="1" x14ac:dyDescent="0.2">
      <c r="A196" s="330" t="s">
        <v>259</v>
      </c>
      <c r="B196" s="330" t="s">
        <v>1186</v>
      </c>
      <c r="C196" s="330" t="s">
        <v>25</v>
      </c>
      <c r="D196" s="330" t="s">
        <v>26</v>
      </c>
      <c r="E196" s="330" t="s">
        <v>1049</v>
      </c>
      <c r="F196" s="330" t="s">
        <v>1050</v>
      </c>
      <c r="G196" s="331">
        <v>17</v>
      </c>
      <c r="H196" s="332" t="s">
        <v>1049</v>
      </c>
      <c r="I196" s="329" t="s">
        <v>1105</v>
      </c>
      <c r="K196" s="329" t="s">
        <v>1104</v>
      </c>
    </row>
    <row r="197" spans="1:11" hidden="1" x14ac:dyDescent="0.2">
      <c r="A197" s="330" t="s">
        <v>260</v>
      </c>
      <c r="B197" s="330" t="s">
        <v>1187</v>
      </c>
      <c r="C197" s="330" t="s">
        <v>25</v>
      </c>
      <c r="D197" s="330" t="s">
        <v>26</v>
      </c>
      <c r="E197" s="330" t="s">
        <v>1049</v>
      </c>
      <c r="F197" s="330" t="s">
        <v>1050</v>
      </c>
      <c r="G197" s="331">
        <v>18</v>
      </c>
      <c r="H197" s="332" t="s">
        <v>1053</v>
      </c>
      <c r="I197" s="329" t="s">
        <v>1105</v>
      </c>
      <c r="K197" s="329" t="s">
        <v>1104</v>
      </c>
    </row>
    <row r="198" spans="1:11" hidden="1" x14ac:dyDescent="0.2">
      <c r="A198" s="330" t="s">
        <v>907</v>
      </c>
      <c r="B198" s="330" t="s">
        <v>908</v>
      </c>
      <c r="C198" s="330" t="s">
        <v>25</v>
      </c>
      <c r="D198" s="330" t="s">
        <v>26</v>
      </c>
      <c r="E198" s="330" t="s">
        <v>1049</v>
      </c>
      <c r="F198" s="330" t="s">
        <v>1050</v>
      </c>
      <c r="G198" s="331">
        <v>18</v>
      </c>
      <c r="H198" s="332" t="s">
        <v>1053</v>
      </c>
      <c r="I198" s="329" t="s">
        <v>1105</v>
      </c>
      <c r="K198" s="329" t="s">
        <v>1104</v>
      </c>
    </row>
    <row r="199" spans="1:11" hidden="1" x14ac:dyDescent="0.2">
      <c r="A199" s="330" t="s">
        <v>909</v>
      </c>
      <c r="B199" s="330" t="s">
        <v>910</v>
      </c>
      <c r="C199" s="330" t="s">
        <v>25</v>
      </c>
      <c r="D199" s="330" t="s">
        <v>26</v>
      </c>
      <c r="E199" s="330" t="s">
        <v>1049</v>
      </c>
      <c r="F199" s="330" t="s">
        <v>1050</v>
      </c>
      <c r="G199" s="331">
        <v>18</v>
      </c>
      <c r="H199" s="332" t="s">
        <v>1055</v>
      </c>
      <c r="I199" s="329" t="s">
        <v>1105</v>
      </c>
      <c r="K199" s="329" t="s">
        <v>1104</v>
      </c>
    </row>
    <row r="200" spans="1:11" s="336" customFormat="1" hidden="1" x14ac:dyDescent="0.2">
      <c r="A200" s="330" t="s">
        <v>911</v>
      </c>
      <c r="B200" s="330" t="s">
        <v>1232</v>
      </c>
      <c r="C200" s="330" t="s">
        <v>29</v>
      </c>
      <c r="D200" s="330" t="s">
        <v>30</v>
      </c>
      <c r="E200" s="330" t="s">
        <v>1051</v>
      </c>
      <c r="F200" s="330" t="s">
        <v>1052</v>
      </c>
      <c r="G200" s="331">
        <v>17</v>
      </c>
      <c r="H200" s="332" t="s">
        <v>1049</v>
      </c>
      <c r="I200" s="329" t="s">
        <v>1105</v>
      </c>
      <c r="J200" s="329"/>
      <c r="K200" s="329" t="s">
        <v>1104</v>
      </c>
    </row>
    <row r="201" spans="1:11" hidden="1" x14ac:dyDescent="0.2">
      <c r="A201" s="330" t="s">
        <v>285</v>
      </c>
      <c r="B201" s="330" t="s">
        <v>286</v>
      </c>
      <c r="C201" s="330" t="s">
        <v>31</v>
      </c>
      <c r="D201" s="330" t="s">
        <v>32</v>
      </c>
      <c r="E201" s="330" t="s">
        <v>1059</v>
      </c>
      <c r="F201" s="330" t="s">
        <v>1060</v>
      </c>
      <c r="G201" s="331">
        <v>19</v>
      </c>
      <c r="H201" s="332" t="s">
        <v>1051</v>
      </c>
      <c r="I201" s="329" t="s">
        <v>1105</v>
      </c>
      <c r="K201" s="329" t="s">
        <v>1107</v>
      </c>
    </row>
    <row r="202" spans="1:11" hidden="1" x14ac:dyDescent="0.2">
      <c r="A202" s="330" t="s">
        <v>287</v>
      </c>
      <c r="B202" s="330" t="s">
        <v>288</v>
      </c>
      <c r="C202" s="330" t="s">
        <v>31</v>
      </c>
      <c r="D202" s="330" t="s">
        <v>32</v>
      </c>
      <c r="E202" s="330" t="s">
        <v>1059</v>
      </c>
      <c r="F202" s="330" t="s">
        <v>1060</v>
      </c>
      <c r="G202" s="331">
        <v>19</v>
      </c>
      <c r="H202" s="332" t="s">
        <v>1065</v>
      </c>
      <c r="I202" s="329" t="s">
        <v>1105</v>
      </c>
      <c r="K202" s="329" t="s">
        <v>1107</v>
      </c>
    </row>
    <row r="203" spans="1:11" hidden="1" x14ac:dyDescent="0.2">
      <c r="A203" s="330" t="s">
        <v>289</v>
      </c>
      <c r="B203" s="330" t="s">
        <v>290</v>
      </c>
      <c r="C203" s="330" t="s">
        <v>31</v>
      </c>
      <c r="D203" s="330" t="s">
        <v>32</v>
      </c>
      <c r="E203" s="330" t="s">
        <v>1059</v>
      </c>
      <c r="F203" s="330" t="s">
        <v>1060</v>
      </c>
      <c r="G203" s="331">
        <v>19</v>
      </c>
      <c r="H203" s="332" t="s">
        <v>1065</v>
      </c>
      <c r="I203" s="329" t="s">
        <v>1105</v>
      </c>
      <c r="K203" s="329" t="s">
        <v>1107</v>
      </c>
    </row>
    <row r="204" spans="1:11" hidden="1" x14ac:dyDescent="0.2">
      <c r="A204" s="330" t="s">
        <v>291</v>
      </c>
      <c r="B204" s="330" t="s">
        <v>292</v>
      </c>
      <c r="C204" s="330" t="s">
        <v>31</v>
      </c>
      <c r="D204" s="330" t="s">
        <v>32</v>
      </c>
      <c r="E204" s="330" t="s">
        <v>1059</v>
      </c>
      <c r="F204" s="330" t="s">
        <v>1060</v>
      </c>
      <c r="G204" s="331">
        <v>19</v>
      </c>
      <c r="H204" s="332" t="s">
        <v>1065</v>
      </c>
      <c r="I204" s="329" t="s">
        <v>1105</v>
      </c>
      <c r="K204" s="329" t="s">
        <v>1107</v>
      </c>
    </row>
    <row r="205" spans="1:11" hidden="1" x14ac:dyDescent="0.2">
      <c r="A205" s="330" t="s">
        <v>293</v>
      </c>
      <c r="B205" s="330" t="s">
        <v>294</v>
      </c>
      <c r="C205" s="330" t="s">
        <v>31</v>
      </c>
      <c r="D205" s="330" t="s">
        <v>32</v>
      </c>
      <c r="E205" s="330" t="s">
        <v>1059</v>
      </c>
      <c r="F205" s="330" t="s">
        <v>1060</v>
      </c>
      <c r="G205" s="331">
        <v>20</v>
      </c>
      <c r="H205" s="332" t="s">
        <v>1059</v>
      </c>
      <c r="I205" s="329" t="s">
        <v>1105</v>
      </c>
      <c r="K205" s="329" t="s">
        <v>1104</v>
      </c>
    </row>
    <row r="206" spans="1:11" hidden="1" x14ac:dyDescent="0.2">
      <c r="A206" s="330" t="s">
        <v>295</v>
      </c>
      <c r="B206" s="330" t="s">
        <v>1188</v>
      </c>
      <c r="C206" s="330" t="s">
        <v>31</v>
      </c>
      <c r="D206" s="330" t="s">
        <v>32</v>
      </c>
      <c r="E206" s="330" t="s">
        <v>1059</v>
      </c>
      <c r="F206" s="330" t="s">
        <v>1060</v>
      </c>
      <c r="G206" s="331">
        <v>20</v>
      </c>
      <c r="H206" s="332" t="s">
        <v>1059</v>
      </c>
      <c r="I206" s="329" t="s">
        <v>1105</v>
      </c>
      <c r="K206" s="329" t="s">
        <v>1104</v>
      </c>
    </row>
    <row r="207" spans="1:11" hidden="1" x14ac:dyDescent="0.2">
      <c r="A207" s="330" t="s">
        <v>296</v>
      </c>
      <c r="B207" s="330" t="s">
        <v>297</v>
      </c>
      <c r="C207" s="330" t="s">
        <v>31</v>
      </c>
      <c r="D207" s="330" t="s">
        <v>32</v>
      </c>
      <c r="E207" s="330" t="s">
        <v>1059</v>
      </c>
      <c r="F207" s="330" t="s">
        <v>1060</v>
      </c>
      <c r="G207" s="331">
        <v>20</v>
      </c>
      <c r="H207" s="332" t="s">
        <v>1059</v>
      </c>
      <c r="I207" s="329" t="s">
        <v>1105</v>
      </c>
      <c r="K207" s="329" t="s">
        <v>1107</v>
      </c>
    </row>
    <row r="208" spans="1:11" hidden="1" x14ac:dyDescent="0.2">
      <c r="A208" s="330" t="s">
        <v>298</v>
      </c>
      <c r="B208" s="330" t="s">
        <v>299</v>
      </c>
      <c r="C208" s="330" t="s">
        <v>31</v>
      </c>
      <c r="D208" s="330" t="s">
        <v>32</v>
      </c>
      <c r="E208" s="330" t="s">
        <v>1059</v>
      </c>
      <c r="F208" s="330" t="s">
        <v>1060</v>
      </c>
      <c r="G208" s="331">
        <v>20</v>
      </c>
      <c r="H208" s="332" t="s">
        <v>1059</v>
      </c>
      <c r="I208" s="329" t="s">
        <v>1105</v>
      </c>
      <c r="K208" s="329" t="s">
        <v>1104</v>
      </c>
    </row>
    <row r="209" spans="1:11" hidden="1" x14ac:dyDescent="0.2">
      <c r="A209" s="330" t="s">
        <v>274</v>
      </c>
      <c r="B209" s="330" t="s">
        <v>275</v>
      </c>
      <c r="C209" s="330" t="s">
        <v>29</v>
      </c>
      <c r="D209" s="330" t="s">
        <v>30</v>
      </c>
      <c r="E209" s="330" t="s">
        <v>1063</v>
      </c>
      <c r="F209" s="330" t="s">
        <v>1064</v>
      </c>
      <c r="G209" s="331">
        <v>20</v>
      </c>
      <c r="H209" s="332" t="s">
        <v>1059</v>
      </c>
      <c r="I209" s="329" t="s">
        <v>1105</v>
      </c>
      <c r="K209" s="329" t="s">
        <v>1104</v>
      </c>
    </row>
    <row r="210" spans="1:11" hidden="1" x14ac:dyDescent="0.2">
      <c r="A210" s="330" t="s">
        <v>277</v>
      </c>
      <c r="B210" s="330" t="s">
        <v>278</v>
      </c>
      <c r="C210" s="330" t="s">
        <v>29</v>
      </c>
      <c r="D210" s="330" t="s">
        <v>30</v>
      </c>
      <c r="E210" s="330" t="s">
        <v>1063</v>
      </c>
      <c r="F210" s="330" t="s">
        <v>1064</v>
      </c>
      <c r="G210" s="331">
        <v>20</v>
      </c>
      <c r="H210" s="332" t="s">
        <v>1059</v>
      </c>
      <c r="I210" s="329" t="s">
        <v>1105</v>
      </c>
      <c r="K210" s="329" t="s">
        <v>1104</v>
      </c>
    </row>
    <row r="211" spans="1:11" hidden="1" x14ac:dyDescent="0.2">
      <c r="A211" s="330" t="s">
        <v>279</v>
      </c>
      <c r="B211" s="330" t="s">
        <v>1230</v>
      </c>
      <c r="C211" s="330" t="s">
        <v>29</v>
      </c>
      <c r="D211" s="330" t="s">
        <v>30</v>
      </c>
      <c r="E211" s="330" t="s">
        <v>1065</v>
      </c>
      <c r="F211" s="330" t="s">
        <v>1066</v>
      </c>
      <c r="G211" s="331">
        <v>19</v>
      </c>
      <c r="H211" s="332" t="s">
        <v>1063</v>
      </c>
      <c r="I211" s="329" t="s">
        <v>1105</v>
      </c>
      <c r="K211" s="329" t="s">
        <v>1104</v>
      </c>
    </row>
    <row r="212" spans="1:11" hidden="1" x14ac:dyDescent="0.2">
      <c r="A212" s="330" t="s">
        <v>280</v>
      </c>
      <c r="B212" s="330" t="s">
        <v>1231</v>
      </c>
      <c r="C212" s="330" t="s">
        <v>29</v>
      </c>
      <c r="D212" s="330" t="s">
        <v>30</v>
      </c>
      <c r="E212" s="330" t="s">
        <v>1065</v>
      </c>
      <c r="F212" s="330" t="s">
        <v>1066</v>
      </c>
      <c r="G212" s="331">
        <v>19</v>
      </c>
      <c r="H212" s="332" t="s">
        <v>1063</v>
      </c>
      <c r="I212" s="329" t="s">
        <v>1105</v>
      </c>
      <c r="K212" s="329" t="s">
        <v>1104</v>
      </c>
    </row>
    <row r="213" spans="1:11" hidden="1" x14ac:dyDescent="0.2">
      <c r="A213" s="330" t="s">
        <v>281</v>
      </c>
      <c r="B213" s="330" t="s">
        <v>282</v>
      </c>
      <c r="C213" s="330" t="s">
        <v>29</v>
      </c>
      <c r="D213" s="330" t="s">
        <v>30</v>
      </c>
      <c r="E213" s="330" t="s">
        <v>1065</v>
      </c>
      <c r="F213" s="330" t="s">
        <v>1066</v>
      </c>
      <c r="G213" s="331">
        <v>19</v>
      </c>
      <c r="H213" s="332" t="s">
        <v>1065</v>
      </c>
      <c r="I213" s="329" t="s">
        <v>1105</v>
      </c>
      <c r="K213" s="329" t="s">
        <v>1104</v>
      </c>
    </row>
    <row r="214" spans="1:11" hidden="1" x14ac:dyDescent="0.2">
      <c r="A214" s="330" t="s">
        <v>283</v>
      </c>
      <c r="B214" s="330" t="s">
        <v>284</v>
      </c>
      <c r="C214" s="330" t="s">
        <v>29</v>
      </c>
      <c r="D214" s="330" t="s">
        <v>30</v>
      </c>
      <c r="E214" s="330" t="s">
        <v>1065</v>
      </c>
      <c r="F214" s="330" t="s">
        <v>1066</v>
      </c>
      <c r="G214" s="331">
        <v>19</v>
      </c>
      <c r="H214" s="332" t="s">
        <v>1065</v>
      </c>
      <c r="I214" s="329" t="s">
        <v>1105</v>
      </c>
      <c r="K214" s="329" t="s">
        <v>1104</v>
      </c>
    </row>
    <row r="215" spans="1:11" hidden="1" x14ac:dyDescent="0.2">
      <c r="A215" s="330" t="s">
        <v>912</v>
      </c>
      <c r="B215" s="330" t="s">
        <v>1234</v>
      </c>
      <c r="C215" s="330" t="s">
        <v>29</v>
      </c>
      <c r="D215" s="330" t="s">
        <v>30</v>
      </c>
      <c r="E215" s="330" t="s">
        <v>1061</v>
      </c>
      <c r="F215" s="330" t="s">
        <v>1062</v>
      </c>
      <c r="G215" s="331">
        <v>20</v>
      </c>
      <c r="H215" s="332" t="s">
        <v>1059</v>
      </c>
      <c r="I215" s="329" t="s">
        <v>1105</v>
      </c>
      <c r="K215" s="329" t="s">
        <v>1104</v>
      </c>
    </row>
    <row r="216" spans="1:11" hidden="1" x14ac:dyDescent="0.2">
      <c r="A216" s="330" t="s">
        <v>913</v>
      </c>
      <c r="B216" s="330" t="s">
        <v>1233</v>
      </c>
      <c r="C216" s="330" t="s">
        <v>29</v>
      </c>
      <c r="D216" s="330" t="s">
        <v>30</v>
      </c>
      <c r="E216" s="330" t="s">
        <v>1061</v>
      </c>
      <c r="F216" s="330" t="s">
        <v>1062</v>
      </c>
      <c r="G216" s="331">
        <v>20</v>
      </c>
      <c r="H216" s="332" t="s">
        <v>1059</v>
      </c>
      <c r="I216" s="329" t="s">
        <v>1105</v>
      </c>
      <c r="K216" s="329" t="s">
        <v>1104</v>
      </c>
    </row>
    <row r="217" spans="1:11" hidden="1" x14ac:dyDescent="0.2">
      <c r="A217" s="330" t="s">
        <v>914</v>
      </c>
      <c r="B217" s="330" t="s">
        <v>915</v>
      </c>
      <c r="C217" s="330" t="s">
        <v>29</v>
      </c>
      <c r="D217" s="330" t="s">
        <v>30</v>
      </c>
      <c r="E217" s="330" t="s">
        <v>1065</v>
      </c>
      <c r="F217" s="330" t="s">
        <v>1066</v>
      </c>
      <c r="G217" s="331">
        <v>19</v>
      </c>
      <c r="H217" s="332" t="s">
        <v>1065</v>
      </c>
      <c r="I217" s="329" t="s">
        <v>1105</v>
      </c>
      <c r="K217" s="329" t="s">
        <v>1104</v>
      </c>
    </row>
    <row r="218" spans="1:11" hidden="1" x14ac:dyDescent="0.2">
      <c r="A218" s="330" t="s">
        <v>916</v>
      </c>
      <c r="B218" s="330" t="s">
        <v>917</v>
      </c>
      <c r="C218" s="330" t="s">
        <v>29</v>
      </c>
      <c r="D218" s="330" t="s">
        <v>30</v>
      </c>
      <c r="E218" s="330" t="s">
        <v>1065</v>
      </c>
      <c r="F218" s="330" t="s">
        <v>1066</v>
      </c>
      <c r="G218" s="331">
        <v>19</v>
      </c>
      <c r="H218" s="332" t="s">
        <v>1065</v>
      </c>
      <c r="I218" s="329" t="s">
        <v>1105</v>
      </c>
      <c r="K218" s="329" t="s">
        <v>1104</v>
      </c>
    </row>
    <row r="219" spans="1:11" hidden="1" x14ac:dyDescent="0.2">
      <c r="A219" s="330" t="s">
        <v>918</v>
      </c>
      <c r="B219" s="330" t="s">
        <v>919</v>
      </c>
      <c r="C219" s="330" t="s">
        <v>29</v>
      </c>
      <c r="D219" s="330" t="s">
        <v>30</v>
      </c>
      <c r="E219" s="330" t="s">
        <v>1065</v>
      </c>
      <c r="F219" s="330" t="s">
        <v>1066</v>
      </c>
      <c r="G219" s="331">
        <v>19</v>
      </c>
      <c r="H219" s="332" t="s">
        <v>1051</v>
      </c>
      <c r="I219" s="329" t="s">
        <v>1105</v>
      </c>
      <c r="K219" s="329" t="s">
        <v>1107</v>
      </c>
    </row>
    <row r="220" spans="1:11" hidden="1" x14ac:dyDescent="0.2">
      <c r="A220" s="330" t="s">
        <v>300</v>
      </c>
      <c r="B220" s="330" t="s">
        <v>301</v>
      </c>
      <c r="C220" s="330" t="s">
        <v>31</v>
      </c>
      <c r="D220" s="330" t="s">
        <v>32</v>
      </c>
      <c r="E220" s="330" t="s">
        <v>1059</v>
      </c>
      <c r="F220" s="330" t="s">
        <v>1060</v>
      </c>
      <c r="G220" s="331">
        <v>20</v>
      </c>
      <c r="H220" s="332" t="s">
        <v>1059</v>
      </c>
      <c r="I220" s="329" t="s">
        <v>1105</v>
      </c>
      <c r="K220" s="329" t="s">
        <v>1104</v>
      </c>
    </row>
    <row r="221" spans="1:11" hidden="1" x14ac:dyDescent="0.2">
      <c r="A221" s="330" t="s">
        <v>302</v>
      </c>
      <c r="B221" s="330" t="s">
        <v>303</v>
      </c>
      <c r="C221" s="330" t="s">
        <v>31</v>
      </c>
      <c r="D221" s="330" t="s">
        <v>32</v>
      </c>
      <c r="E221" s="330" t="s">
        <v>1059</v>
      </c>
      <c r="F221" s="330" t="s">
        <v>1060</v>
      </c>
      <c r="G221" s="331">
        <v>20</v>
      </c>
      <c r="H221" s="332" t="s">
        <v>1059</v>
      </c>
      <c r="I221" s="329" t="s">
        <v>1105</v>
      </c>
      <c r="K221" s="329" t="s">
        <v>1104</v>
      </c>
    </row>
    <row r="222" spans="1:11" hidden="1" x14ac:dyDescent="0.2">
      <c r="A222" s="330" t="s">
        <v>920</v>
      </c>
      <c r="B222" s="330" t="s">
        <v>921</v>
      </c>
      <c r="C222" s="330" t="s">
        <v>31</v>
      </c>
      <c r="D222" s="330" t="s">
        <v>32</v>
      </c>
      <c r="E222" s="330" t="s">
        <v>1059</v>
      </c>
      <c r="F222" s="330" t="s">
        <v>1060</v>
      </c>
      <c r="G222" s="331">
        <v>20</v>
      </c>
      <c r="H222" s="332" t="s">
        <v>1059</v>
      </c>
      <c r="I222" s="329" t="s">
        <v>1105</v>
      </c>
      <c r="K222" s="329" t="s">
        <v>1104</v>
      </c>
    </row>
    <row r="223" spans="1:11" hidden="1" x14ac:dyDescent="0.2">
      <c r="A223" s="330" t="s">
        <v>304</v>
      </c>
      <c r="B223" s="330" t="s">
        <v>305</v>
      </c>
      <c r="C223" s="330" t="s">
        <v>31</v>
      </c>
      <c r="D223" s="330" t="s">
        <v>32</v>
      </c>
      <c r="E223" s="330" t="s">
        <v>1059</v>
      </c>
      <c r="F223" s="330" t="s">
        <v>1060</v>
      </c>
      <c r="G223" s="331">
        <v>20</v>
      </c>
      <c r="H223" s="332" t="s">
        <v>1059</v>
      </c>
      <c r="I223" s="329" t="s">
        <v>1105</v>
      </c>
      <c r="K223" s="329" t="s">
        <v>1104</v>
      </c>
    </row>
    <row r="224" spans="1:11" hidden="1" x14ac:dyDescent="0.2">
      <c r="A224" s="330" t="s">
        <v>306</v>
      </c>
      <c r="B224" s="330" t="s">
        <v>307</v>
      </c>
      <c r="C224" s="330" t="s">
        <v>31</v>
      </c>
      <c r="D224" s="330" t="s">
        <v>32</v>
      </c>
      <c r="E224" s="330" t="s">
        <v>1059</v>
      </c>
      <c r="F224" s="330" t="s">
        <v>1060</v>
      </c>
      <c r="G224" s="331">
        <v>20</v>
      </c>
      <c r="H224" s="332" t="s">
        <v>1059</v>
      </c>
      <c r="I224" s="329" t="s">
        <v>1105</v>
      </c>
      <c r="K224" s="329" t="s">
        <v>1104</v>
      </c>
    </row>
    <row r="225" spans="1:11" hidden="1" x14ac:dyDescent="0.2">
      <c r="A225" s="330" t="s">
        <v>308</v>
      </c>
      <c r="B225" s="330" t="s">
        <v>1189</v>
      </c>
      <c r="C225" s="330" t="s">
        <v>31</v>
      </c>
      <c r="D225" s="330" t="s">
        <v>32</v>
      </c>
      <c r="E225" s="330" t="s">
        <v>1059</v>
      </c>
      <c r="F225" s="330" t="s">
        <v>1060</v>
      </c>
      <c r="G225" s="331">
        <v>20</v>
      </c>
      <c r="H225" s="332" t="s">
        <v>1059</v>
      </c>
      <c r="I225" s="329" t="s">
        <v>1105</v>
      </c>
      <c r="K225" s="329" t="s">
        <v>1104</v>
      </c>
    </row>
    <row r="226" spans="1:11" hidden="1" x14ac:dyDescent="0.2">
      <c r="A226" s="330" t="s">
        <v>309</v>
      </c>
      <c r="B226" s="330" t="s">
        <v>310</v>
      </c>
      <c r="C226" s="330" t="s">
        <v>31</v>
      </c>
      <c r="D226" s="330" t="s">
        <v>32</v>
      </c>
      <c r="E226" s="330" t="s">
        <v>1059</v>
      </c>
      <c r="F226" s="330" t="s">
        <v>1060</v>
      </c>
      <c r="G226" s="331">
        <v>20</v>
      </c>
      <c r="H226" s="332" t="s">
        <v>1059</v>
      </c>
      <c r="I226" s="329" t="s">
        <v>1105</v>
      </c>
      <c r="K226" s="329" t="s">
        <v>1104</v>
      </c>
    </row>
    <row r="227" spans="1:11" hidden="1" x14ac:dyDescent="0.2">
      <c r="A227" s="330" t="s">
        <v>311</v>
      </c>
      <c r="B227" s="330" t="s">
        <v>312</v>
      </c>
      <c r="C227" s="330" t="s">
        <v>31</v>
      </c>
      <c r="D227" s="330" t="s">
        <v>32</v>
      </c>
      <c r="E227" s="330" t="s">
        <v>1059</v>
      </c>
      <c r="F227" s="330" t="s">
        <v>1060</v>
      </c>
      <c r="G227" s="331">
        <v>20</v>
      </c>
      <c r="H227" s="332" t="s">
        <v>1059</v>
      </c>
      <c r="I227" s="329" t="s">
        <v>1105</v>
      </c>
      <c r="K227" s="329" t="s">
        <v>1107</v>
      </c>
    </row>
    <row r="228" spans="1:11" hidden="1" x14ac:dyDescent="0.2">
      <c r="A228" s="330" t="s">
        <v>313</v>
      </c>
      <c r="B228" s="330" t="s">
        <v>314</v>
      </c>
      <c r="C228" s="330" t="s">
        <v>31</v>
      </c>
      <c r="D228" s="330" t="s">
        <v>32</v>
      </c>
      <c r="E228" s="330" t="s">
        <v>1059</v>
      </c>
      <c r="F228" s="330" t="s">
        <v>1060</v>
      </c>
      <c r="G228" s="331">
        <v>20</v>
      </c>
      <c r="H228" s="332" t="s">
        <v>1059</v>
      </c>
      <c r="I228" s="329" t="s">
        <v>1105</v>
      </c>
      <c r="K228" s="329" t="s">
        <v>1104</v>
      </c>
    </row>
    <row r="229" spans="1:11" hidden="1" x14ac:dyDescent="0.2">
      <c r="A229" s="330" t="s">
        <v>315</v>
      </c>
      <c r="B229" s="330" t="s">
        <v>301</v>
      </c>
      <c r="C229" s="330" t="s">
        <v>31</v>
      </c>
      <c r="D229" s="330" t="s">
        <v>32</v>
      </c>
      <c r="E229" s="330" t="s">
        <v>1059</v>
      </c>
      <c r="F229" s="330" t="s">
        <v>1060</v>
      </c>
      <c r="G229" s="331">
        <v>20</v>
      </c>
      <c r="H229" s="332" t="s">
        <v>1059</v>
      </c>
      <c r="I229" s="329" t="s">
        <v>1105</v>
      </c>
      <c r="K229" s="329" t="s">
        <v>1104</v>
      </c>
    </row>
    <row r="230" spans="1:11" hidden="1" x14ac:dyDescent="0.2">
      <c r="A230" s="330" t="s">
        <v>316</v>
      </c>
      <c r="B230" s="330" t="s">
        <v>317</v>
      </c>
      <c r="C230" s="330" t="s">
        <v>31</v>
      </c>
      <c r="D230" s="330" t="s">
        <v>32</v>
      </c>
      <c r="E230" s="330" t="s">
        <v>1059</v>
      </c>
      <c r="F230" s="330" t="s">
        <v>1060</v>
      </c>
      <c r="G230" s="331">
        <v>20</v>
      </c>
      <c r="H230" s="332" t="s">
        <v>1059</v>
      </c>
      <c r="I230" s="329" t="s">
        <v>1105</v>
      </c>
      <c r="K230" s="329" t="s">
        <v>1104</v>
      </c>
    </row>
    <row r="231" spans="1:11" hidden="1" x14ac:dyDescent="0.2">
      <c r="A231" s="330" t="s">
        <v>922</v>
      </c>
      <c r="B231" s="330" t="s">
        <v>923</v>
      </c>
      <c r="C231" s="330" t="s">
        <v>31</v>
      </c>
      <c r="D231" s="330" t="s">
        <v>32</v>
      </c>
      <c r="E231" s="330" t="s">
        <v>1059</v>
      </c>
      <c r="F231" s="330" t="s">
        <v>1060</v>
      </c>
      <c r="G231" s="331">
        <v>20</v>
      </c>
      <c r="H231" s="332" t="s">
        <v>1059</v>
      </c>
      <c r="I231" s="329" t="s">
        <v>1105</v>
      </c>
      <c r="K231" s="329" t="s">
        <v>1104</v>
      </c>
    </row>
    <row r="232" spans="1:11" hidden="1" x14ac:dyDescent="0.2">
      <c r="A232" s="330" t="s">
        <v>318</v>
      </c>
      <c r="B232" s="330" t="s">
        <v>319</v>
      </c>
      <c r="C232" s="330" t="s">
        <v>31</v>
      </c>
      <c r="D232" s="330" t="s">
        <v>32</v>
      </c>
      <c r="E232" s="330" t="s">
        <v>1059</v>
      </c>
      <c r="F232" s="330" t="s">
        <v>1060</v>
      </c>
      <c r="G232" s="331">
        <v>20</v>
      </c>
      <c r="H232" s="332" t="s">
        <v>1059</v>
      </c>
      <c r="I232" s="329" t="s">
        <v>1105</v>
      </c>
      <c r="K232" s="329" t="s">
        <v>1104</v>
      </c>
    </row>
    <row r="233" spans="1:11" hidden="1" x14ac:dyDescent="0.2">
      <c r="A233" s="330" t="s">
        <v>320</v>
      </c>
      <c r="B233" s="330" t="s">
        <v>321</v>
      </c>
      <c r="C233" s="330" t="s">
        <v>31</v>
      </c>
      <c r="D233" s="330" t="s">
        <v>32</v>
      </c>
      <c r="E233" s="330" t="s">
        <v>1059</v>
      </c>
      <c r="F233" s="330" t="s">
        <v>1060</v>
      </c>
      <c r="G233" s="331">
        <v>21</v>
      </c>
      <c r="H233" s="332" t="s">
        <v>1067</v>
      </c>
      <c r="I233" s="329" t="s">
        <v>1105</v>
      </c>
      <c r="K233" s="329" t="s">
        <v>1104</v>
      </c>
    </row>
    <row r="234" spans="1:11" hidden="1" x14ac:dyDescent="0.2">
      <c r="A234" s="330" t="s">
        <v>322</v>
      </c>
      <c r="B234" s="330" t="s">
        <v>323</v>
      </c>
      <c r="C234" s="330" t="s">
        <v>31</v>
      </c>
      <c r="D234" s="330" t="s">
        <v>32</v>
      </c>
      <c r="E234" s="330" t="s">
        <v>1059</v>
      </c>
      <c r="F234" s="330" t="s">
        <v>1060</v>
      </c>
      <c r="G234" s="331">
        <v>21</v>
      </c>
      <c r="H234" s="332" t="s">
        <v>1067</v>
      </c>
      <c r="I234" s="329" t="s">
        <v>1105</v>
      </c>
      <c r="K234" s="329" t="s">
        <v>1104</v>
      </c>
    </row>
    <row r="235" spans="1:11" hidden="1" x14ac:dyDescent="0.2">
      <c r="A235" s="330" t="s">
        <v>324</v>
      </c>
      <c r="B235" s="330" t="s">
        <v>325</v>
      </c>
      <c r="C235" s="330" t="s">
        <v>31</v>
      </c>
      <c r="D235" s="330" t="s">
        <v>32</v>
      </c>
      <c r="E235" s="330" t="s">
        <v>1059</v>
      </c>
      <c r="F235" s="330" t="s">
        <v>1060</v>
      </c>
      <c r="G235" s="331">
        <v>21</v>
      </c>
      <c r="H235" s="332" t="s">
        <v>1067</v>
      </c>
      <c r="I235" s="329" t="s">
        <v>1105</v>
      </c>
      <c r="K235" s="329" t="s">
        <v>1104</v>
      </c>
    </row>
    <row r="236" spans="1:11" hidden="1" x14ac:dyDescent="0.2">
      <c r="A236" s="330" t="s">
        <v>326</v>
      </c>
      <c r="B236" s="330" t="s">
        <v>327</v>
      </c>
      <c r="C236" s="330" t="s">
        <v>31</v>
      </c>
      <c r="D236" s="330" t="s">
        <v>32</v>
      </c>
      <c r="E236" s="330" t="s">
        <v>1059</v>
      </c>
      <c r="F236" s="330" t="s">
        <v>1060</v>
      </c>
      <c r="G236" s="331">
        <v>23</v>
      </c>
      <c r="H236" s="332" t="s">
        <v>1079</v>
      </c>
      <c r="I236" s="329" t="s">
        <v>1105</v>
      </c>
      <c r="K236" s="329" t="s">
        <v>1107</v>
      </c>
    </row>
    <row r="237" spans="1:11" hidden="1" x14ac:dyDescent="0.2">
      <c r="A237" s="330" t="s">
        <v>328</v>
      </c>
      <c r="B237" s="330" t="s">
        <v>329</v>
      </c>
      <c r="C237" s="330" t="s">
        <v>33</v>
      </c>
      <c r="D237" s="330" t="s">
        <v>34</v>
      </c>
      <c r="E237" s="330" t="s">
        <v>1067</v>
      </c>
      <c r="F237" s="330" t="s">
        <v>1068</v>
      </c>
      <c r="G237" s="331">
        <v>21</v>
      </c>
      <c r="H237" s="332" t="s">
        <v>1073</v>
      </c>
      <c r="I237" s="329" t="s">
        <v>1105</v>
      </c>
      <c r="K237" s="329" t="s">
        <v>1104</v>
      </c>
    </row>
    <row r="238" spans="1:11" hidden="1" x14ac:dyDescent="0.2">
      <c r="A238" s="330" t="s">
        <v>330</v>
      </c>
      <c r="B238" s="330" t="s">
        <v>331</v>
      </c>
      <c r="C238" s="330" t="s">
        <v>33</v>
      </c>
      <c r="D238" s="330" t="s">
        <v>34</v>
      </c>
      <c r="E238" s="330" t="s">
        <v>1067</v>
      </c>
      <c r="F238" s="330" t="s">
        <v>1068</v>
      </c>
      <c r="G238" s="331">
        <v>21</v>
      </c>
      <c r="H238" s="332" t="s">
        <v>1073</v>
      </c>
      <c r="I238" s="329" t="s">
        <v>1105</v>
      </c>
      <c r="K238" s="329" t="s">
        <v>1104</v>
      </c>
    </row>
    <row r="239" spans="1:11" hidden="1" x14ac:dyDescent="0.2">
      <c r="A239" s="330" t="s">
        <v>332</v>
      </c>
      <c r="B239" s="330" t="s">
        <v>333</v>
      </c>
      <c r="C239" s="330" t="s">
        <v>33</v>
      </c>
      <c r="D239" s="330" t="s">
        <v>34</v>
      </c>
      <c r="E239" s="330" t="s">
        <v>1067</v>
      </c>
      <c r="F239" s="330" t="s">
        <v>1068</v>
      </c>
      <c r="G239" s="331">
        <v>21</v>
      </c>
      <c r="H239" s="332" t="s">
        <v>1073</v>
      </c>
      <c r="I239" s="329" t="s">
        <v>1105</v>
      </c>
      <c r="K239" s="329" t="s">
        <v>1104</v>
      </c>
    </row>
    <row r="240" spans="1:11" hidden="1" x14ac:dyDescent="0.2">
      <c r="A240" s="330" t="s">
        <v>924</v>
      </c>
      <c r="B240" s="330" t="s">
        <v>399</v>
      </c>
      <c r="C240" s="330" t="s">
        <v>37</v>
      </c>
      <c r="D240" s="330" t="s">
        <v>38</v>
      </c>
      <c r="E240" s="330" t="s">
        <v>1079</v>
      </c>
      <c r="F240" s="330" t="s">
        <v>1080</v>
      </c>
      <c r="G240" s="331">
        <v>16</v>
      </c>
      <c r="H240" s="332" t="s">
        <v>1047</v>
      </c>
      <c r="I240" s="329" t="s">
        <v>1105</v>
      </c>
      <c r="K240" s="329" t="s">
        <v>1104</v>
      </c>
    </row>
    <row r="241" spans="1:11" hidden="1" x14ac:dyDescent="0.2">
      <c r="A241" s="330" t="s">
        <v>925</v>
      </c>
      <c r="B241" s="330" t="s">
        <v>400</v>
      </c>
      <c r="C241" s="330" t="s">
        <v>37</v>
      </c>
      <c r="D241" s="330" t="s">
        <v>38</v>
      </c>
      <c r="E241" s="330" t="s">
        <v>1079</v>
      </c>
      <c r="F241" s="330" t="s">
        <v>1080</v>
      </c>
      <c r="G241" s="331">
        <v>23</v>
      </c>
      <c r="H241" s="332" t="s">
        <v>1079</v>
      </c>
      <c r="I241" s="329" t="s">
        <v>1105</v>
      </c>
      <c r="K241" s="329" t="s">
        <v>1104</v>
      </c>
    </row>
    <row r="242" spans="1:11" hidden="1" x14ac:dyDescent="0.2">
      <c r="A242" s="330" t="s">
        <v>926</v>
      </c>
      <c r="B242" s="330" t="s">
        <v>401</v>
      </c>
      <c r="C242" s="330" t="s">
        <v>37</v>
      </c>
      <c r="D242" s="330" t="s">
        <v>38</v>
      </c>
      <c r="E242" s="330" t="s">
        <v>1079</v>
      </c>
      <c r="F242" s="330" t="s">
        <v>1080</v>
      </c>
      <c r="G242" s="331">
        <v>23</v>
      </c>
      <c r="H242" s="332" t="s">
        <v>1079</v>
      </c>
      <c r="I242" s="329" t="s">
        <v>1105</v>
      </c>
      <c r="K242" s="329" t="s">
        <v>1104</v>
      </c>
    </row>
    <row r="243" spans="1:11" hidden="1" x14ac:dyDescent="0.2">
      <c r="A243" s="330" t="s">
        <v>927</v>
      </c>
      <c r="B243" s="330" t="s">
        <v>402</v>
      </c>
      <c r="C243" s="330" t="s">
        <v>37</v>
      </c>
      <c r="D243" s="330" t="s">
        <v>38</v>
      </c>
      <c r="E243" s="330" t="s">
        <v>1079</v>
      </c>
      <c r="F243" s="330" t="s">
        <v>1080</v>
      </c>
      <c r="G243" s="331">
        <v>163</v>
      </c>
      <c r="H243" s="332" t="s">
        <v>1045</v>
      </c>
      <c r="I243" s="329" t="s">
        <v>1105</v>
      </c>
      <c r="K243" s="329" t="s">
        <v>1104</v>
      </c>
    </row>
    <row r="244" spans="1:11" hidden="1" x14ac:dyDescent="0.2">
      <c r="A244" s="330" t="s">
        <v>928</v>
      </c>
      <c r="B244" s="330" t="s">
        <v>403</v>
      </c>
      <c r="C244" s="330" t="s">
        <v>37</v>
      </c>
      <c r="D244" s="330" t="s">
        <v>38</v>
      </c>
      <c r="E244" s="330" t="s">
        <v>1079</v>
      </c>
      <c r="F244" s="330" t="s">
        <v>1080</v>
      </c>
      <c r="G244" s="331">
        <v>15</v>
      </c>
      <c r="H244" s="332" t="s">
        <v>1041</v>
      </c>
      <c r="I244" s="329" t="s">
        <v>1105</v>
      </c>
      <c r="K244" s="329" t="s">
        <v>1107</v>
      </c>
    </row>
    <row r="245" spans="1:11" hidden="1" x14ac:dyDescent="0.2">
      <c r="A245" s="330" t="s">
        <v>929</v>
      </c>
      <c r="B245" s="330" t="s">
        <v>404</v>
      </c>
      <c r="C245" s="330" t="s">
        <v>37</v>
      </c>
      <c r="D245" s="330" t="s">
        <v>38</v>
      </c>
      <c r="E245" s="330" t="s">
        <v>1079</v>
      </c>
      <c r="F245" s="330" t="s">
        <v>1080</v>
      </c>
      <c r="G245" s="331">
        <v>23</v>
      </c>
      <c r="H245" s="332" t="s">
        <v>1079</v>
      </c>
      <c r="I245" s="329" t="s">
        <v>1105</v>
      </c>
      <c r="K245" s="329" t="s">
        <v>1104</v>
      </c>
    </row>
    <row r="246" spans="1:11" hidden="1" x14ac:dyDescent="0.2">
      <c r="A246" s="330" t="s">
        <v>930</v>
      </c>
      <c r="B246" s="330" t="s">
        <v>409</v>
      </c>
      <c r="C246" s="330" t="s">
        <v>37</v>
      </c>
      <c r="D246" s="330" t="s">
        <v>38</v>
      </c>
      <c r="E246" s="330" t="s">
        <v>1079</v>
      </c>
      <c r="F246" s="330" t="s">
        <v>1080</v>
      </c>
      <c r="G246" s="331">
        <v>21</v>
      </c>
      <c r="H246" s="332" t="s">
        <v>1067</v>
      </c>
      <c r="I246" s="329" t="s">
        <v>1105</v>
      </c>
      <c r="K246" s="329" t="s">
        <v>1104</v>
      </c>
    </row>
    <row r="247" spans="1:11" hidden="1" x14ac:dyDescent="0.2">
      <c r="A247" s="330" t="s">
        <v>931</v>
      </c>
      <c r="B247" s="330" t="s">
        <v>410</v>
      </c>
      <c r="C247" s="330" t="s">
        <v>37</v>
      </c>
      <c r="D247" s="330" t="s">
        <v>38</v>
      </c>
      <c r="E247" s="330" t="s">
        <v>1079</v>
      </c>
      <c r="F247" s="330" t="s">
        <v>1080</v>
      </c>
      <c r="G247" s="331">
        <v>21</v>
      </c>
      <c r="H247" s="332" t="s">
        <v>1067</v>
      </c>
      <c r="I247" s="329" t="s">
        <v>1105</v>
      </c>
      <c r="K247" s="329" t="s">
        <v>1104</v>
      </c>
    </row>
    <row r="248" spans="1:11" hidden="1" x14ac:dyDescent="0.2">
      <c r="A248" s="330" t="s">
        <v>932</v>
      </c>
      <c r="B248" s="330" t="s">
        <v>411</v>
      </c>
      <c r="C248" s="330" t="s">
        <v>37</v>
      </c>
      <c r="D248" s="330" t="s">
        <v>38</v>
      </c>
      <c r="E248" s="330" t="s">
        <v>1079</v>
      </c>
      <c r="F248" s="330" t="s">
        <v>1080</v>
      </c>
      <c r="G248" s="331">
        <v>21</v>
      </c>
      <c r="H248" s="332" t="s">
        <v>1067</v>
      </c>
      <c r="I248" s="329" t="s">
        <v>1105</v>
      </c>
      <c r="K248" s="329" t="s">
        <v>1104</v>
      </c>
    </row>
    <row r="249" spans="1:11" hidden="1" x14ac:dyDescent="0.2">
      <c r="A249" s="330" t="s">
        <v>334</v>
      </c>
      <c r="B249" s="330" t="s">
        <v>335</v>
      </c>
      <c r="C249" s="330" t="s">
        <v>33</v>
      </c>
      <c r="D249" s="330" t="s">
        <v>34</v>
      </c>
      <c r="E249" s="330" t="s">
        <v>1069</v>
      </c>
      <c r="F249" s="330" t="s">
        <v>1070</v>
      </c>
      <c r="G249" s="331">
        <v>21</v>
      </c>
      <c r="H249" s="332" t="s">
        <v>1069</v>
      </c>
      <c r="I249" s="329" t="s">
        <v>1105</v>
      </c>
      <c r="K249" s="329" t="s">
        <v>1104</v>
      </c>
    </row>
    <row r="250" spans="1:11" hidden="1" x14ac:dyDescent="0.2">
      <c r="A250" s="330" t="s">
        <v>336</v>
      </c>
      <c r="B250" s="330" t="s">
        <v>337</v>
      </c>
      <c r="C250" s="330" t="s">
        <v>33</v>
      </c>
      <c r="D250" s="330" t="s">
        <v>34</v>
      </c>
      <c r="E250" s="330" t="s">
        <v>1069</v>
      </c>
      <c r="F250" s="330" t="s">
        <v>1070</v>
      </c>
      <c r="G250" s="331">
        <v>21</v>
      </c>
      <c r="H250" s="332" t="s">
        <v>1071</v>
      </c>
      <c r="I250" s="329" t="s">
        <v>1105</v>
      </c>
      <c r="K250" s="329" t="s">
        <v>1104</v>
      </c>
    </row>
    <row r="251" spans="1:11" hidden="1" x14ac:dyDescent="0.2">
      <c r="A251" s="330" t="s">
        <v>338</v>
      </c>
      <c r="B251" s="330" t="s">
        <v>339</v>
      </c>
      <c r="C251" s="330" t="s">
        <v>33</v>
      </c>
      <c r="D251" s="330" t="s">
        <v>34</v>
      </c>
      <c r="E251" s="330" t="s">
        <v>1069</v>
      </c>
      <c r="F251" s="330" t="s">
        <v>1070</v>
      </c>
      <c r="G251" s="331">
        <v>21</v>
      </c>
      <c r="H251" s="332" t="s">
        <v>1071</v>
      </c>
      <c r="I251" s="329" t="s">
        <v>1105</v>
      </c>
      <c r="K251" s="329" t="s">
        <v>1104</v>
      </c>
    </row>
    <row r="252" spans="1:11" hidden="1" x14ac:dyDescent="0.2">
      <c r="A252" s="330" t="s">
        <v>340</v>
      </c>
      <c r="B252" s="330" t="s">
        <v>341</v>
      </c>
      <c r="C252" s="330" t="s">
        <v>33</v>
      </c>
      <c r="D252" s="330" t="s">
        <v>34</v>
      </c>
      <c r="E252" s="330" t="s">
        <v>1069</v>
      </c>
      <c r="F252" s="330" t="s">
        <v>1070</v>
      </c>
      <c r="G252" s="331">
        <v>21</v>
      </c>
      <c r="H252" s="332" t="s">
        <v>1071</v>
      </c>
      <c r="I252" s="329" t="s">
        <v>1105</v>
      </c>
      <c r="K252" s="329" t="s">
        <v>1104</v>
      </c>
    </row>
    <row r="253" spans="1:11" hidden="1" x14ac:dyDescent="0.2">
      <c r="A253" s="330" t="s">
        <v>342</v>
      </c>
      <c r="B253" s="330" t="s">
        <v>343</v>
      </c>
      <c r="C253" s="330" t="s">
        <v>33</v>
      </c>
      <c r="D253" s="330" t="s">
        <v>34</v>
      </c>
      <c r="E253" s="330" t="s">
        <v>1069</v>
      </c>
      <c r="F253" s="330" t="s">
        <v>1070</v>
      </c>
      <c r="G253" s="331">
        <v>21</v>
      </c>
      <c r="H253" s="332" t="s">
        <v>1071</v>
      </c>
      <c r="I253" s="329" t="s">
        <v>1105</v>
      </c>
      <c r="K253" s="329" t="s">
        <v>1104</v>
      </c>
    </row>
    <row r="254" spans="1:11" hidden="1" x14ac:dyDescent="0.2">
      <c r="A254" s="330" t="s">
        <v>344</v>
      </c>
      <c r="B254" s="330" t="s">
        <v>345</v>
      </c>
      <c r="C254" s="330" t="s">
        <v>33</v>
      </c>
      <c r="D254" s="330" t="s">
        <v>34</v>
      </c>
      <c r="E254" s="330" t="s">
        <v>1069</v>
      </c>
      <c r="F254" s="330" t="s">
        <v>1070</v>
      </c>
      <c r="G254" s="331">
        <v>21</v>
      </c>
      <c r="H254" s="332" t="s">
        <v>1071</v>
      </c>
      <c r="I254" s="329" t="s">
        <v>1105</v>
      </c>
      <c r="K254" s="329" t="s">
        <v>1104</v>
      </c>
    </row>
    <row r="255" spans="1:11" hidden="1" x14ac:dyDescent="0.2">
      <c r="A255" s="330" t="s">
        <v>346</v>
      </c>
      <c r="B255" s="330" t="s">
        <v>347</v>
      </c>
      <c r="C255" s="330" t="s">
        <v>33</v>
      </c>
      <c r="D255" s="330" t="s">
        <v>34</v>
      </c>
      <c r="E255" s="330" t="s">
        <v>1069</v>
      </c>
      <c r="F255" s="330" t="s">
        <v>1070</v>
      </c>
      <c r="G255" s="331">
        <v>23</v>
      </c>
      <c r="H255" s="332" t="s">
        <v>1079</v>
      </c>
      <c r="I255" s="329" t="s">
        <v>1105</v>
      </c>
      <c r="K255" s="329" t="s">
        <v>1107</v>
      </c>
    </row>
    <row r="256" spans="1:11" hidden="1" x14ac:dyDescent="0.2">
      <c r="A256" s="330" t="s">
        <v>348</v>
      </c>
      <c r="B256" s="330" t="s">
        <v>349</v>
      </c>
      <c r="C256" s="330" t="s">
        <v>33</v>
      </c>
      <c r="D256" s="330" t="s">
        <v>34</v>
      </c>
      <c r="E256" s="330" t="s">
        <v>1069</v>
      </c>
      <c r="F256" s="330" t="s">
        <v>1070</v>
      </c>
      <c r="G256" s="331">
        <v>21</v>
      </c>
      <c r="H256" s="332" t="s">
        <v>1073</v>
      </c>
      <c r="I256" s="329" t="s">
        <v>1105</v>
      </c>
      <c r="K256" s="329" t="s">
        <v>1104</v>
      </c>
    </row>
    <row r="257" spans="1:11" hidden="1" x14ac:dyDescent="0.2">
      <c r="A257" s="330" t="s">
        <v>350</v>
      </c>
      <c r="B257" s="330" t="s">
        <v>351</v>
      </c>
      <c r="C257" s="330" t="s">
        <v>33</v>
      </c>
      <c r="D257" s="330" t="s">
        <v>34</v>
      </c>
      <c r="E257" s="330" t="s">
        <v>1071</v>
      </c>
      <c r="F257" s="330" t="s">
        <v>1072</v>
      </c>
      <c r="G257" s="331">
        <v>23</v>
      </c>
      <c r="H257" s="332" t="s">
        <v>1079</v>
      </c>
      <c r="I257" s="329" t="s">
        <v>1105</v>
      </c>
      <c r="K257" s="329" t="s">
        <v>1107</v>
      </c>
    </row>
    <row r="258" spans="1:11" hidden="1" x14ac:dyDescent="0.2">
      <c r="A258" s="330" t="s">
        <v>352</v>
      </c>
      <c r="B258" s="330" t="s">
        <v>353</v>
      </c>
      <c r="C258" s="330" t="s">
        <v>33</v>
      </c>
      <c r="D258" s="330" t="s">
        <v>34</v>
      </c>
      <c r="E258" s="330" t="s">
        <v>1071</v>
      </c>
      <c r="F258" s="330" t="s">
        <v>1072</v>
      </c>
      <c r="G258" s="331">
        <v>23</v>
      </c>
      <c r="H258" s="332" t="s">
        <v>1079</v>
      </c>
      <c r="I258" s="329" t="s">
        <v>1105</v>
      </c>
      <c r="K258" s="329" t="s">
        <v>1107</v>
      </c>
    </row>
    <row r="259" spans="1:11" hidden="1" x14ac:dyDescent="0.2">
      <c r="A259" s="330" t="s">
        <v>354</v>
      </c>
      <c r="B259" s="330" t="s">
        <v>1190</v>
      </c>
      <c r="C259" s="330" t="s">
        <v>33</v>
      </c>
      <c r="D259" s="330" t="s">
        <v>34</v>
      </c>
      <c r="E259" s="330" t="s">
        <v>1071</v>
      </c>
      <c r="F259" s="330" t="s">
        <v>1072</v>
      </c>
      <c r="G259" s="331">
        <v>23</v>
      </c>
      <c r="H259" s="332" t="s">
        <v>1079</v>
      </c>
      <c r="I259" s="329" t="s">
        <v>1105</v>
      </c>
      <c r="K259" s="329" t="s">
        <v>1107</v>
      </c>
    </row>
    <row r="260" spans="1:11" hidden="1" x14ac:dyDescent="0.2">
      <c r="A260" s="330" t="s">
        <v>355</v>
      </c>
      <c r="B260" s="330" t="s">
        <v>356</v>
      </c>
      <c r="C260" s="330" t="s">
        <v>33</v>
      </c>
      <c r="D260" s="330" t="s">
        <v>34</v>
      </c>
      <c r="E260" s="330" t="s">
        <v>1071</v>
      </c>
      <c r="F260" s="330" t="s">
        <v>1072</v>
      </c>
      <c r="G260" s="331">
        <v>23</v>
      </c>
      <c r="H260" s="332" t="s">
        <v>1079</v>
      </c>
      <c r="I260" s="329" t="s">
        <v>1105</v>
      </c>
      <c r="K260" s="329" t="s">
        <v>1107</v>
      </c>
    </row>
    <row r="261" spans="1:11" hidden="1" x14ac:dyDescent="0.2">
      <c r="A261" s="330" t="s">
        <v>357</v>
      </c>
      <c r="B261" s="330" t="s">
        <v>358</v>
      </c>
      <c r="C261" s="330" t="s">
        <v>33</v>
      </c>
      <c r="D261" s="330" t="s">
        <v>34</v>
      </c>
      <c r="E261" s="330" t="s">
        <v>1071</v>
      </c>
      <c r="F261" s="330" t="s">
        <v>1072</v>
      </c>
      <c r="G261" s="331">
        <v>23</v>
      </c>
      <c r="H261" s="332" t="s">
        <v>1079</v>
      </c>
      <c r="I261" s="329" t="s">
        <v>1105</v>
      </c>
      <c r="K261" s="329" t="s">
        <v>1107</v>
      </c>
    </row>
    <row r="262" spans="1:11" hidden="1" x14ac:dyDescent="0.2">
      <c r="A262" s="330" t="s">
        <v>933</v>
      </c>
      <c r="B262" s="330" t="s">
        <v>934</v>
      </c>
      <c r="C262" s="330" t="s">
        <v>37</v>
      </c>
      <c r="D262" s="330" t="s">
        <v>38</v>
      </c>
      <c r="E262" s="330" t="s">
        <v>1079</v>
      </c>
      <c r="F262" s="330" t="s">
        <v>1080</v>
      </c>
      <c r="G262" s="331">
        <v>21</v>
      </c>
      <c r="H262" s="332" t="s">
        <v>1067</v>
      </c>
      <c r="I262" s="329" t="s">
        <v>1105</v>
      </c>
      <c r="K262" s="329" t="s">
        <v>1107</v>
      </c>
    </row>
    <row r="263" spans="1:11" hidden="1" x14ac:dyDescent="0.2">
      <c r="A263" s="330" t="s">
        <v>359</v>
      </c>
      <c r="B263" s="330" t="s">
        <v>360</v>
      </c>
      <c r="C263" s="330" t="s">
        <v>33</v>
      </c>
      <c r="D263" s="330" t="s">
        <v>34</v>
      </c>
      <c r="E263" s="330" t="s">
        <v>1073</v>
      </c>
      <c r="F263" s="330" t="s">
        <v>1074</v>
      </c>
      <c r="G263" s="331">
        <v>21</v>
      </c>
      <c r="H263" s="332" t="s">
        <v>1069</v>
      </c>
      <c r="I263" s="329" t="s">
        <v>1105</v>
      </c>
      <c r="K263" s="329" t="s">
        <v>1104</v>
      </c>
    </row>
    <row r="264" spans="1:11" hidden="1" x14ac:dyDescent="0.2">
      <c r="A264" s="330" t="s">
        <v>361</v>
      </c>
      <c r="B264" s="330" t="s">
        <v>362</v>
      </c>
      <c r="C264" s="330" t="s">
        <v>33</v>
      </c>
      <c r="D264" s="330" t="s">
        <v>34</v>
      </c>
      <c r="E264" s="330" t="s">
        <v>1073</v>
      </c>
      <c r="F264" s="330" t="s">
        <v>1074</v>
      </c>
      <c r="G264" s="331">
        <v>21</v>
      </c>
      <c r="H264" s="332" t="s">
        <v>1069</v>
      </c>
      <c r="I264" s="329" t="s">
        <v>1105</v>
      </c>
      <c r="K264" s="329" t="s">
        <v>1104</v>
      </c>
    </row>
    <row r="265" spans="1:11" hidden="1" x14ac:dyDescent="0.2">
      <c r="A265" s="330" t="s">
        <v>363</v>
      </c>
      <c r="B265" s="330" t="s">
        <v>364</v>
      </c>
      <c r="C265" s="330" t="s">
        <v>33</v>
      </c>
      <c r="D265" s="330" t="s">
        <v>34</v>
      </c>
      <c r="E265" s="330" t="s">
        <v>1073</v>
      </c>
      <c r="F265" s="330" t="s">
        <v>1074</v>
      </c>
      <c r="G265" s="331">
        <v>21</v>
      </c>
      <c r="H265" s="332" t="s">
        <v>1069</v>
      </c>
      <c r="I265" s="329" t="s">
        <v>1105</v>
      </c>
      <c r="K265" s="329" t="s">
        <v>1104</v>
      </c>
    </row>
    <row r="266" spans="1:11" hidden="1" x14ac:dyDescent="0.2">
      <c r="A266" s="330" t="s">
        <v>365</v>
      </c>
      <c r="B266" s="330" t="s">
        <v>366</v>
      </c>
      <c r="C266" s="330" t="s">
        <v>33</v>
      </c>
      <c r="D266" s="330" t="s">
        <v>34</v>
      </c>
      <c r="E266" s="330" t="s">
        <v>1073</v>
      </c>
      <c r="F266" s="330" t="s">
        <v>1074</v>
      </c>
      <c r="G266" s="331">
        <v>21</v>
      </c>
      <c r="H266" s="332" t="s">
        <v>1069</v>
      </c>
      <c r="I266" s="329" t="s">
        <v>1105</v>
      </c>
      <c r="K266" s="329" t="s">
        <v>1104</v>
      </c>
    </row>
    <row r="267" spans="1:11" hidden="1" x14ac:dyDescent="0.2">
      <c r="A267" s="330" t="s">
        <v>367</v>
      </c>
      <c r="B267" s="330" t="s">
        <v>368</v>
      </c>
      <c r="C267" s="330" t="s">
        <v>33</v>
      </c>
      <c r="D267" s="330" t="s">
        <v>34</v>
      </c>
      <c r="E267" s="330" t="s">
        <v>1073</v>
      </c>
      <c r="F267" s="330" t="s">
        <v>1074</v>
      </c>
      <c r="G267" s="331">
        <v>21</v>
      </c>
      <c r="H267" s="332" t="s">
        <v>1069</v>
      </c>
      <c r="I267" s="329" t="s">
        <v>1105</v>
      </c>
      <c r="K267" s="329" t="s">
        <v>1104</v>
      </c>
    </row>
    <row r="268" spans="1:11" hidden="1" x14ac:dyDescent="0.2">
      <c r="A268" s="330" t="s">
        <v>369</v>
      </c>
      <c r="B268" s="330" t="s">
        <v>370</v>
      </c>
      <c r="C268" s="330" t="s">
        <v>33</v>
      </c>
      <c r="D268" s="330" t="s">
        <v>34</v>
      </c>
      <c r="E268" s="330" t="s">
        <v>1073</v>
      </c>
      <c r="F268" s="330" t="s">
        <v>1074</v>
      </c>
      <c r="G268" s="331">
        <v>21</v>
      </c>
      <c r="H268" s="332" t="s">
        <v>1069</v>
      </c>
      <c r="I268" s="329" t="s">
        <v>1105</v>
      </c>
      <c r="K268" s="329" t="s">
        <v>1104</v>
      </c>
    </row>
    <row r="269" spans="1:11" hidden="1" x14ac:dyDescent="0.2">
      <c r="A269" s="330" t="s">
        <v>371</v>
      </c>
      <c r="B269" s="330" t="s">
        <v>1191</v>
      </c>
      <c r="C269" s="330" t="s">
        <v>33</v>
      </c>
      <c r="D269" s="330" t="s">
        <v>34</v>
      </c>
      <c r="E269" s="330" t="s">
        <v>1075</v>
      </c>
      <c r="F269" s="330" t="s">
        <v>1076</v>
      </c>
      <c r="G269" s="331">
        <v>23</v>
      </c>
      <c r="H269" s="332" t="s">
        <v>1079</v>
      </c>
      <c r="I269" s="329" t="s">
        <v>1105</v>
      </c>
      <c r="K269" s="329" t="s">
        <v>1107</v>
      </c>
    </row>
    <row r="270" spans="1:11" hidden="1" x14ac:dyDescent="0.2">
      <c r="A270" s="330" t="s">
        <v>373</v>
      </c>
      <c r="B270" s="330" t="s">
        <v>1192</v>
      </c>
      <c r="C270" s="330" t="s">
        <v>33</v>
      </c>
      <c r="D270" s="330" t="s">
        <v>34</v>
      </c>
      <c r="E270" s="330" t="s">
        <v>1073</v>
      </c>
      <c r="F270" s="330" t="s">
        <v>1074</v>
      </c>
      <c r="G270" s="331">
        <v>21</v>
      </c>
      <c r="H270" s="332" t="s">
        <v>1069</v>
      </c>
      <c r="I270" s="329" t="s">
        <v>1105</v>
      </c>
      <c r="K270" s="329" t="s">
        <v>1104</v>
      </c>
    </row>
    <row r="271" spans="1:11" hidden="1" x14ac:dyDescent="0.2">
      <c r="A271" s="330" t="s">
        <v>374</v>
      </c>
      <c r="B271" s="330" t="s">
        <v>375</v>
      </c>
      <c r="C271" s="330" t="s">
        <v>33</v>
      </c>
      <c r="D271" s="330" t="s">
        <v>34</v>
      </c>
      <c r="E271" s="330" t="s">
        <v>1075</v>
      </c>
      <c r="F271" s="330" t="s">
        <v>1076</v>
      </c>
      <c r="G271" s="331">
        <v>23</v>
      </c>
      <c r="H271" s="332" t="s">
        <v>1079</v>
      </c>
      <c r="I271" s="329" t="s">
        <v>1105</v>
      </c>
      <c r="K271" s="329" t="s">
        <v>1107</v>
      </c>
    </row>
    <row r="272" spans="1:11" hidden="1" x14ac:dyDescent="0.2">
      <c r="A272" s="330" t="s">
        <v>376</v>
      </c>
      <c r="B272" s="330" t="s">
        <v>377</v>
      </c>
      <c r="C272" s="330" t="s">
        <v>33</v>
      </c>
      <c r="D272" s="330" t="s">
        <v>34</v>
      </c>
      <c r="E272" s="330" t="s">
        <v>1075</v>
      </c>
      <c r="F272" s="330" t="s">
        <v>1076</v>
      </c>
      <c r="G272" s="331">
        <v>23</v>
      </c>
      <c r="H272" s="332" t="s">
        <v>1079</v>
      </c>
      <c r="I272" s="329" t="s">
        <v>1105</v>
      </c>
      <c r="K272" s="329" t="s">
        <v>1107</v>
      </c>
    </row>
    <row r="273" spans="1:11" hidden="1" x14ac:dyDescent="0.2">
      <c r="A273" s="330" t="s">
        <v>378</v>
      </c>
      <c r="B273" s="330" t="s">
        <v>379</v>
      </c>
      <c r="C273" s="330" t="s">
        <v>33</v>
      </c>
      <c r="D273" s="330" t="s">
        <v>34</v>
      </c>
      <c r="E273" s="330" t="s">
        <v>1067</v>
      </c>
      <c r="F273" s="330" t="s">
        <v>1068</v>
      </c>
      <c r="G273" s="331">
        <v>21</v>
      </c>
      <c r="H273" s="332" t="s">
        <v>1073</v>
      </c>
      <c r="I273" s="329" t="s">
        <v>1105</v>
      </c>
      <c r="K273" s="329" t="s">
        <v>1104</v>
      </c>
    </row>
    <row r="274" spans="1:11" hidden="1" x14ac:dyDescent="0.2">
      <c r="A274" s="330" t="s">
        <v>380</v>
      </c>
      <c r="B274" s="330" t="s">
        <v>381</v>
      </c>
      <c r="C274" s="330" t="s">
        <v>33</v>
      </c>
      <c r="D274" s="330" t="s">
        <v>34</v>
      </c>
      <c r="E274" s="330" t="s">
        <v>1067</v>
      </c>
      <c r="F274" s="330" t="s">
        <v>1068</v>
      </c>
      <c r="G274" s="331">
        <v>21</v>
      </c>
      <c r="H274" s="332" t="s">
        <v>1073</v>
      </c>
      <c r="I274" s="329" t="s">
        <v>1105</v>
      </c>
      <c r="K274" s="329" t="s">
        <v>1104</v>
      </c>
    </row>
    <row r="275" spans="1:11" hidden="1" x14ac:dyDescent="0.2">
      <c r="A275" s="330" t="s">
        <v>390</v>
      </c>
      <c r="B275" s="330" t="s">
        <v>391</v>
      </c>
      <c r="C275" s="330" t="s">
        <v>35</v>
      </c>
      <c r="D275" s="330" t="s">
        <v>36</v>
      </c>
      <c r="E275" s="330" t="s">
        <v>1077</v>
      </c>
      <c r="F275" s="330" t="s">
        <v>1078</v>
      </c>
      <c r="G275" s="331">
        <v>21</v>
      </c>
      <c r="H275" s="332" t="s">
        <v>1067</v>
      </c>
      <c r="I275" s="329" t="s">
        <v>1105</v>
      </c>
      <c r="K275" s="329" t="s">
        <v>1104</v>
      </c>
    </row>
    <row r="276" spans="1:11" hidden="1" x14ac:dyDescent="0.2">
      <c r="A276" s="330" t="s">
        <v>392</v>
      </c>
      <c r="B276" s="330" t="s">
        <v>1193</v>
      </c>
      <c r="C276" s="330" t="s">
        <v>35</v>
      </c>
      <c r="D276" s="330" t="s">
        <v>36</v>
      </c>
      <c r="E276" s="330" t="s">
        <v>1077</v>
      </c>
      <c r="F276" s="330" t="s">
        <v>1078</v>
      </c>
      <c r="G276" s="331">
        <v>21</v>
      </c>
      <c r="H276" s="332" t="s">
        <v>1067</v>
      </c>
      <c r="I276" s="329" t="s">
        <v>1105</v>
      </c>
      <c r="K276" s="329" t="s">
        <v>1104</v>
      </c>
    </row>
    <row r="277" spans="1:11" hidden="1" x14ac:dyDescent="0.2">
      <c r="A277" s="330" t="s">
        <v>393</v>
      </c>
      <c r="B277" s="330" t="s">
        <v>394</v>
      </c>
      <c r="C277" s="330" t="s">
        <v>35</v>
      </c>
      <c r="D277" s="330" t="s">
        <v>36</v>
      </c>
      <c r="E277" s="330" t="s">
        <v>1077</v>
      </c>
      <c r="F277" s="330" t="s">
        <v>1078</v>
      </c>
      <c r="G277" s="331">
        <v>14</v>
      </c>
      <c r="H277" s="332" t="s">
        <v>1039</v>
      </c>
      <c r="I277" s="329" t="s">
        <v>1105</v>
      </c>
      <c r="K277" s="329" t="s">
        <v>1104</v>
      </c>
    </row>
    <row r="278" spans="1:11" hidden="1" x14ac:dyDescent="0.2">
      <c r="A278" s="330" t="s">
        <v>395</v>
      </c>
      <c r="B278" s="330" t="s">
        <v>396</v>
      </c>
      <c r="C278" s="330" t="s">
        <v>35</v>
      </c>
      <c r="D278" s="330" t="s">
        <v>36</v>
      </c>
      <c r="E278" s="330" t="s">
        <v>1077</v>
      </c>
      <c r="F278" s="330" t="s">
        <v>1078</v>
      </c>
      <c r="G278" s="331">
        <v>15</v>
      </c>
      <c r="H278" s="332" t="s">
        <v>1041</v>
      </c>
      <c r="I278" s="329" t="s">
        <v>1105</v>
      </c>
      <c r="K278" s="329" t="s">
        <v>1104</v>
      </c>
    </row>
    <row r="279" spans="1:11" hidden="1" x14ac:dyDescent="0.2">
      <c r="A279" s="330" t="s">
        <v>397</v>
      </c>
      <c r="B279" s="330" t="s">
        <v>398</v>
      </c>
      <c r="C279" s="330" t="s">
        <v>35</v>
      </c>
      <c r="D279" s="330" t="s">
        <v>36</v>
      </c>
      <c r="E279" s="330" t="s">
        <v>1077</v>
      </c>
      <c r="F279" s="330" t="s">
        <v>1078</v>
      </c>
      <c r="G279" s="331">
        <v>15</v>
      </c>
      <c r="H279" s="332" t="s">
        <v>1043</v>
      </c>
      <c r="I279" s="329" t="s">
        <v>1105</v>
      </c>
      <c r="K279" s="329" t="s">
        <v>1104</v>
      </c>
    </row>
    <row r="280" spans="1:11" hidden="1" x14ac:dyDescent="0.2">
      <c r="A280" s="330" t="s">
        <v>382</v>
      </c>
      <c r="B280" s="330" t="s">
        <v>383</v>
      </c>
      <c r="C280" s="330" t="s">
        <v>33</v>
      </c>
      <c r="D280" s="330" t="s">
        <v>34</v>
      </c>
      <c r="E280" s="330" t="s">
        <v>1067</v>
      </c>
      <c r="F280" s="330" t="s">
        <v>1068</v>
      </c>
      <c r="G280" s="331">
        <v>21</v>
      </c>
      <c r="H280" s="332" t="s">
        <v>1075</v>
      </c>
      <c r="I280" s="329" t="s">
        <v>1105</v>
      </c>
      <c r="K280" s="329" t="s">
        <v>1104</v>
      </c>
    </row>
    <row r="281" spans="1:11" hidden="1" x14ac:dyDescent="0.2">
      <c r="A281" s="330" t="s">
        <v>384</v>
      </c>
      <c r="B281" s="330" t="s">
        <v>385</v>
      </c>
      <c r="C281" s="330" t="s">
        <v>33</v>
      </c>
      <c r="D281" s="330" t="s">
        <v>34</v>
      </c>
      <c r="E281" s="330" t="s">
        <v>1067</v>
      </c>
      <c r="F281" s="330" t="s">
        <v>1068</v>
      </c>
      <c r="G281" s="331">
        <v>21</v>
      </c>
      <c r="H281" s="332" t="s">
        <v>1073</v>
      </c>
      <c r="I281" s="329" t="s">
        <v>1105</v>
      </c>
      <c r="K281" s="329" t="s">
        <v>1104</v>
      </c>
    </row>
    <row r="282" spans="1:11" hidden="1" x14ac:dyDescent="0.2">
      <c r="A282" s="330" t="s">
        <v>220</v>
      </c>
      <c r="B282" s="330" t="s">
        <v>221</v>
      </c>
      <c r="C282" s="330" t="s">
        <v>19</v>
      </c>
      <c r="D282" s="330" t="s">
        <v>20</v>
      </c>
      <c r="E282" s="330" t="s">
        <v>1039</v>
      </c>
      <c r="F282" s="330" t="s">
        <v>1040</v>
      </c>
      <c r="G282" s="331">
        <v>12</v>
      </c>
      <c r="H282" s="332" t="s">
        <v>1035</v>
      </c>
      <c r="I282" s="329" t="s">
        <v>1105</v>
      </c>
      <c r="K282" s="329" t="s">
        <v>1104</v>
      </c>
    </row>
    <row r="283" spans="1:11" hidden="1" x14ac:dyDescent="0.2">
      <c r="A283" s="330" t="s">
        <v>222</v>
      </c>
      <c r="B283" s="330" t="s">
        <v>1194</v>
      </c>
      <c r="C283" s="330" t="s">
        <v>21</v>
      </c>
      <c r="D283" s="330" t="s">
        <v>22</v>
      </c>
      <c r="E283" s="330" t="s">
        <v>1041</v>
      </c>
      <c r="F283" s="330" t="s">
        <v>1042</v>
      </c>
      <c r="G283" s="331">
        <v>12</v>
      </c>
      <c r="H283" s="332" t="s">
        <v>1035</v>
      </c>
      <c r="I283" s="329" t="s">
        <v>1105</v>
      </c>
      <c r="K283" s="329" t="s">
        <v>1104</v>
      </c>
    </row>
    <row r="284" spans="1:11" hidden="1" x14ac:dyDescent="0.2">
      <c r="A284" s="330" t="s">
        <v>224</v>
      </c>
      <c r="B284" s="330" t="s">
        <v>1195</v>
      </c>
      <c r="C284" s="330" t="s">
        <v>21</v>
      </c>
      <c r="D284" s="330" t="s">
        <v>22</v>
      </c>
      <c r="E284" s="330" t="s">
        <v>1043</v>
      </c>
      <c r="F284" s="330" t="s">
        <v>1044</v>
      </c>
      <c r="G284" s="331">
        <v>12</v>
      </c>
      <c r="H284" s="332" t="s">
        <v>1035</v>
      </c>
      <c r="I284" s="329" t="s">
        <v>1105</v>
      </c>
      <c r="K284" s="329" t="s">
        <v>1104</v>
      </c>
    </row>
    <row r="285" spans="1:11" hidden="1" x14ac:dyDescent="0.2">
      <c r="A285" s="330" t="s">
        <v>227</v>
      </c>
      <c r="B285" s="330" t="s">
        <v>228</v>
      </c>
      <c r="C285" s="330" t="s">
        <v>23</v>
      </c>
      <c r="D285" s="330" t="s">
        <v>24</v>
      </c>
      <c r="E285" s="330" t="s">
        <v>1047</v>
      </c>
      <c r="F285" s="330" t="s">
        <v>1048</v>
      </c>
      <c r="G285" s="331">
        <v>12</v>
      </c>
      <c r="H285" s="332" t="s">
        <v>1035</v>
      </c>
      <c r="I285" s="329" t="s">
        <v>1105</v>
      </c>
      <c r="K285" s="329" t="s">
        <v>1104</v>
      </c>
    </row>
    <row r="286" spans="1:11" hidden="1" x14ac:dyDescent="0.2">
      <c r="A286" s="330" t="s">
        <v>405</v>
      </c>
      <c r="B286" s="330" t="s">
        <v>406</v>
      </c>
      <c r="C286" s="330" t="s">
        <v>37</v>
      </c>
      <c r="D286" s="330" t="s">
        <v>38</v>
      </c>
      <c r="E286" s="330" t="s">
        <v>1079</v>
      </c>
      <c r="F286" s="330" t="s">
        <v>1080</v>
      </c>
      <c r="G286" s="331">
        <v>21</v>
      </c>
      <c r="H286" s="332" t="s">
        <v>1067</v>
      </c>
      <c r="I286" s="329" t="s">
        <v>1105</v>
      </c>
      <c r="K286" s="329" t="s">
        <v>1104</v>
      </c>
    </row>
    <row r="287" spans="1:11" hidden="1" x14ac:dyDescent="0.2">
      <c r="A287" s="330" t="s">
        <v>407</v>
      </c>
      <c r="B287" s="330" t="s">
        <v>408</v>
      </c>
      <c r="C287" s="330" t="s">
        <v>37</v>
      </c>
      <c r="D287" s="330" t="s">
        <v>38</v>
      </c>
      <c r="E287" s="330" t="s">
        <v>1079</v>
      </c>
      <c r="F287" s="330" t="s">
        <v>1080</v>
      </c>
      <c r="G287" s="331">
        <v>25</v>
      </c>
      <c r="H287" s="332" t="s">
        <v>1093</v>
      </c>
      <c r="I287" s="329" t="s">
        <v>1105</v>
      </c>
      <c r="K287" s="329" t="s">
        <v>1107</v>
      </c>
    </row>
    <row r="288" spans="1:11" hidden="1" x14ac:dyDescent="0.2">
      <c r="A288" s="330" t="s">
        <v>225</v>
      </c>
      <c r="B288" s="330" t="s">
        <v>226</v>
      </c>
      <c r="C288" s="330" t="s">
        <v>730</v>
      </c>
      <c r="D288" s="330" t="s">
        <v>731</v>
      </c>
      <c r="E288" s="330" t="s">
        <v>1045</v>
      </c>
      <c r="F288" s="330" t="s">
        <v>1046</v>
      </c>
      <c r="G288" s="331">
        <v>12</v>
      </c>
      <c r="H288" s="332" t="s">
        <v>1035</v>
      </c>
      <c r="I288" s="329" t="s">
        <v>1105</v>
      </c>
      <c r="K288" s="329" t="s">
        <v>1104</v>
      </c>
    </row>
    <row r="289" spans="1:11" hidden="1" x14ac:dyDescent="0.2">
      <c r="A289" s="330" t="s">
        <v>935</v>
      </c>
      <c r="B289" s="330" t="s">
        <v>936</v>
      </c>
      <c r="C289" s="330" t="s">
        <v>21</v>
      </c>
      <c r="D289" s="330" t="s">
        <v>22</v>
      </c>
      <c r="E289" s="330" t="s">
        <v>1041</v>
      </c>
      <c r="F289" s="330" t="s">
        <v>1042</v>
      </c>
      <c r="G289" s="331">
        <v>12</v>
      </c>
      <c r="H289" s="332" t="s">
        <v>1035</v>
      </c>
      <c r="I289" s="329" t="s">
        <v>1105</v>
      </c>
      <c r="K289" s="329" t="s">
        <v>1104</v>
      </c>
    </row>
    <row r="290" spans="1:11" hidden="1" x14ac:dyDescent="0.2">
      <c r="A290" s="330" t="s">
        <v>412</v>
      </c>
      <c r="B290" s="330" t="s">
        <v>1196</v>
      </c>
      <c r="C290" s="330" t="s">
        <v>37</v>
      </c>
      <c r="D290" s="330" t="s">
        <v>38</v>
      </c>
      <c r="E290" s="330" t="s">
        <v>1079</v>
      </c>
      <c r="F290" s="330" t="s">
        <v>1080</v>
      </c>
      <c r="G290" s="331">
        <v>21</v>
      </c>
      <c r="H290" s="332" t="s">
        <v>1067</v>
      </c>
      <c r="I290" s="329" t="s">
        <v>1105</v>
      </c>
      <c r="K290" s="329" t="s">
        <v>1104</v>
      </c>
    </row>
    <row r="291" spans="1:11" hidden="1" x14ac:dyDescent="0.2">
      <c r="A291" s="330" t="s">
        <v>386</v>
      </c>
      <c r="B291" s="330" t="s">
        <v>387</v>
      </c>
      <c r="C291" s="330" t="s">
        <v>33</v>
      </c>
      <c r="D291" s="330" t="s">
        <v>34</v>
      </c>
      <c r="E291" s="330" t="s">
        <v>1067</v>
      </c>
      <c r="F291" s="330" t="s">
        <v>1068</v>
      </c>
      <c r="G291" s="331">
        <v>21</v>
      </c>
      <c r="H291" s="332" t="s">
        <v>1075</v>
      </c>
      <c r="I291" s="329" t="s">
        <v>1105</v>
      </c>
      <c r="K291" s="329" t="s">
        <v>1104</v>
      </c>
    </row>
    <row r="292" spans="1:11" hidden="1" x14ac:dyDescent="0.2">
      <c r="A292" s="330" t="s">
        <v>388</v>
      </c>
      <c r="B292" s="330" t="s">
        <v>389</v>
      </c>
      <c r="C292" s="330" t="s">
        <v>33</v>
      </c>
      <c r="D292" s="330" t="s">
        <v>34</v>
      </c>
      <c r="E292" s="330" t="s">
        <v>1067</v>
      </c>
      <c r="F292" s="330" t="s">
        <v>1068</v>
      </c>
      <c r="G292" s="331">
        <v>21</v>
      </c>
      <c r="H292" s="332" t="s">
        <v>1075</v>
      </c>
      <c r="I292" s="329" t="s">
        <v>1105</v>
      </c>
      <c r="K292" s="329" t="s">
        <v>1104</v>
      </c>
    </row>
    <row r="293" spans="1:11" hidden="1" x14ac:dyDescent="0.2">
      <c r="A293" s="330" t="s">
        <v>503</v>
      </c>
      <c r="B293" s="330" t="s">
        <v>1197</v>
      </c>
      <c r="C293" s="330" t="s">
        <v>33</v>
      </c>
      <c r="D293" s="330" t="s">
        <v>34</v>
      </c>
      <c r="E293" s="330" t="s">
        <v>1067</v>
      </c>
      <c r="F293" s="330" t="s">
        <v>1068</v>
      </c>
      <c r="G293" s="331">
        <v>21</v>
      </c>
      <c r="H293" s="332" t="s">
        <v>1067</v>
      </c>
      <c r="I293" s="329" t="s">
        <v>1105</v>
      </c>
      <c r="K293" s="329" t="s">
        <v>1104</v>
      </c>
    </row>
    <row r="294" spans="1:11" hidden="1" x14ac:dyDescent="0.2">
      <c r="A294" s="330" t="s">
        <v>937</v>
      </c>
      <c r="B294" s="330" t="s">
        <v>938</v>
      </c>
      <c r="C294" s="330" t="s">
        <v>33</v>
      </c>
      <c r="D294" s="330" t="s">
        <v>34</v>
      </c>
      <c r="E294" s="330" t="s">
        <v>1067</v>
      </c>
      <c r="F294" s="330" t="s">
        <v>1068</v>
      </c>
      <c r="G294" s="331">
        <v>21</v>
      </c>
      <c r="H294" s="332" t="s">
        <v>1067</v>
      </c>
      <c r="I294" s="329" t="s">
        <v>1105</v>
      </c>
      <c r="K294" s="329" t="s">
        <v>1104</v>
      </c>
    </row>
    <row r="295" spans="1:11" hidden="1" x14ac:dyDescent="0.2">
      <c r="A295" s="330" t="s">
        <v>504</v>
      </c>
      <c r="B295" s="330" t="s">
        <v>505</v>
      </c>
      <c r="C295" s="330" t="s">
        <v>33</v>
      </c>
      <c r="D295" s="330" t="s">
        <v>34</v>
      </c>
      <c r="E295" s="330" t="s">
        <v>1067</v>
      </c>
      <c r="F295" s="330" t="s">
        <v>1068</v>
      </c>
      <c r="G295" s="331">
        <v>22</v>
      </c>
      <c r="H295" s="332" t="s">
        <v>1077</v>
      </c>
      <c r="I295" s="329" t="s">
        <v>1105</v>
      </c>
      <c r="K295" s="329" t="s">
        <v>1104</v>
      </c>
    </row>
    <row r="296" spans="1:11" hidden="1" x14ac:dyDescent="0.2">
      <c r="A296" s="330" t="s">
        <v>939</v>
      </c>
      <c r="B296" s="330" t="s">
        <v>940</v>
      </c>
      <c r="C296" s="330" t="s">
        <v>41</v>
      </c>
      <c r="D296" s="330" t="s">
        <v>42</v>
      </c>
      <c r="E296" s="330" t="s">
        <v>1093</v>
      </c>
      <c r="F296" s="330" t="s">
        <v>1094</v>
      </c>
      <c r="G296" s="331">
        <v>164</v>
      </c>
      <c r="H296" s="332" t="s">
        <v>1095</v>
      </c>
      <c r="I296" s="329" t="s">
        <v>1105</v>
      </c>
      <c r="K296" s="329" t="s">
        <v>1104</v>
      </c>
    </row>
    <row r="297" spans="1:11" hidden="1" x14ac:dyDescent="0.2">
      <c r="A297" s="330" t="s">
        <v>506</v>
      </c>
      <c r="B297" s="330" t="s">
        <v>507</v>
      </c>
      <c r="C297" s="330" t="s">
        <v>33</v>
      </c>
      <c r="D297" s="330" t="s">
        <v>34</v>
      </c>
      <c r="E297" s="330" t="s">
        <v>1067</v>
      </c>
      <c r="F297" s="330" t="s">
        <v>1068</v>
      </c>
      <c r="G297" s="331">
        <v>22</v>
      </c>
      <c r="H297" s="332" t="s">
        <v>1077</v>
      </c>
      <c r="I297" s="329" t="s">
        <v>1105</v>
      </c>
      <c r="K297" s="329" t="s">
        <v>1104</v>
      </c>
    </row>
    <row r="298" spans="1:11" hidden="1" x14ac:dyDescent="0.2">
      <c r="A298" s="330" t="s">
        <v>508</v>
      </c>
      <c r="B298" s="330" t="s">
        <v>509</v>
      </c>
      <c r="C298" s="330" t="s">
        <v>33</v>
      </c>
      <c r="D298" s="330" t="s">
        <v>34</v>
      </c>
      <c r="E298" s="330" t="s">
        <v>1067</v>
      </c>
      <c r="F298" s="330" t="s">
        <v>1068</v>
      </c>
      <c r="G298" s="331">
        <v>22</v>
      </c>
      <c r="H298" s="332" t="s">
        <v>1077</v>
      </c>
      <c r="I298" s="329" t="s">
        <v>1105</v>
      </c>
      <c r="K298" s="329" t="s">
        <v>1104</v>
      </c>
    </row>
    <row r="299" spans="1:11" hidden="1" x14ac:dyDescent="0.2">
      <c r="A299" s="330" t="s">
        <v>510</v>
      </c>
      <c r="B299" s="330" t="s">
        <v>511</v>
      </c>
      <c r="C299" s="330" t="s">
        <v>33</v>
      </c>
      <c r="D299" s="330" t="s">
        <v>34</v>
      </c>
      <c r="E299" s="330" t="s">
        <v>1067</v>
      </c>
      <c r="F299" s="330" t="s">
        <v>1068</v>
      </c>
      <c r="G299" s="331">
        <v>22</v>
      </c>
      <c r="H299" s="332" t="s">
        <v>1077</v>
      </c>
      <c r="I299" s="329" t="s">
        <v>1105</v>
      </c>
      <c r="K299" s="329" t="s">
        <v>1104</v>
      </c>
    </row>
    <row r="300" spans="1:11" hidden="1" x14ac:dyDescent="0.2">
      <c r="A300" s="330" t="s">
        <v>512</v>
      </c>
      <c r="B300" s="330" t="s">
        <v>1198</v>
      </c>
      <c r="C300" s="330" t="s">
        <v>41</v>
      </c>
      <c r="D300" s="330" t="s">
        <v>42</v>
      </c>
      <c r="E300" s="330" t="s">
        <v>1087</v>
      </c>
      <c r="F300" s="330" t="s">
        <v>1088</v>
      </c>
      <c r="G300" s="331">
        <v>164</v>
      </c>
      <c r="H300" s="332" t="s">
        <v>1095</v>
      </c>
      <c r="I300" s="329" t="s">
        <v>1105</v>
      </c>
      <c r="K300" s="329" t="s">
        <v>1107</v>
      </c>
    </row>
    <row r="301" spans="1:11" hidden="1" x14ac:dyDescent="0.2">
      <c r="A301" s="330" t="s">
        <v>513</v>
      </c>
      <c r="B301" s="330" t="s">
        <v>514</v>
      </c>
      <c r="C301" s="330" t="s">
        <v>41</v>
      </c>
      <c r="D301" s="330" t="s">
        <v>42</v>
      </c>
      <c r="E301" s="330" t="s">
        <v>1089</v>
      </c>
      <c r="F301" s="330" t="s">
        <v>1090</v>
      </c>
      <c r="G301" s="331">
        <v>164</v>
      </c>
      <c r="H301" s="332" t="s">
        <v>1095</v>
      </c>
      <c r="I301" s="329" t="s">
        <v>1105</v>
      </c>
      <c r="K301" s="329" t="s">
        <v>1104</v>
      </c>
    </row>
    <row r="302" spans="1:11" hidden="1" x14ac:dyDescent="0.2">
      <c r="A302" s="330" t="s">
        <v>941</v>
      </c>
      <c r="B302" s="330" t="s">
        <v>942</v>
      </c>
      <c r="C302" s="330" t="s">
        <v>33</v>
      </c>
      <c r="D302" s="330" t="s">
        <v>34</v>
      </c>
      <c r="E302" s="330" t="s">
        <v>1067</v>
      </c>
      <c r="F302" s="330" t="s">
        <v>1068</v>
      </c>
      <c r="G302" s="331">
        <v>22</v>
      </c>
      <c r="H302" s="332" t="s">
        <v>1077</v>
      </c>
      <c r="I302" s="329" t="s">
        <v>1105</v>
      </c>
      <c r="K302" s="329" t="s">
        <v>1104</v>
      </c>
    </row>
    <row r="303" spans="1:11" hidden="1" x14ac:dyDescent="0.2">
      <c r="A303" s="330" t="s">
        <v>515</v>
      </c>
      <c r="B303" s="330" t="s">
        <v>1199</v>
      </c>
      <c r="C303" s="330" t="s">
        <v>41</v>
      </c>
      <c r="D303" s="330" t="s">
        <v>42</v>
      </c>
      <c r="E303" s="330" t="s">
        <v>1091</v>
      </c>
      <c r="F303" s="330" t="s">
        <v>1092</v>
      </c>
      <c r="G303" s="331">
        <v>164</v>
      </c>
      <c r="H303" s="332" t="s">
        <v>1095</v>
      </c>
      <c r="I303" s="329" t="s">
        <v>1105</v>
      </c>
      <c r="K303" s="329" t="s">
        <v>1104</v>
      </c>
    </row>
    <row r="304" spans="1:11" hidden="1" x14ac:dyDescent="0.2">
      <c r="A304" s="330" t="s">
        <v>516</v>
      </c>
      <c r="B304" s="330" t="s">
        <v>1200</v>
      </c>
      <c r="C304" s="330" t="s">
        <v>41</v>
      </c>
      <c r="D304" s="330" t="s">
        <v>42</v>
      </c>
      <c r="E304" s="330" t="s">
        <v>1091</v>
      </c>
      <c r="F304" s="330" t="s">
        <v>1092</v>
      </c>
      <c r="G304" s="331">
        <v>164</v>
      </c>
      <c r="H304" s="332" t="s">
        <v>1095</v>
      </c>
      <c r="I304" s="329" t="s">
        <v>1105</v>
      </c>
      <c r="K304" s="329" t="s">
        <v>1104</v>
      </c>
    </row>
    <row r="305" spans="1:11" hidden="1" x14ac:dyDescent="0.2">
      <c r="A305" s="330" t="s">
        <v>943</v>
      </c>
      <c r="B305" s="330" t="s">
        <v>944</v>
      </c>
      <c r="C305" s="330" t="s">
        <v>41</v>
      </c>
      <c r="D305" s="330" t="s">
        <v>42</v>
      </c>
      <c r="E305" s="330" t="s">
        <v>1091</v>
      </c>
      <c r="F305" s="330" t="s">
        <v>1092</v>
      </c>
      <c r="G305" s="331">
        <v>164</v>
      </c>
      <c r="H305" s="332" t="s">
        <v>1095</v>
      </c>
      <c r="I305" s="329" t="s">
        <v>1105</v>
      </c>
      <c r="K305" s="329" t="s">
        <v>1104</v>
      </c>
    </row>
    <row r="306" spans="1:11" hidden="1" x14ac:dyDescent="0.2">
      <c r="A306" s="330" t="s">
        <v>517</v>
      </c>
      <c r="B306" s="330" t="s">
        <v>518</v>
      </c>
      <c r="C306" s="330" t="s">
        <v>41</v>
      </c>
      <c r="D306" s="330" t="s">
        <v>42</v>
      </c>
      <c r="E306" s="330" t="s">
        <v>1087</v>
      </c>
      <c r="F306" s="330" t="s">
        <v>1088</v>
      </c>
      <c r="G306" s="331">
        <v>164</v>
      </c>
      <c r="H306" s="332" t="s">
        <v>1095</v>
      </c>
      <c r="I306" s="329" t="s">
        <v>1105</v>
      </c>
      <c r="K306" s="329" t="s">
        <v>1104</v>
      </c>
    </row>
    <row r="307" spans="1:11" hidden="1" x14ac:dyDescent="0.2">
      <c r="A307" s="330" t="s">
        <v>519</v>
      </c>
      <c r="B307" s="330" t="s">
        <v>520</v>
      </c>
      <c r="C307" s="330" t="s">
        <v>41</v>
      </c>
      <c r="D307" s="330" t="s">
        <v>42</v>
      </c>
      <c r="E307" s="330" t="s">
        <v>1091</v>
      </c>
      <c r="F307" s="330" t="s">
        <v>1092</v>
      </c>
      <c r="G307" s="331">
        <v>164</v>
      </c>
      <c r="H307" s="332" t="s">
        <v>1095</v>
      </c>
      <c r="I307" s="329" t="s">
        <v>1105</v>
      </c>
      <c r="K307" s="329" t="s">
        <v>1104</v>
      </c>
    </row>
    <row r="308" spans="1:11" hidden="1" x14ac:dyDescent="0.2">
      <c r="A308" s="330" t="s">
        <v>945</v>
      </c>
      <c r="B308" s="330" t="s">
        <v>946</v>
      </c>
      <c r="C308" s="330" t="s">
        <v>29</v>
      </c>
      <c r="D308" s="330" t="s">
        <v>30</v>
      </c>
      <c r="E308" s="330" t="s">
        <v>1051</v>
      </c>
      <c r="F308" s="330" t="s">
        <v>1052</v>
      </c>
      <c r="G308" s="331">
        <v>17</v>
      </c>
      <c r="H308" s="332" t="s">
        <v>1049</v>
      </c>
      <c r="I308" s="329" t="s">
        <v>1105</v>
      </c>
      <c r="K308" s="329" t="s">
        <v>1104</v>
      </c>
    </row>
    <row r="309" spans="1:11" hidden="1" x14ac:dyDescent="0.2">
      <c r="A309" s="330" t="s">
        <v>947</v>
      </c>
      <c r="B309" s="330" t="s">
        <v>948</v>
      </c>
      <c r="C309" s="330" t="s">
        <v>29</v>
      </c>
      <c r="D309" s="330" t="s">
        <v>30</v>
      </c>
      <c r="E309" s="330" t="s">
        <v>1051</v>
      </c>
      <c r="F309" s="330" t="s">
        <v>1052</v>
      </c>
      <c r="G309" s="331">
        <v>17</v>
      </c>
      <c r="H309" s="332" t="s">
        <v>1049</v>
      </c>
      <c r="I309" s="329" t="s">
        <v>1105</v>
      </c>
      <c r="K309" s="329" t="s">
        <v>1104</v>
      </c>
    </row>
    <row r="310" spans="1:11" hidden="1" x14ac:dyDescent="0.2">
      <c r="A310" s="330" t="s">
        <v>949</v>
      </c>
      <c r="B310" s="330" t="s">
        <v>950</v>
      </c>
      <c r="C310" s="330" t="s">
        <v>29</v>
      </c>
      <c r="D310" s="330" t="s">
        <v>30</v>
      </c>
      <c r="E310" s="330" t="s">
        <v>1051</v>
      </c>
      <c r="F310" s="330" t="s">
        <v>1052</v>
      </c>
      <c r="G310" s="331">
        <v>17</v>
      </c>
      <c r="H310" s="332" t="s">
        <v>1049</v>
      </c>
      <c r="I310" s="329" t="s">
        <v>1105</v>
      </c>
      <c r="K310" s="329" t="s">
        <v>1104</v>
      </c>
    </row>
    <row r="311" spans="1:11" hidden="1" x14ac:dyDescent="0.2">
      <c r="A311" s="330" t="s">
        <v>951</v>
      </c>
      <c r="B311" s="330" t="s">
        <v>952</v>
      </c>
      <c r="C311" s="330" t="s">
        <v>29</v>
      </c>
      <c r="D311" s="330" t="s">
        <v>30</v>
      </c>
      <c r="E311" s="330" t="s">
        <v>1051</v>
      </c>
      <c r="F311" s="330" t="s">
        <v>1052</v>
      </c>
      <c r="G311" s="331">
        <v>17</v>
      </c>
      <c r="H311" s="332" t="s">
        <v>1049</v>
      </c>
      <c r="I311" s="329" t="s">
        <v>1105</v>
      </c>
      <c r="K311" s="329" t="s">
        <v>1107</v>
      </c>
    </row>
    <row r="312" spans="1:11" hidden="1" x14ac:dyDescent="0.2">
      <c r="A312" s="330" t="s">
        <v>953</v>
      </c>
      <c r="B312" s="330" t="s">
        <v>954</v>
      </c>
      <c r="C312" s="330" t="s">
        <v>29</v>
      </c>
      <c r="D312" s="330" t="s">
        <v>30</v>
      </c>
      <c r="E312" s="330" t="s">
        <v>1051</v>
      </c>
      <c r="F312" s="330" t="s">
        <v>1052</v>
      </c>
      <c r="G312" s="331">
        <v>17</v>
      </c>
      <c r="H312" s="332" t="s">
        <v>1049</v>
      </c>
      <c r="I312" s="329" t="s">
        <v>1105</v>
      </c>
      <c r="K312" s="329" t="s">
        <v>1107</v>
      </c>
    </row>
    <row r="313" spans="1:11" hidden="1" x14ac:dyDescent="0.2">
      <c r="A313" s="330" t="s">
        <v>955</v>
      </c>
      <c r="B313" s="330" t="s">
        <v>271</v>
      </c>
      <c r="C313" s="330" t="s">
        <v>29</v>
      </c>
      <c r="D313" s="330" t="s">
        <v>30</v>
      </c>
      <c r="E313" s="330" t="s">
        <v>1051</v>
      </c>
      <c r="F313" s="330" t="s">
        <v>1052</v>
      </c>
      <c r="G313" s="331">
        <v>19</v>
      </c>
      <c r="H313" s="332" t="s">
        <v>1051</v>
      </c>
      <c r="I313" s="336" t="s">
        <v>1105</v>
      </c>
      <c r="J313" s="336"/>
      <c r="K313" s="336" t="s">
        <v>1107</v>
      </c>
    </row>
    <row r="314" spans="1:11" hidden="1" x14ac:dyDescent="0.2">
      <c r="A314" s="330" t="s">
        <v>956</v>
      </c>
      <c r="B314" s="330" t="s">
        <v>272</v>
      </c>
      <c r="C314" s="330" t="s">
        <v>29</v>
      </c>
      <c r="D314" s="330" t="s">
        <v>30</v>
      </c>
      <c r="E314" s="330" t="s">
        <v>1051</v>
      </c>
      <c r="F314" s="330" t="s">
        <v>1052</v>
      </c>
      <c r="G314" s="331">
        <v>20</v>
      </c>
      <c r="H314" s="332" t="s">
        <v>1059</v>
      </c>
      <c r="I314" s="329" t="s">
        <v>1105</v>
      </c>
      <c r="K314" s="329" t="s">
        <v>1104</v>
      </c>
    </row>
    <row r="315" spans="1:11" hidden="1" x14ac:dyDescent="0.2">
      <c r="A315" s="330" t="s">
        <v>957</v>
      </c>
      <c r="B315" s="330" t="s">
        <v>273</v>
      </c>
      <c r="C315" s="330" t="s">
        <v>29</v>
      </c>
      <c r="D315" s="330" t="s">
        <v>30</v>
      </c>
      <c r="E315" s="330" t="s">
        <v>1051</v>
      </c>
      <c r="F315" s="330" t="s">
        <v>1052</v>
      </c>
      <c r="G315" s="331">
        <v>20</v>
      </c>
      <c r="H315" s="332" t="s">
        <v>1059</v>
      </c>
      <c r="I315" s="329" t="s">
        <v>1105</v>
      </c>
      <c r="K315" s="329" t="s">
        <v>1104</v>
      </c>
    </row>
    <row r="316" spans="1:11" hidden="1" x14ac:dyDescent="0.2">
      <c r="A316" s="330" t="s">
        <v>958</v>
      </c>
      <c r="B316" s="330" t="s">
        <v>959</v>
      </c>
      <c r="C316" s="330" t="s">
        <v>29</v>
      </c>
      <c r="D316" s="330" t="s">
        <v>30</v>
      </c>
      <c r="E316" s="330" t="s">
        <v>1051</v>
      </c>
      <c r="F316" s="330" t="s">
        <v>1052</v>
      </c>
      <c r="G316" s="331">
        <v>20</v>
      </c>
      <c r="H316" s="332" t="s">
        <v>1059</v>
      </c>
      <c r="I316" s="329" t="s">
        <v>1105</v>
      </c>
      <c r="K316" s="329" t="s">
        <v>1104</v>
      </c>
    </row>
    <row r="317" spans="1:11" hidden="1" x14ac:dyDescent="0.2">
      <c r="A317" s="330" t="s">
        <v>960</v>
      </c>
      <c r="B317" s="330" t="s">
        <v>276</v>
      </c>
      <c r="C317" s="330" t="s">
        <v>29</v>
      </c>
      <c r="D317" s="330" t="s">
        <v>30</v>
      </c>
      <c r="E317" s="330" t="s">
        <v>1051</v>
      </c>
      <c r="F317" s="330" t="s">
        <v>1052</v>
      </c>
      <c r="G317" s="331">
        <v>20</v>
      </c>
      <c r="H317" s="332" t="s">
        <v>1059</v>
      </c>
      <c r="I317" s="329" t="s">
        <v>1105</v>
      </c>
      <c r="K317" s="329" t="s">
        <v>1104</v>
      </c>
    </row>
    <row r="318" spans="1:11" hidden="1" x14ac:dyDescent="0.2">
      <c r="A318" s="330" t="s">
        <v>413</v>
      </c>
      <c r="B318" s="330" t="s">
        <v>414</v>
      </c>
      <c r="C318" s="330" t="s">
        <v>39</v>
      </c>
      <c r="D318" s="330" t="s">
        <v>40</v>
      </c>
      <c r="E318" s="330" t="s">
        <v>1081</v>
      </c>
      <c r="F318" s="330" t="s">
        <v>1082</v>
      </c>
      <c r="G318" s="331">
        <v>21</v>
      </c>
      <c r="H318" s="332" t="s">
        <v>1067</v>
      </c>
      <c r="I318" s="329" t="s">
        <v>1105</v>
      </c>
      <c r="K318" s="329" t="s">
        <v>1104</v>
      </c>
    </row>
    <row r="319" spans="1:11" hidden="1" x14ac:dyDescent="0.2">
      <c r="A319" s="330" t="s">
        <v>415</v>
      </c>
      <c r="B319" s="330" t="s">
        <v>416</v>
      </c>
      <c r="C319" s="330" t="s">
        <v>39</v>
      </c>
      <c r="D319" s="330" t="s">
        <v>40</v>
      </c>
      <c r="E319" s="330" t="s">
        <v>1081</v>
      </c>
      <c r="F319" s="330" t="s">
        <v>1082</v>
      </c>
      <c r="G319" s="331">
        <v>21</v>
      </c>
      <c r="H319" s="332" t="s">
        <v>1067</v>
      </c>
      <c r="I319" s="329" t="s">
        <v>1105</v>
      </c>
      <c r="K319" s="329" t="s">
        <v>1104</v>
      </c>
    </row>
    <row r="320" spans="1:11" hidden="1" x14ac:dyDescent="0.2">
      <c r="A320" s="330" t="s">
        <v>417</v>
      </c>
      <c r="B320" s="330" t="s">
        <v>418</v>
      </c>
      <c r="C320" s="330" t="s">
        <v>39</v>
      </c>
      <c r="D320" s="330" t="s">
        <v>40</v>
      </c>
      <c r="E320" s="330" t="s">
        <v>1081</v>
      </c>
      <c r="F320" s="330" t="s">
        <v>1082</v>
      </c>
      <c r="G320" s="331">
        <v>25</v>
      </c>
      <c r="H320" s="332" t="s">
        <v>1087</v>
      </c>
      <c r="I320" s="329" t="s">
        <v>1105</v>
      </c>
      <c r="K320" s="329" t="s">
        <v>1104</v>
      </c>
    </row>
    <row r="321" spans="1:11" hidden="1" x14ac:dyDescent="0.2">
      <c r="A321" s="330" t="s">
        <v>419</v>
      </c>
      <c r="B321" s="330" t="s">
        <v>420</v>
      </c>
      <c r="C321" s="330" t="s">
        <v>39</v>
      </c>
      <c r="D321" s="330" t="s">
        <v>40</v>
      </c>
      <c r="E321" s="330" t="s">
        <v>1081</v>
      </c>
      <c r="F321" s="330" t="s">
        <v>1082</v>
      </c>
      <c r="G321" s="331">
        <v>25</v>
      </c>
      <c r="H321" s="332" t="s">
        <v>1089</v>
      </c>
      <c r="I321" s="329" t="s">
        <v>1105</v>
      </c>
      <c r="K321" s="329" t="s">
        <v>1104</v>
      </c>
    </row>
    <row r="322" spans="1:11" hidden="1" x14ac:dyDescent="0.2">
      <c r="A322" s="330" t="s">
        <v>421</v>
      </c>
      <c r="B322" s="330" t="s">
        <v>422</v>
      </c>
      <c r="C322" s="330" t="s">
        <v>39</v>
      </c>
      <c r="D322" s="330" t="s">
        <v>40</v>
      </c>
      <c r="E322" s="330" t="s">
        <v>1081</v>
      </c>
      <c r="F322" s="330" t="s">
        <v>1082</v>
      </c>
      <c r="G322" s="331">
        <v>21</v>
      </c>
      <c r="H322" s="332" t="s">
        <v>1067</v>
      </c>
      <c r="I322" s="329" t="s">
        <v>1105</v>
      </c>
      <c r="K322" s="329" t="s">
        <v>1107</v>
      </c>
    </row>
    <row r="323" spans="1:11" hidden="1" x14ac:dyDescent="0.2">
      <c r="A323" s="330" t="s">
        <v>423</v>
      </c>
      <c r="B323" s="330" t="s">
        <v>424</v>
      </c>
      <c r="C323" s="330" t="s">
        <v>39</v>
      </c>
      <c r="D323" s="330" t="s">
        <v>40</v>
      </c>
      <c r="E323" s="330" t="s">
        <v>1081</v>
      </c>
      <c r="F323" s="330" t="s">
        <v>1082</v>
      </c>
      <c r="G323" s="331">
        <v>25</v>
      </c>
      <c r="H323" s="332" t="s">
        <v>1091</v>
      </c>
      <c r="I323" s="329" t="s">
        <v>1105</v>
      </c>
      <c r="K323" s="329" t="s">
        <v>1104</v>
      </c>
    </row>
    <row r="324" spans="1:11" hidden="1" x14ac:dyDescent="0.2">
      <c r="A324" s="330" t="s">
        <v>425</v>
      </c>
      <c r="B324" s="330" t="s">
        <v>426</v>
      </c>
      <c r="C324" s="330" t="s">
        <v>39</v>
      </c>
      <c r="D324" s="330" t="s">
        <v>40</v>
      </c>
      <c r="E324" s="330" t="s">
        <v>1081</v>
      </c>
      <c r="F324" s="330" t="s">
        <v>1082</v>
      </c>
      <c r="G324" s="331">
        <v>25</v>
      </c>
      <c r="H324" s="332" t="s">
        <v>1091</v>
      </c>
      <c r="I324" s="329" t="s">
        <v>1105</v>
      </c>
      <c r="K324" s="329" t="s">
        <v>1104</v>
      </c>
    </row>
    <row r="325" spans="1:11" hidden="1" x14ac:dyDescent="0.2">
      <c r="A325" s="330" t="s">
        <v>427</v>
      </c>
      <c r="B325" s="330" t="s">
        <v>428</v>
      </c>
      <c r="C325" s="330" t="s">
        <v>39</v>
      </c>
      <c r="D325" s="330" t="s">
        <v>40</v>
      </c>
      <c r="E325" s="330" t="s">
        <v>1081</v>
      </c>
      <c r="F325" s="330" t="s">
        <v>1082</v>
      </c>
      <c r="G325" s="331">
        <v>25</v>
      </c>
      <c r="H325" s="332" t="s">
        <v>1091</v>
      </c>
      <c r="I325" s="329" t="s">
        <v>1105</v>
      </c>
      <c r="K325" s="329" t="s">
        <v>1107</v>
      </c>
    </row>
    <row r="326" spans="1:11" hidden="1" x14ac:dyDescent="0.2">
      <c r="A326" s="330" t="s">
        <v>429</v>
      </c>
      <c r="B326" s="330" t="s">
        <v>430</v>
      </c>
      <c r="C326" s="330" t="s">
        <v>39</v>
      </c>
      <c r="D326" s="330" t="s">
        <v>40</v>
      </c>
      <c r="E326" s="330" t="s">
        <v>1081</v>
      </c>
      <c r="F326" s="330" t="s">
        <v>1082</v>
      </c>
      <c r="G326" s="331">
        <v>25</v>
      </c>
      <c r="H326" s="332" t="s">
        <v>1087</v>
      </c>
      <c r="I326" s="329" t="s">
        <v>1105</v>
      </c>
      <c r="K326" s="329" t="s">
        <v>1104</v>
      </c>
    </row>
    <row r="327" spans="1:11" hidden="1" x14ac:dyDescent="0.2">
      <c r="A327" s="330" t="s">
        <v>431</v>
      </c>
      <c r="B327" s="330" t="s">
        <v>432</v>
      </c>
      <c r="C327" s="330" t="s">
        <v>39</v>
      </c>
      <c r="D327" s="330" t="s">
        <v>40</v>
      </c>
      <c r="E327" s="330" t="s">
        <v>1083</v>
      </c>
      <c r="F327" s="330" t="s">
        <v>1084</v>
      </c>
      <c r="G327" s="331">
        <v>24</v>
      </c>
      <c r="H327" s="332" t="s">
        <v>1081</v>
      </c>
      <c r="I327" s="329" t="s">
        <v>1105</v>
      </c>
      <c r="K327" s="329" t="s">
        <v>1104</v>
      </c>
    </row>
    <row r="328" spans="1:11" hidden="1" x14ac:dyDescent="0.2">
      <c r="A328" s="330" t="s">
        <v>433</v>
      </c>
      <c r="B328" s="330" t="s">
        <v>434</v>
      </c>
      <c r="C328" s="330" t="s">
        <v>39</v>
      </c>
      <c r="D328" s="330" t="s">
        <v>40</v>
      </c>
      <c r="E328" s="330" t="s">
        <v>1083</v>
      </c>
      <c r="F328" s="330" t="s">
        <v>1084</v>
      </c>
      <c r="G328" s="331">
        <v>24</v>
      </c>
      <c r="H328" s="332" t="s">
        <v>1081</v>
      </c>
      <c r="I328" s="329" t="s">
        <v>1105</v>
      </c>
      <c r="K328" s="329" t="s">
        <v>1104</v>
      </c>
    </row>
    <row r="329" spans="1:11" hidden="1" x14ac:dyDescent="0.2">
      <c r="A329" s="330" t="s">
        <v>435</v>
      </c>
      <c r="B329" s="330" t="s">
        <v>436</v>
      </c>
      <c r="C329" s="330" t="s">
        <v>39</v>
      </c>
      <c r="D329" s="330" t="s">
        <v>40</v>
      </c>
      <c r="E329" s="330" t="s">
        <v>1083</v>
      </c>
      <c r="F329" s="330" t="s">
        <v>1084</v>
      </c>
      <c r="G329" s="331">
        <v>24</v>
      </c>
      <c r="H329" s="332" t="s">
        <v>1081</v>
      </c>
      <c r="I329" s="329" t="s">
        <v>1105</v>
      </c>
      <c r="K329" s="329" t="s">
        <v>1104</v>
      </c>
    </row>
    <row r="330" spans="1:11" hidden="1" x14ac:dyDescent="0.2">
      <c r="A330" s="330" t="s">
        <v>437</v>
      </c>
      <c r="B330" s="330" t="s">
        <v>438</v>
      </c>
      <c r="C330" s="330" t="s">
        <v>39</v>
      </c>
      <c r="D330" s="330" t="s">
        <v>40</v>
      </c>
      <c r="E330" s="330" t="s">
        <v>1083</v>
      </c>
      <c r="F330" s="330" t="s">
        <v>1084</v>
      </c>
      <c r="G330" s="331">
        <v>24</v>
      </c>
      <c r="H330" s="332" t="s">
        <v>1081</v>
      </c>
      <c r="I330" s="329" t="s">
        <v>1105</v>
      </c>
      <c r="K330" s="329" t="s">
        <v>1104</v>
      </c>
    </row>
    <row r="331" spans="1:11" hidden="1" x14ac:dyDescent="0.2">
      <c r="A331" s="330" t="s">
        <v>439</v>
      </c>
      <c r="B331" s="330" t="s">
        <v>440</v>
      </c>
      <c r="C331" s="330" t="s">
        <v>39</v>
      </c>
      <c r="D331" s="330" t="s">
        <v>40</v>
      </c>
      <c r="E331" s="330" t="s">
        <v>1083</v>
      </c>
      <c r="F331" s="330" t="s">
        <v>1084</v>
      </c>
      <c r="G331" s="331">
        <v>24</v>
      </c>
      <c r="H331" s="332" t="s">
        <v>1081</v>
      </c>
      <c r="I331" s="329" t="s">
        <v>1105</v>
      </c>
      <c r="K331" s="329" t="s">
        <v>1104</v>
      </c>
    </row>
    <row r="332" spans="1:11" hidden="1" x14ac:dyDescent="0.2">
      <c r="A332" s="330" t="s">
        <v>441</v>
      </c>
      <c r="B332" s="330" t="s">
        <v>442</v>
      </c>
      <c r="C332" s="330" t="s">
        <v>39</v>
      </c>
      <c r="D332" s="330" t="s">
        <v>40</v>
      </c>
      <c r="E332" s="330" t="s">
        <v>1083</v>
      </c>
      <c r="F332" s="330" t="s">
        <v>1084</v>
      </c>
      <c r="G332" s="331">
        <v>24</v>
      </c>
      <c r="H332" s="332" t="s">
        <v>1081</v>
      </c>
      <c r="I332" s="329" t="s">
        <v>1105</v>
      </c>
      <c r="K332" s="329" t="s">
        <v>1104</v>
      </c>
    </row>
    <row r="333" spans="1:11" hidden="1" x14ac:dyDescent="0.2">
      <c r="A333" s="330" t="s">
        <v>443</v>
      </c>
      <c r="B333" s="330" t="s">
        <v>444</v>
      </c>
      <c r="C333" s="330" t="s">
        <v>39</v>
      </c>
      <c r="D333" s="330" t="s">
        <v>40</v>
      </c>
      <c r="E333" s="330" t="s">
        <v>1083</v>
      </c>
      <c r="F333" s="330" t="s">
        <v>1084</v>
      </c>
      <c r="G333" s="331">
        <v>24</v>
      </c>
      <c r="H333" s="332" t="s">
        <v>1081</v>
      </c>
      <c r="I333" s="329" t="s">
        <v>1105</v>
      </c>
      <c r="K333" s="329" t="s">
        <v>1104</v>
      </c>
    </row>
    <row r="334" spans="1:11" hidden="1" x14ac:dyDescent="0.2">
      <c r="A334" s="330" t="s">
        <v>445</v>
      </c>
      <c r="B334" s="330" t="s">
        <v>446</v>
      </c>
      <c r="C334" s="330" t="s">
        <v>39</v>
      </c>
      <c r="D334" s="330" t="s">
        <v>40</v>
      </c>
      <c r="E334" s="330" t="s">
        <v>1083</v>
      </c>
      <c r="F334" s="330" t="s">
        <v>1084</v>
      </c>
      <c r="G334" s="331">
        <v>24</v>
      </c>
      <c r="H334" s="332" t="s">
        <v>1081</v>
      </c>
      <c r="I334" s="329" t="s">
        <v>1105</v>
      </c>
      <c r="K334" s="329" t="s">
        <v>1104</v>
      </c>
    </row>
    <row r="335" spans="1:11" hidden="1" x14ac:dyDescent="0.2">
      <c r="A335" s="330" t="s">
        <v>961</v>
      </c>
      <c r="B335" s="330" t="s">
        <v>962</v>
      </c>
      <c r="C335" s="330" t="s">
        <v>39</v>
      </c>
      <c r="D335" s="330" t="s">
        <v>40</v>
      </c>
      <c r="E335" s="330" t="s">
        <v>1083</v>
      </c>
      <c r="F335" s="330" t="s">
        <v>1084</v>
      </c>
      <c r="G335" s="331">
        <v>24</v>
      </c>
      <c r="H335" s="332" t="s">
        <v>1083</v>
      </c>
      <c r="I335" s="329" t="s">
        <v>1105</v>
      </c>
      <c r="K335" s="329" t="s">
        <v>1104</v>
      </c>
    </row>
    <row r="336" spans="1:11" hidden="1" x14ac:dyDescent="0.2">
      <c r="A336" s="330" t="s">
        <v>447</v>
      </c>
      <c r="B336" s="330" t="s">
        <v>448</v>
      </c>
      <c r="C336" s="330" t="s">
        <v>39</v>
      </c>
      <c r="D336" s="330" t="s">
        <v>40</v>
      </c>
      <c r="E336" s="330" t="s">
        <v>1083</v>
      </c>
      <c r="F336" s="330" t="s">
        <v>1084</v>
      </c>
      <c r="G336" s="331">
        <v>24</v>
      </c>
      <c r="H336" s="332" t="s">
        <v>1083</v>
      </c>
      <c r="I336" s="329" t="s">
        <v>1105</v>
      </c>
      <c r="K336" s="329" t="s">
        <v>1104</v>
      </c>
    </row>
    <row r="337" spans="1:11" hidden="1" x14ac:dyDescent="0.2">
      <c r="A337" s="330" t="s">
        <v>963</v>
      </c>
      <c r="B337" s="330" t="s">
        <v>964</v>
      </c>
      <c r="C337" s="330" t="s">
        <v>39</v>
      </c>
      <c r="D337" s="330" t="s">
        <v>40</v>
      </c>
      <c r="E337" s="330" t="s">
        <v>1083</v>
      </c>
      <c r="F337" s="330" t="s">
        <v>1084</v>
      </c>
      <c r="G337" s="331">
        <v>24</v>
      </c>
      <c r="H337" s="332" t="s">
        <v>1083</v>
      </c>
      <c r="I337" s="329" t="s">
        <v>1105</v>
      </c>
      <c r="K337" s="329" t="s">
        <v>1104</v>
      </c>
    </row>
    <row r="338" spans="1:11" hidden="1" x14ac:dyDescent="0.2">
      <c r="A338" s="330" t="s">
        <v>965</v>
      </c>
      <c r="B338" s="330" t="s">
        <v>966</v>
      </c>
      <c r="C338" s="330" t="s">
        <v>39</v>
      </c>
      <c r="D338" s="330" t="s">
        <v>40</v>
      </c>
      <c r="E338" s="330" t="s">
        <v>1083</v>
      </c>
      <c r="F338" s="330" t="s">
        <v>1084</v>
      </c>
      <c r="G338" s="331">
        <v>24</v>
      </c>
      <c r="H338" s="332" t="s">
        <v>1083</v>
      </c>
      <c r="I338" s="329" t="s">
        <v>1105</v>
      </c>
      <c r="K338" s="329" t="s">
        <v>1104</v>
      </c>
    </row>
    <row r="339" spans="1:11" hidden="1" x14ac:dyDescent="0.2">
      <c r="A339" s="330" t="s">
        <v>967</v>
      </c>
      <c r="B339" s="330" t="s">
        <v>968</v>
      </c>
      <c r="C339" s="330" t="s">
        <v>39</v>
      </c>
      <c r="D339" s="330" t="s">
        <v>40</v>
      </c>
      <c r="E339" s="330" t="s">
        <v>1083</v>
      </c>
      <c r="F339" s="330" t="s">
        <v>1084</v>
      </c>
      <c r="G339" s="331">
        <v>24</v>
      </c>
      <c r="H339" s="332" t="s">
        <v>1083</v>
      </c>
      <c r="I339" s="329" t="s">
        <v>1105</v>
      </c>
      <c r="K339" s="329" t="s">
        <v>1104</v>
      </c>
    </row>
    <row r="340" spans="1:11" hidden="1" x14ac:dyDescent="0.2">
      <c r="A340" s="330" t="s">
        <v>449</v>
      </c>
      <c r="B340" s="330" t="s">
        <v>450</v>
      </c>
      <c r="C340" s="330" t="s">
        <v>39</v>
      </c>
      <c r="D340" s="330" t="s">
        <v>40</v>
      </c>
      <c r="E340" s="330" t="s">
        <v>1083</v>
      </c>
      <c r="F340" s="330" t="s">
        <v>1084</v>
      </c>
      <c r="G340" s="331">
        <v>24</v>
      </c>
      <c r="H340" s="332" t="s">
        <v>1083</v>
      </c>
      <c r="I340" s="329" t="s">
        <v>1105</v>
      </c>
      <c r="K340" s="329" t="s">
        <v>1104</v>
      </c>
    </row>
    <row r="341" spans="1:11" hidden="1" x14ac:dyDescent="0.2">
      <c r="A341" s="330" t="s">
        <v>451</v>
      </c>
      <c r="B341" s="330" t="s">
        <v>452</v>
      </c>
      <c r="C341" s="330" t="s">
        <v>39</v>
      </c>
      <c r="D341" s="330" t="s">
        <v>40</v>
      </c>
      <c r="E341" s="330" t="s">
        <v>1085</v>
      </c>
      <c r="F341" s="330" t="s">
        <v>1086</v>
      </c>
      <c r="G341" s="331">
        <v>24</v>
      </c>
      <c r="H341" s="332" t="s">
        <v>1081</v>
      </c>
      <c r="I341" s="329" t="s">
        <v>1105</v>
      </c>
      <c r="K341" s="329" t="s">
        <v>1104</v>
      </c>
    </row>
    <row r="342" spans="1:11" hidden="1" x14ac:dyDescent="0.2">
      <c r="A342" s="330" t="s">
        <v>453</v>
      </c>
      <c r="B342" s="330" t="s">
        <v>454</v>
      </c>
      <c r="C342" s="330" t="s">
        <v>39</v>
      </c>
      <c r="D342" s="330" t="s">
        <v>40</v>
      </c>
      <c r="E342" s="330" t="s">
        <v>1085</v>
      </c>
      <c r="F342" s="330" t="s">
        <v>1086</v>
      </c>
      <c r="G342" s="331">
        <v>24</v>
      </c>
      <c r="H342" s="332" t="s">
        <v>1081</v>
      </c>
      <c r="I342" s="329" t="s">
        <v>1105</v>
      </c>
      <c r="K342" s="329" t="s">
        <v>1104</v>
      </c>
    </row>
    <row r="343" spans="1:11" hidden="1" x14ac:dyDescent="0.2">
      <c r="A343" s="330" t="s">
        <v>455</v>
      </c>
      <c r="B343" s="330" t="s">
        <v>456</v>
      </c>
      <c r="C343" s="330" t="s">
        <v>39</v>
      </c>
      <c r="D343" s="330" t="s">
        <v>40</v>
      </c>
      <c r="E343" s="330" t="s">
        <v>1081</v>
      </c>
      <c r="F343" s="330" t="s">
        <v>1082</v>
      </c>
      <c r="G343" s="331">
        <v>25</v>
      </c>
      <c r="H343" s="332" t="s">
        <v>1091</v>
      </c>
      <c r="I343" s="329" t="s">
        <v>1105</v>
      </c>
      <c r="K343" s="329" t="s">
        <v>1104</v>
      </c>
    </row>
    <row r="344" spans="1:11" hidden="1" x14ac:dyDescent="0.2">
      <c r="A344" s="330" t="s">
        <v>457</v>
      </c>
      <c r="B344" s="330" t="s">
        <v>458</v>
      </c>
      <c r="C344" s="330" t="s">
        <v>39</v>
      </c>
      <c r="D344" s="330" t="s">
        <v>40</v>
      </c>
      <c r="E344" s="330" t="s">
        <v>1081</v>
      </c>
      <c r="F344" s="330" t="s">
        <v>1082</v>
      </c>
      <c r="G344" s="331">
        <v>19</v>
      </c>
      <c r="H344" s="332" t="s">
        <v>1051</v>
      </c>
      <c r="I344" s="329" t="s">
        <v>1105</v>
      </c>
      <c r="K344" s="329" t="s">
        <v>1107</v>
      </c>
    </row>
    <row r="345" spans="1:11" hidden="1" x14ac:dyDescent="0.2">
      <c r="A345" s="330" t="s">
        <v>459</v>
      </c>
      <c r="B345" s="330" t="s">
        <v>460</v>
      </c>
      <c r="C345" s="330" t="s">
        <v>39</v>
      </c>
      <c r="D345" s="330" t="s">
        <v>40</v>
      </c>
      <c r="E345" s="330" t="s">
        <v>1081</v>
      </c>
      <c r="F345" s="330" t="s">
        <v>1082</v>
      </c>
      <c r="G345" s="331">
        <v>19</v>
      </c>
      <c r="H345" s="332" t="s">
        <v>1051</v>
      </c>
      <c r="I345" s="329" t="s">
        <v>1105</v>
      </c>
      <c r="K345" s="329" t="s">
        <v>1107</v>
      </c>
    </row>
    <row r="346" spans="1:11" hidden="1" x14ac:dyDescent="0.2">
      <c r="A346" s="330" t="s">
        <v>461</v>
      </c>
      <c r="B346" s="330" t="s">
        <v>462</v>
      </c>
      <c r="C346" s="330" t="s">
        <v>39</v>
      </c>
      <c r="D346" s="330" t="s">
        <v>40</v>
      </c>
      <c r="E346" s="330" t="s">
        <v>1081</v>
      </c>
      <c r="F346" s="330" t="s">
        <v>1082</v>
      </c>
      <c r="G346" s="331">
        <v>19</v>
      </c>
      <c r="H346" s="332" t="s">
        <v>1051</v>
      </c>
      <c r="I346" s="329" t="s">
        <v>1105</v>
      </c>
      <c r="K346" s="329" t="s">
        <v>1107</v>
      </c>
    </row>
    <row r="347" spans="1:11" hidden="1" x14ac:dyDescent="0.2">
      <c r="A347" s="330" t="s">
        <v>463</v>
      </c>
      <c r="B347" s="330" t="s">
        <v>464</v>
      </c>
      <c r="C347" s="330" t="s">
        <v>39</v>
      </c>
      <c r="D347" s="330" t="s">
        <v>40</v>
      </c>
      <c r="E347" s="330" t="s">
        <v>1081</v>
      </c>
      <c r="F347" s="330" t="s">
        <v>1082</v>
      </c>
      <c r="G347" s="331">
        <v>19</v>
      </c>
      <c r="H347" s="332" t="s">
        <v>1051</v>
      </c>
      <c r="I347" s="329" t="s">
        <v>1105</v>
      </c>
      <c r="K347" s="329" t="s">
        <v>1107</v>
      </c>
    </row>
    <row r="348" spans="1:11" hidden="1" x14ac:dyDescent="0.2">
      <c r="A348" s="330" t="s">
        <v>465</v>
      </c>
      <c r="B348" s="330" t="s">
        <v>466</v>
      </c>
      <c r="C348" s="330" t="s">
        <v>39</v>
      </c>
      <c r="D348" s="330" t="s">
        <v>40</v>
      </c>
      <c r="E348" s="330" t="s">
        <v>1081</v>
      </c>
      <c r="F348" s="330" t="s">
        <v>1082</v>
      </c>
      <c r="G348" s="331">
        <v>19</v>
      </c>
      <c r="H348" s="332" t="s">
        <v>1051</v>
      </c>
      <c r="I348" s="329" t="s">
        <v>1105</v>
      </c>
      <c r="K348" s="329" t="s">
        <v>1107</v>
      </c>
    </row>
    <row r="349" spans="1:11" hidden="1" x14ac:dyDescent="0.2">
      <c r="A349" s="330" t="s">
        <v>467</v>
      </c>
      <c r="B349" s="330" t="s">
        <v>468</v>
      </c>
      <c r="C349" s="330" t="s">
        <v>39</v>
      </c>
      <c r="D349" s="330" t="s">
        <v>40</v>
      </c>
      <c r="E349" s="330" t="s">
        <v>1081</v>
      </c>
      <c r="F349" s="330" t="s">
        <v>1082</v>
      </c>
      <c r="G349" s="331">
        <v>19</v>
      </c>
      <c r="H349" s="332" t="s">
        <v>1051</v>
      </c>
      <c r="I349" s="329" t="s">
        <v>1105</v>
      </c>
      <c r="K349" s="329" t="s">
        <v>1107</v>
      </c>
    </row>
    <row r="350" spans="1:11" hidden="1" x14ac:dyDescent="0.2">
      <c r="A350" s="330" t="s">
        <v>469</v>
      </c>
      <c r="B350" s="330" t="s">
        <v>470</v>
      </c>
      <c r="C350" s="330" t="s">
        <v>39</v>
      </c>
      <c r="D350" s="330" t="s">
        <v>40</v>
      </c>
      <c r="E350" s="330" t="s">
        <v>1081</v>
      </c>
      <c r="F350" s="330" t="s">
        <v>1082</v>
      </c>
      <c r="G350" s="331">
        <v>19</v>
      </c>
      <c r="H350" s="332" t="s">
        <v>1051</v>
      </c>
      <c r="I350" s="329" t="s">
        <v>1105</v>
      </c>
      <c r="K350" s="329" t="s">
        <v>1107</v>
      </c>
    </row>
    <row r="351" spans="1:11" hidden="1" x14ac:dyDescent="0.2">
      <c r="A351" s="330" t="s">
        <v>471</v>
      </c>
      <c r="B351" s="330" t="s">
        <v>472</v>
      </c>
      <c r="C351" s="330" t="s">
        <v>39</v>
      </c>
      <c r="D351" s="330" t="s">
        <v>40</v>
      </c>
      <c r="E351" s="330" t="s">
        <v>1081</v>
      </c>
      <c r="F351" s="330" t="s">
        <v>1082</v>
      </c>
      <c r="G351" s="331">
        <v>19</v>
      </c>
      <c r="H351" s="332" t="s">
        <v>1051</v>
      </c>
      <c r="I351" s="329" t="s">
        <v>1105</v>
      </c>
      <c r="K351" s="329" t="s">
        <v>1107</v>
      </c>
    </row>
    <row r="352" spans="1:11" hidden="1" x14ac:dyDescent="0.2">
      <c r="A352" s="330" t="s">
        <v>473</v>
      </c>
      <c r="B352" s="330" t="s">
        <v>474</v>
      </c>
      <c r="C352" s="330" t="s">
        <v>39</v>
      </c>
      <c r="D352" s="330" t="s">
        <v>40</v>
      </c>
      <c r="E352" s="330" t="s">
        <v>1081</v>
      </c>
      <c r="F352" s="330" t="s">
        <v>1082</v>
      </c>
      <c r="G352" s="331">
        <v>19</v>
      </c>
      <c r="H352" s="332" t="s">
        <v>1051</v>
      </c>
      <c r="I352" s="329" t="s">
        <v>1105</v>
      </c>
      <c r="K352" s="329" t="s">
        <v>1107</v>
      </c>
    </row>
    <row r="353" spans="1:11" hidden="1" x14ac:dyDescent="0.2">
      <c r="A353" s="330" t="s">
        <v>475</v>
      </c>
      <c r="B353" s="330" t="s">
        <v>476</v>
      </c>
      <c r="C353" s="330" t="s">
        <v>39</v>
      </c>
      <c r="D353" s="330" t="s">
        <v>40</v>
      </c>
      <c r="E353" s="330" t="s">
        <v>1083</v>
      </c>
      <c r="F353" s="330" t="s">
        <v>1084</v>
      </c>
      <c r="G353" s="331">
        <v>24</v>
      </c>
      <c r="H353" s="332" t="s">
        <v>1083</v>
      </c>
      <c r="I353" s="329" t="s">
        <v>1105</v>
      </c>
      <c r="K353" s="329" t="s">
        <v>1104</v>
      </c>
    </row>
    <row r="354" spans="1:11" hidden="1" x14ac:dyDescent="0.2">
      <c r="A354" s="330" t="s">
        <v>477</v>
      </c>
      <c r="B354" s="330" t="s">
        <v>478</v>
      </c>
      <c r="C354" s="330" t="s">
        <v>39</v>
      </c>
      <c r="D354" s="330" t="s">
        <v>40</v>
      </c>
      <c r="E354" s="330" t="s">
        <v>1083</v>
      </c>
      <c r="F354" s="330" t="s">
        <v>1084</v>
      </c>
      <c r="G354" s="331">
        <v>24</v>
      </c>
      <c r="H354" s="332" t="s">
        <v>1083</v>
      </c>
      <c r="I354" s="329" t="s">
        <v>1105</v>
      </c>
      <c r="K354" s="329" t="s">
        <v>1104</v>
      </c>
    </row>
    <row r="355" spans="1:11" hidden="1" x14ac:dyDescent="0.2">
      <c r="A355" s="330" t="s">
        <v>479</v>
      </c>
      <c r="B355" s="330" t="s">
        <v>480</v>
      </c>
      <c r="C355" s="330" t="s">
        <v>39</v>
      </c>
      <c r="D355" s="330" t="s">
        <v>40</v>
      </c>
      <c r="E355" s="330" t="s">
        <v>1083</v>
      </c>
      <c r="F355" s="330" t="s">
        <v>1084</v>
      </c>
      <c r="G355" s="331">
        <v>24</v>
      </c>
      <c r="H355" s="332" t="s">
        <v>1083</v>
      </c>
      <c r="I355" s="329" t="s">
        <v>1105</v>
      </c>
      <c r="K355" s="329" t="s">
        <v>1107</v>
      </c>
    </row>
    <row r="356" spans="1:11" hidden="1" x14ac:dyDescent="0.2">
      <c r="A356" s="330" t="s">
        <v>481</v>
      </c>
      <c r="B356" s="330" t="s">
        <v>482</v>
      </c>
      <c r="C356" s="330" t="s">
        <v>39</v>
      </c>
      <c r="D356" s="330" t="s">
        <v>40</v>
      </c>
      <c r="E356" s="330" t="s">
        <v>1083</v>
      </c>
      <c r="F356" s="330" t="s">
        <v>1084</v>
      </c>
      <c r="G356" s="331">
        <v>24</v>
      </c>
      <c r="H356" s="332" t="s">
        <v>1083</v>
      </c>
      <c r="I356" s="329" t="s">
        <v>1105</v>
      </c>
      <c r="K356" s="329" t="s">
        <v>1104</v>
      </c>
    </row>
    <row r="357" spans="1:11" hidden="1" x14ac:dyDescent="0.2">
      <c r="A357" s="330" t="s">
        <v>483</v>
      </c>
      <c r="B357" s="330" t="s">
        <v>484</v>
      </c>
      <c r="C357" s="330" t="s">
        <v>39</v>
      </c>
      <c r="D357" s="330" t="s">
        <v>40</v>
      </c>
      <c r="E357" s="330" t="s">
        <v>1083</v>
      </c>
      <c r="F357" s="330" t="s">
        <v>1084</v>
      </c>
      <c r="G357" s="331">
        <v>24</v>
      </c>
      <c r="H357" s="332" t="s">
        <v>1083</v>
      </c>
      <c r="I357" s="329" t="s">
        <v>1105</v>
      </c>
      <c r="K357" s="329" t="s">
        <v>1107</v>
      </c>
    </row>
    <row r="358" spans="1:11" hidden="1" x14ac:dyDescent="0.2">
      <c r="A358" s="330" t="s">
        <v>485</v>
      </c>
      <c r="B358" s="330" t="s">
        <v>486</v>
      </c>
      <c r="C358" s="330" t="s">
        <v>39</v>
      </c>
      <c r="D358" s="330" t="s">
        <v>40</v>
      </c>
      <c r="E358" s="330" t="s">
        <v>1083</v>
      </c>
      <c r="F358" s="330" t="s">
        <v>1084</v>
      </c>
      <c r="G358" s="331">
        <v>24</v>
      </c>
      <c r="H358" s="332" t="s">
        <v>1083</v>
      </c>
      <c r="I358" s="329" t="s">
        <v>1105</v>
      </c>
      <c r="K358" s="329" t="s">
        <v>1107</v>
      </c>
    </row>
    <row r="359" spans="1:11" hidden="1" x14ac:dyDescent="0.2">
      <c r="A359" s="330" t="s">
        <v>487</v>
      </c>
      <c r="B359" s="330" t="s">
        <v>488</v>
      </c>
      <c r="C359" s="330" t="s">
        <v>39</v>
      </c>
      <c r="D359" s="330" t="s">
        <v>40</v>
      </c>
      <c r="E359" s="330" t="s">
        <v>1083</v>
      </c>
      <c r="F359" s="330" t="s">
        <v>1084</v>
      </c>
      <c r="G359" s="331">
        <v>24</v>
      </c>
      <c r="H359" s="332" t="s">
        <v>1083</v>
      </c>
      <c r="I359" s="329" t="s">
        <v>1105</v>
      </c>
      <c r="K359" s="329" t="s">
        <v>1107</v>
      </c>
    </row>
    <row r="360" spans="1:11" hidden="1" x14ac:dyDescent="0.2">
      <c r="A360" s="330" t="s">
        <v>489</v>
      </c>
      <c r="B360" s="330" t="s">
        <v>490</v>
      </c>
      <c r="C360" s="330" t="s">
        <v>39</v>
      </c>
      <c r="D360" s="330" t="s">
        <v>40</v>
      </c>
      <c r="E360" s="330" t="s">
        <v>1083</v>
      </c>
      <c r="F360" s="330" t="s">
        <v>1084</v>
      </c>
      <c r="G360" s="331">
        <v>24</v>
      </c>
      <c r="H360" s="332" t="s">
        <v>1083</v>
      </c>
      <c r="I360" s="329" t="s">
        <v>1105</v>
      </c>
      <c r="K360" s="329" t="s">
        <v>1104</v>
      </c>
    </row>
    <row r="361" spans="1:11" hidden="1" x14ac:dyDescent="0.2">
      <c r="A361" s="330" t="s">
        <v>491</v>
      </c>
      <c r="B361" s="330" t="s">
        <v>492</v>
      </c>
      <c r="C361" s="330" t="s">
        <v>39</v>
      </c>
      <c r="D361" s="330" t="s">
        <v>40</v>
      </c>
      <c r="E361" s="330" t="s">
        <v>1083</v>
      </c>
      <c r="F361" s="330" t="s">
        <v>1084</v>
      </c>
      <c r="G361" s="331">
        <v>24</v>
      </c>
      <c r="H361" s="332" t="s">
        <v>1085</v>
      </c>
      <c r="I361" s="329" t="s">
        <v>1105</v>
      </c>
      <c r="K361" s="329" t="s">
        <v>1104</v>
      </c>
    </row>
    <row r="362" spans="1:11" hidden="1" x14ac:dyDescent="0.2">
      <c r="A362" s="330" t="s">
        <v>493</v>
      </c>
      <c r="B362" s="330" t="s">
        <v>494</v>
      </c>
      <c r="C362" s="330" t="s">
        <v>39</v>
      </c>
      <c r="D362" s="330" t="s">
        <v>40</v>
      </c>
      <c r="E362" s="330" t="s">
        <v>1083</v>
      </c>
      <c r="F362" s="330" t="s">
        <v>1084</v>
      </c>
      <c r="G362" s="331">
        <v>24</v>
      </c>
      <c r="H362" s="332" t="s">
        <v>1085</v>
      </c>
      <c r="I362" s="329" t="s">
        <v>1105</v>
      </c>
      <c r="K362" s="329" t="s">
        <v>1104</v>
      </c>
    </row>
    <row r="363" spans="1:11" hidden="1" x14ac:dyDescent="0.2">
      <c r="A363" s="330" t="s">
        <v>495</v>
      </c>
      <c r="B363" s="330" t="s">
        <v>496</v>
      </c>
      <c r="C363" s="330" t="s">
        <v>39</v>
      </c>
      <c r="D363" s="330" t="s">
        <v>40</v>
      </c>
      <c r="E363" s="330" t="s">
        <v>1085</v>
      </c>
      <c r="F363" s="330" t="s">
        <v>1086</v>
      </c>
      <c r="G363" s="331">
        <v>24</v>
      </c>
      <c r="H363" s="332" t="s">
        <v>1081</v>
      </c>
      <c r="I363" s="329" t="s">
        <v>1105</v>
      </c>
      <c r="K363" s="329" t="s">
        <v>1104</v>
      </c>
    </row>
    <row r="364" spans="1:11" hidden="1" x14ac:dyDescent="0.2">
      <c r="A364" s="330" t="s">
        <v>497</v>
      </c>
      <c r="B364" s="330" t="s">
        <v>498</v>
      </c>
      <c r="C364" s="330" t="s">
        <v>39</v>
      </c>
      <c r="D364" s="330" t="s">
        <v>40</v>
      </c>
      <c r="E364" s="330" t="s">
        <v>1085</v>
      </c>
      <c r="F364" s="330" t="s">
        <v>1086</v>
      </c>
      <c r="G364" s="331">
        <v>24</v>
      </c>
      <c r="H364" s="332" t="s">
        <v>1081</v>
      </c>
      <c r="I364" s="329" t="s">
        <v>1105</v>
      </c>
      <c r="K364" s="329" t="s">
        <v>1104</v>
      </c>
    </row>
    <row r="365" spans="1:11" hidden="1" x14ac:dyDescent="0.2">
      <c r="A365" s="330" t="s">
        <v>499</v>
      </c>
      <c r="B365" s="330" t="s">
        <v>500</v>
      </c>
      <c r="C365" s="330" t="s">
        <v>39</v>
      </c>
      <c r="D365" s="330" t="s">
        <v>40</v>
      </c>
      <c r="E365" s="330" t="s">
        <v>1081</v>
      </c>
      <c r="F365" s="330" t="s">
        <v>1082</v>
      </c>
      <c r="G365" s="331">
        <v>19</v>
      </c>
      <c r="H365" s="332" t="s">
        <v>1051</v>
      </c>
      <c r="I365" s="329" t="s">
        <v>1105</v>
      </c>
      <c r="K365" s="329" t="s">
        <v>1107</v>
      </c>
    </row>
    <row r="366" spans="1:11" hidden="1" x14ac:dyDescent="0.2">
      <c r="A366" s="330" t="s">
        <v>501</v>
      </c>
      <c r="B366" s="330" t="s">
        <v>502</v>
      </c>
      <c r="C366" s="330" t="s">
        <v>39</v>
      </c>
      <c r="D366" s="330" t="s">
        <v>40</v>
      </c>
      <c r="E366" s="330" t="s">
        <v>1081</v>
      </c>
      <c r="F366" s="330" t="s">
        <v>1082</v>
      </c>
      <c r="G366" s="331">
        <v>24</v>
      </c>
      <c r="H366" s="332" t="s">
        <v>1081</v>
      </c>
      <c r="I366" s="329" t="s">
        <v>1105</v>
      </c>
      <c r="K366" s="329" t="s">
        <v>1104</v>
      </c>
    </row>
    <row r="367" spans="1:11" hidden="1" x14ac:dyDescent="0.2">
      <c r="A367" s="330" t="s">
        <v>521</v>
      </c>
      <c r="B367" s="330" t="s">
        <v>522</v>
      </c>
      <c r="C367" s="330" t="s">
        <v>41</v>
      </c>
      <c r="D367" s="330" t="s">
        <v>42</v>
      </c>
      <c r="E367" s="330" t="s">
        <v>1093</v>
      </c>
      <c r="F367" s="330" t="s">
        <v>1094</v>
      </c>
      <c r="G367" s="331">
        <v>164</v>
      </c>
      <c r="H367" s="332" t="s">
        <v>1095</v>
      </c>
      <c r="I367" s="329" t="s">
        <v>1105</v>
      </c>
      <c r="K367" s="329" t="s">
        <v>1104</v>
      </c>
    </row>
    <row r="368" spans="1:11" hidden="1" x14ac:dyDescent="0.2">
      <c r="A368" s="330" t="s">
        <v>523</v>
      </c>
      <c r="B368" s="330" t="s">
        <v>524</v>
      </c>
      <c r="C368" s="330" t="s">
        <v>41</v>
      </c>
      <c r="D368" s="330" t="s">
        <v>42</v>
      </c>
      <c r="E368" s="330" t="s">
        <v>1093</v>
      </c>
      <c r="F368" s="330" t="s">
        <v>1094</v>
      </c>
      <c r="G368" s="331">
        <v>164</v>
      </c>
      <c r="H368" s="332" t="s">
        <v>1095</v>
      </c>
      <c r="I368" s="329" t="s">
        <v>1105</v>
      </c>
      <c r="K368" s="329" t="s">
        <v>1104</v>
      </c>
    </row>
    <row r="369" spans="1:11" hidden="1" x14ac:dyDescent="0.2">
      <c r="A369" s="330" t="s">
        <v>969</v>
      </c>
      <c r="B369" s="330" t="s">
        <v>970</v>
      </c>
      <c r="C369" s="330" t="s">
        <v>41</v>
      </c>
      <c r="D369" s="330" t="s">
        <v>42</v>
      </c>
      <c r="E369" s="330" t="s">
        <v>1093</v>
      </c>
      <c r="F369" s="330" t="s">
        <v>1094</v>
      </c>
      <c r="G369" s="331">
        <v>164</v>
      </c>
      <c r="H369" s="332" t="s">
        <v>1095</v>
      </c>
      <c r="I369" s="329" t="s">
        <v>1105</v>
      </c>
      <c r="K369" s="329" t="s">
        <v>1104</v>
      </c>
    </row>
    <row r="370" spans="1:11" hidden="1" x14ac:dyDescent="0.2">
      <c r="A370" s="330" t="s">
        <v>525</v>
      </c>
      <c r="B370" s="330" t="s">
        <v>1201</v>
      </c>
      <c r="C370" s="330" t="s">
        <v>732</v>
      </c>
      <c r="D370" s="330" t="s">
        <v>733</v>
      </c>
      <c r="E370" s="330" t="s">
        <v>1095</v>
      </c>
      <c r="F370" s="330" t="s">
        <v>1096</v>
      </c>
      <c r="G370" s="331">
        <v>24</v>
      </c>
      <c r="H370" s="332" t="s">
        <v>1081</v>
      </c>
      <c r="I370" s="329" t="s">
        <v>1105</v>
      </c>
      <c r="K370" s="329" t="s">
        <v>1104</v>
      </c>
    </row>
    <row r="371" spans="1:11" hidden="1" x14ac:dyDescent="0.2">
      <c r="A371" s="330" t="s">
        <v>526</v>
      </c>
      <c r="B371" s="330" t="s">
        <v>527</v>
      </c>
      <c r="C371" s="330" t="s">
        <v>732</v>
      </c>
      <c r="D371" s="330" t="s">
        <v>733</v>
      </c>
      <c r="E371" s="330" t="s">
        <v>1095</v>
      </c>
      <c r="F371" s="330" t="s">
        <v>1096</v>
      </c>
      <c r="G371" s="331">
        <v>24</v>
      </c>
      <c r="H371" s="332" t="s">
        <v>1081</v>
      </c>
      <c r="I371" s="329" t="s">
        <v>1105</v>
      </c>
      <c r="K371" s="329" t="s">
        <v>1104</v>
      </c>
    </row>
    <row r="372" spans="1:11" hidden="1" x14ac:dyDescent="0.2">
      <c r="A372" s="330" t="s">
        <v>528</v>
      </c>
      <c r="B372" s="330" t="s">
        <v>529</v>
      </c>
      <c r="C372" s="330" t="s">
        <v>732</v>
      </c>
      <c r="D372" s="330" t="s">
        <v>733</v>
      </c>
      <c r="E372" s="330" t="s">
        <v>1095</v>
      </c>
      <c r="F372" s="330" t="s">
        <v>1096</v>
      </c>
      <c r="G372" s="331">
        <v>24</v>
      </c>
      <c r="H372" s="332" t="s">
        <v>1081</v>
      </c>
      <c r="I372" s="329" t="s">
        <v>1105</v>
      </c>
      <c r="K372" s="329" t="s">
        <v>1104</v>
      </c>
    </row>
    <row r="373" spans="1:11" hidden="1" x14ac:dyDescent="0.2">
      <c r="A373" s="330" t="s">
        <v>530</v>
      </c>
      <c r="B373" s="330" t="s">
        <v>1202</v>
      </c>
      <c r="C373" s="330" t="s">
        <v>732</v>
      </c>
      <c r="D373" s="330" t="s">
        <v>733</v>
      </c>
      <c r="E373" s="330" t="s">
        <v>1095</v>
      </c>
      <c r="F373" s="330" t="s">
        <v>1096</v>
      </c>
      <c r="G373" s="331">
        <v>24</v>
      </c>
      <c r="H373" s="332" t="s">
        <v>1081</v>
      </c>
      <c r="I373" s="329" t="s">
        <v>1105</v>
      </c>
      <c r="K373" s="329" t="s">
        <v>1104</v>
      </c>
    </row>
    <row r="374" spans="1:11" hidden="1" x14ac:dyDescent="0.2">
      <c r="A374" s="330" t="s">
        <v>531</v>
      </c>
      <c r="B374" s="330" t="s">
        <v>1203</v>
      </c>
      <c r="C374" s="330" t="s">
        <v>732</v>
      </c>
      <c r="D374" s="330" t="s">
        <v>733</v>
      </c>
      <c r="E374" s="330" t="s">
        <v>1095</v>
      </c>
      <c r="F374" s="330" t="s">
        <v>1096</v>
      </c>
      <c r="G374" s="331">
        <v>24</v>
      </c>
      <c r="H374" s="332" t="s">
        <v>1081</v>
      </c>
      <c r="I374" s="329" t="s">
        <v>1105</v>
      </c>
      <c r="K374" s="329" t="s">
        <v>1104</v>
      </c>
    </row>
    <row r="375" spans="1:11" hidden="1" x14ac:dyDescent="0.2">
      <c r="A375" s="330" t="s">
        <v>971</v>
      </c>
      <c r="B375" s="330" t="s">
        <v>972</v>
      </c>
      <c r="C375" s="330" t="s">
        <v>732</v>
      </c>
      <c r="D375" s="330" t="s">
        <v>733</v>
      </c>
      <c r="E375" s="330" t="s">
        <v>1095</v>
      </c>
      <c r="F375" s="330" t="s">
        <v>1096</v>
      </c>
      <c r="G375" s="331">
        <v>24</v>
      </c>
      <c r="H375" s="332" t="s">
        <v>1081</v>
      </c>
      <c r="I375" s="329" t="s">
        <v>1105</v>
      </c>
      <c r="K375" s="329" t="s">
        <v>1104</v>
      </c>
    </row>
    <row r="376" spans="1:11" hidden="1" x14ac:dyDescent="0.2">
      <c r="A376" s="330" t="s">
        <v>532</v>
      </c>
      <c r="B376" s="330" t="s">
        <v>1204</v>
      </c>
      <c r="C376" s="330" t="s">
        <v>732</v>
      </c>
      <c r="D376" s="330" t="s">
        <v>733</v>
      </c>
      <c r="E376" s="330" t="s">
        <v>1095</v>
      </c>
      <c r="F376" s="330" t="s">
        <v>1096</v>
      </c>
      <c r="G376" s="331">
        <v>24</v>
      </c>
      <c r="H376" s="332" t="s">
        <v>1083</v>
      </c>
      <c r="I376" s="329" t="s">
        <v>1105</v>
      </c>
      <c r="K376" s="329" t="s">
        <v>1104</v>
      </c>
    </row>
    <row r="377" spans="1:11" hidden="1" x14ac:dyDescent="0.2">
      <c r="A377" s="330" t="s">
        <v>533</v>
      </c>
      <c r="B377" s="330" t="s">
        <v>1205</v>
      </c>
      <c r="C377" s="330" t="s">
        <v>732</v>
      </c>
      <c r="D377" s="330" t="s">
        <v>733</v>
      </c>
      <c r="E377" s="330" t="s">
        <v>1095</v>
      </c>
      <c r="F377" s="330" t="s">
        <v>1096</v>
      </c>
      <c r="G377" s="331">
        <v>24</v>
      </c>
      <c r="H377" s="332" t="s">
        <v>1083</v>
      </c>
      <c r="I377" s="329" t="s">
        <v>1105</v>
      </c>
      <c r="K377" s="329" t="s">
        <v>1104</v>
      </c>
    </row>
    <row r="378" spans="1:11" hidden="1" x14ac:dyDescent="0.2">
      <c r="A378" s="330" t="s">
        <v>534</v>
      </c>
      <c r="B378" s="330" t="s">
        <v>1206</v>
      </c>
      <c r="C378" s="330" t="s">
        <v>732</v>
      </c>
      <c r="D378" s="330" t="s">
        <v>733</v>
      </c>
      <c r="E378" s="330" t="s">
        <v>1095</v>
      </c>
      <c r="F378" s="330" t="s">
        <v>1096</v>
      </c>
      <c r="G378" s="331">
        <v>24</v>
      </c>
      <c r="H378" s="332" t="s">
        <v>1083</v>
      </c>
      <c r="I378" s="329" t="s">
        <v>1105</v>
      </c>
      <c r="K378" s="329" t="s">
        <v>1104</v>
      </c>
    </row>
    <row r="379" spans="1:11" hidden="1" x14ac:dyDescent="0.2">
      <c r="A379" s="330" t="s">
        <v>535</v>
      </c>
      <c r="B379" s="330" t="s">
        <v>1207</v>
      </c>
      <c r="C379" s="330" t="s">
        <v>732</v>
      </c>
      <c r="D379" s="330" t="s">
        <v>733</v>
      </c>
      <c r="E379" s="330" t="s">
        <v>1095</v>
      </c>
      <c r="F379" s="330" t="s">
        <v>1096</v>
      </c>
      <c r="G379" s="331">
        <v>24</v>
      </c>
      <c r="H379" s="332" t="s">
        <v>1083</v>
      </c>
      <c r="I379" s="329" t="s">
        <v>1105</v>
      </c>
      <c r="K379" s="329" t="s">
        <v>1104</v>
      </c>
    </row>
    <row r="380" spans="1:11" hidden="1" x14ac:dyDescent="0.2">
      <c r="A380" s="330" t="s">
        <v>536</v>
      </c>
      <c r="B380" s="330" t="s">
        <v>1208</v>
      </c>
      <c r="C380" s="330" t="s">
        <v>732</v>
      </c>
      <c r="D380" s="330" t="s">
        <v>733</v>
      </c>
      <c r="E380" s="330" t="s">
        <v>1095</v>
      </c>
      <c r="F380" s="330" t="s">
        <v>1096</v>
      </c>
      <c r="G380" s="331">
        <v>24</v>
      </c>
      <c r="H380" s="332" t="s">
        <v>1083</v>
      </c>
      <c r="I380" s="329" t="s">
        <v>1105</v>
      </c>
      <c r="K380" s="329" t="s">
        <v>1104</v>
      </c>
    </row>
    <row r="381" spans="1:11" hidden="1" x14ac:dyDescent="0.2">
      <c r="A381" s="330" t="s">
        <v>537</v>
      </c>
      <c r="B381" s="330" t="s">
        <v>1209</v>
      </c>
      <c r="C381" s="330" t="s">
        <v>732</v>
      </c>
      <c r="D381" s="330" t="s">
        <v>733</v>
      </c>
      <c r="E381" s="330" t="s">
        <v>1095</v>
      </c>
      <c r="F381" s="330" t="s">
        <v>1096</v>
      </c>
      <c r="G381" s="331">
        <v>24</v>
      </c>
      <c r="H381" s="332" t="s">
        <v>1083</v>
      </c>
      <c r="I381" s="329" t="s">
        <v>1105</v>
      </c>
      <c r="K381" s="329" t="s">
        <v>1104</v>
      </c>
    </row>
    <row r="382" spans="1:11" hidden="1" x14ac:dyDescent="0.2">
      <c r="A382" s="330" t="s">
        <v>538</v>
      </c>
      <c r="B382" s="330" t="s">
        <v>1210</v>
      </c>
      <c r="C382" s="330" t="s">
        <v>732</v>
      </c>
      <c r="D382" s="330" t="s">
        <v>733</v>
      </c>
      <c r="E382" s="330" t="s">
        <v>1095</v>
      </c>
      <c r="F382" s="330" t="s">
        <v>1096</v>
      </c>
      <c r="G382" s="331">
        <v>24</v>
      </c>
      <c r="H382" s="332" t="s">
        <v>1083</v>
      </c>
      <c r="I382" s="329" t="s">
        <v>1105</v>
      </c>
      <c r="K382" s="329" t="s">
        <v>1104</v>
      </c>
    </row>
    <row r="383" spans="1:11" hidden="1" x14ac:dyDescent="0.2">
      <c r="A383" s="330" t="s">
        <v>539</v>
      </c>
      <c r="B383" s="330" t="s">
        <v>1211</v>
      </c>
      <c r="C383" s="330" t="s">
        <v>732</v>
      </c>
      <c r="D383" s="330" t="s">
        <v>733</v>
      </c>
      <c r="E383" s="330" t="s">
        <v>1095</v>
      </c>
      <c r="F383" s="330" t="s">
        <v>1096</v>
      </c>
      <c r="G383" s="331">
        <v>24</v>
      </c>
      <c r="H383" s="332" t="s">
        <v>1083</v>
      </c>
      <c r="I383" s="329" t="s">
        <v>1105</v>
      </c>
      <c r="K383" s="329" t="s">
        <v>1104</v>
      </c>
    </row>
    <row r="384" spans="1:11" hidden="1" x14ac:dyDescent="0.2">
      <c r="A384" s="330" t="s">
        <v>540</v>
      </c>
      <c r="B384" s="330" t="s">
        <v>1212</v>
      </c>
      <c r="C384" s="330" t="s">
        <v>732</v>
      </c>
      <c r="D384" s="330" t="s">
        <v>733</v>
      </c>
      <c r="E384" s="330" t="s">
        <v>1095</v>
      </c>
      <c r="F384" s="330" t="s">
        <v>1096</v>
      </c>
      <c r="G384" s="331">
        <v>24</v>
      </c>
      <c r="H384" s="332" t="s">
        <v>1083</v>
      </c>
      <c r="I384" s="329" t="s">
        <v>1105</v>
      </c>
      <c r="K384" s="329" t="s">
        <v>1104</v>
      </c>
    </row>
    <row r="385" spans="1:11" hidden="1" x14ac:dyDescent="0.2">
      <c r="A385" s="330" t="s">
        <v>541</v>
      </c>
      <c r="B385" s="330" t="s">
        <v>1213</v>
      </c>
      <c r="C385" s="330" t="s">
        <v>732</v>
      </c>
      <c r="D385" s="330" t="s">
        <v>733</v>
      </c>
      <c r="E385" s="330" t="s">
        <v>1095</v>
      </c>
      <c r="F385" s="330" t="s">
        <v>1096</v>
      </c>
      <c r="G385" s="331">
        <v>24</v>
      </c>
      <c r="H385" s="332" t="s">
        <v>1083</v>
      </c>
      <c r="I385" s="329" t="s">
        <v>1105</v>
      </c>
      <c r="K385" s="329" t="s">
        <v>1104</v>
      </c>
    </row>
    <row r="386" spans="1:11" hidden="1" x14ac:dyDescent="0.2">
      <c r="A386" s="330" t="s">
        <v>542</v>
      </c>
      <c r="B386" s="330" t="s">
        <v>543</v>
      </c>
      <c r="C386" s="330" t="s">
        <v>732</v>
      </c>
      <c r="D386" s="330" t="s">
        <v>733</v>
      </c>
      <c r="E386" s="330" t="s">
        <v>1095</v>
      </c>
      <c r="F386" s="330" t="s">
        <v>1096</v>
      </c>
      <c r="G386" s="331">
        <v>24</v>
      </c>
      <c r="H386" s="332" t="s">
        <v>1085</v>
      </c>
      <c r="I386" s="329" t="s">
        <v>1105</v>
      </c>
      <c r="K386" s="329" t="s">
        <v>1104</v>
      </c>
    </row>
    <row r="387" spans="1:11" hidden="1" x14ac:dyDescent="0.2">
      <c r="A387" s="330" t="s">
        <v>544</v>
      </c>
      <c r="B387" s="330" t="s">
        <v>545</v>
      </c>
      <c r="C387" s="330" t="s">
        <v>732</v>
      </c>
      <c r="D387" s="330" t="s">
        <v>733</v>
      </c>
      <c r="E387" s="330" t="s">
        <v>1095</v>
      </c>
      <c r="F387" s="330" t="s">
        <v>1096</v>
      </c>
      <c r="G387" s="331">
        <v>24</v>
      </c>
      <c r="H387" s="332" t="s">
        <v>1085</v>
      </c>
      <c r="I387" s="329" t="s">
        <v>1105</v>
      </c>
      <c r="K387" s="329" t="s">
        <v>1104</v>
      </c>
    </row>
    <row r="388" spans="1:11" hidden="1" x14ac:dyDescent="0.2">
      <c r="A388" s="330" t="s">
        <v>546</v>
      </c>
      <c r="B388" s="330" t="s">
        <v>1214</v>
      </c>
      <c r="C388" s="330" t="s">
        <v>732</v>
      </c>
      <c r="D388" s="330" t="s">
        <v>733</v>
      </c>
      <c r="E388" s="330" t="s">
        <v>1095</v>
      </c>
      <c r="F388" s="330" t="s">
        <v>1096</v>
      </c>
      <c r="G388" s="331">
        <v>24</v>
      </c>
      <c r="H388" s="332" t="s">
        <v>1081</v>
      </c>
      <c r="I388" s="329" t="s">
        <v>1105</v>
      </c>
      <c r="K388" s="329" t="s">
        <v>1104</v>
      </c>
    </row>
    <row r="389" spans="1:11" hidden="1" x14ac:dyDescent="0.2">
      <c r="A389" s="330" t="s">
        <v>547</v>
      </c>
      <c r="B389" s="330" t="s">
        <v>1215</v>
      </c>
      <c r="C389" s="330" t="s">
        <v>732</v>
      </c>
      <c r="D389" s="330" t="s">
        <v>733</v>
      </c>
      <c r="E389" s="330" t="s">
        <v>1095</v>
      </c>
      <c r="F389" s="330" t="s">
        <v>1096</v>
      </c>
      <c r="G389" s="331">
        <v>24</v>
      </c>
      <c r="H389" s="332" t="s">
        <v>1081</v>
      </c>
      <c r="I389" s="329" t="s">
        <v>1105</v>
      </c>
      <c r="K389" s="329" t="s">
        <v>1104</v>
      </c>
    </row>
    <row r="390" spans="1:11" hidden="1" x14ac:dyDescent="0.2">
      <c r="A390" s="330" t="s">
        <v>973</v>
      </c>
      <c r="B390" s="330" t="s">
        <v>974</v>
      </c>
      <c r="C390" s="330" t="s">
        <v>732</v>
      </c>
      <c r="D390" s="330" t="s">
        <v>733</v>
      </c>
      <c r="E390" s="330" t="s">
        <v>1095</v>
      </c>
      <c r="F390" s="330" t="s">
        <v>1096</v>
      </c>
      <c r="G390" s="331">
        <v>25</v>
      </c>
      <c r="H390" s="332" t="s">
        <v>1093</v>
      </c>
      <c r="I390" s="329" t="s">
        <v>1105</v>
      </c>
      <c r="K390" s="329" t="s">
        <v>1104</v>
      </c>
    </row>
    <row r="391" spans="1:11" hidden="1" x14ac:dyDescent="0.2">
      <c r="A391" s="330" t="s">
        <v>548</v>
      </c>
      <c r="B391" s="330" t="s">
        <v>1216</v>
      </c>
      <c r="C391" s="330" t="s">
        <v>732</v>
      </c>
      <c r="D391" s="330" t="s">
        <v>733</v>
      </c>
      <c r="E391" s="330" t="s">
        <v>1095</v>
      </c>
      <c r="F391" s="330" t="s">
        <v>1096</v>
      </c>
      <c r="G391" s="331">
        <v>25</v>
      </c>
      <c r="H391" s="332" t="s">
        <v>1093</v>
      </c>
      <c r="I391" s="329" t="s">
        <v>1105</v>
      </c>
      <c r="K391" s="329" t="s">
        <v>1104</v>
      </c>
    </row>
    <row r="392" spans="1:11" hidden="1" x14ac:dyDescent="0.2">
      <c r="A392" s="330" t="s">
        <v>549</v>
      </c>
      <c r="B392" s="330" t="s">
        <v>1217</v>
      </c>
      <c r="C392" s="330" t="s">
        <v>732</v>
      </c>
      <c r="D392" s="330" t="s">
        <v>733</v>
      </c>
      <c r="E392" s="330" t="s">
        <v>1095</v>
      </c>
      <c r="F392" s="330" t="s">
        <v>1096</v>
      </c>
      <c r="G392" s="331">
        <v>25</v>
      </c>
      <c r="H392" s="332" t="s">
        <v>1093</v>
      </c>
      <c r="I392" s="329" t="s">
        <v>1105</v>
      </c>
      <c r="K392" s="329" t="s">
        <v>1107</v>
      </c>
    </row>
    <row r="393" spans="1:11" hidden="1" x14ac:dyDescent="0.2">
      <c r="A393" s="330" t="s">
        <v>550</v>
      </c>
      <c r="B393" s="330" t="s">
        <v>1218</v>
      </c>
      <c r="C393" s="330" t="s">
        <v>732</v>
      </c>
      <c r="D393" s="330" t="s">
        <v>733</v>
      </c>
      <c r="E393" s="330" t="s">
        <v>1095</v>
      </c>
      <c r="F393" s="330" t="s">
        <v>1096</v>
      </c>
      <c r="G393" s="331">
        <v>164</v>
      </c>
      <c r="H393" s="332" t="s">
        <v>1095</v>
      </c>
      <c r="I393" s="329" t="s">
        <v>1105</v>
      </c>
      <c r="K393" s="329" t="s">
        <v>1104</v>
      </c>
    </row>
    <row r="394" spans="1:11" hidden="1" x14ac:dyDescent="0.2">
      <c r="A394" s="330" t="s">
        <v>551</v>
      </c>
      <c r="B394" s="330" t="s">
        <v>1219</v>
      </c>
      <c r="C394" s="330" t="s">
        <v>732</v>
      </c>
      <c r="D394" s="330" t="s">
        <v>733</v>
      </c>
      <c r="E394" s="330" t="s">
        <v>1095</v>
      </c>
      <c r="F394" s="330" t="s">
        <v>1096</v>
      </c>
      <c r="G394" s="331">
        <v>164</v>
      </c>
      <c r="H394" s="332" t="s">
        <v>1095</v>
      </c>
      <c r="I394" s="329" t="s">
        <v>1105</v>
      </c>
      <c r="K394" s="329" t="s">
        <v>1104</v>
      </c>
    </row>
    <row r="395" spans="1:11" hidden="1" x14ac:dyDescent="0.2">
      <c r="A395" s="330" t="s">
        <v>552</v>
      </c>
      <c r="B395" s="330" t="s">
        <v>1220</v>
      </c>
      <c r="C395" s="330" t="s">
        <v>732</v>
      </c>
      <c r="D395" s="330" t="s">
        <v>733</v>
      </c>
      <c r="E395" s="330" t="s">
        <v>1095</v>
      </c>
      <c r="F395" s="330" t="s">
        <v>1096</v>
      </c>
      <c r="G395" s="331">
        <v>164</v>
      </c>
      <c r="H395" s="332" t="s">
        <v>1095</v>
      </c>
      <c r="I395" s="329" t="s">
        <v>1105</v>
      </c>
      <c r="K395" s="329" t="s">
        <v>1104</v>
      </c>
    </row>
    <row r="396" spans="1:11" hidden="1" x14ac:dyDescent="0.2">
      <c r="A396" s="330" t="s">
        <v>553</v>
      </c>
      <c r="B396" s="330" t="s">
        <v>1221</v>
      </c>
      <c r="C396" s="330" t="s">
        <v>732</v>
      </c>
      <c r="D396" s="330" t="s">
        <v>733</v>
      </c>
      <c r="E396" s="330" t="s">
        <v>1095</v>
      </c>
      <c r="F396" s="330" t="s">
        <v>1096</v>
      </c>
      <c r="G396" s="331">
        <v>164</v>
      </c>
      <c r="H396" s="332" t="s">
        <v>1095</v>
      </c>
      <c r="I396" s="329" t="s">
        <v>1105</v>
      </c>
      <c r="K396" s="329" t="s">
        <v>1104</v>
      </c>
    </row>
    <row r="397" spans="1:11" hidden="1" x14ac:dyDescent="0.2">
      <c r="A397" s="330" t="s">
        <v>554</v>
      </c>
      <c r="B397" s="330" t="s">
        <v>555</v>
      </c>
      <c r="C397" s="330" t="s">
        <v>41</v>
      </c>
      <c r="D397" s="330" t="s">
        <v>42</v>
      </c>
      <c r="E397" s="330" t="s">
        <v>1093</v>
      </c>
      <c r="F397" s="330" t="s">
        <v>1094</v>
      </c>
      <c r="G397" s="331">
        <v>164</v>
      </c>
      <c r="H397" s="332" t="s">
        <v>1095</v>
      </c>
      <c r="I397" s="329" t="s">
        <v>1105</v>
      </c>
      <c r="K397" s="329" t="s">
        <v>1104</v>
      </c>
    </row>
    <row r="398" spans="1:11" hidden="1" x14ac:dyDescent="0.2">
      <c r="A398" s="330" t="s">
        <v>556</v>
      </c>
      <c r="B398" s="330" t="s">
        <v>557</v>
      </c>
      <c r="C398" s="330" t="s">
        <v>41</v>
      </c>
      <c r="D398" s="330" t="s">
        <v>42</v>
      </c>
      <c r="E398" s="330" t="s">
        <v>1093</v>
      </c>
      <c r="F398" s="330" t="s">
        <v>1094</v>
      </c>
      <c r="G398" s="331">
        <v>164</v>
      </c>
      <c r="H398" s="332" t="s">
        <v>1095</v>
      </c>
      <c r="I398" s="329" t="s">
        <v>1105</v>
      </c>
      <c r="K398" s="329" t="s">
        <v>1104</v>
      </c>
    </row>
    <row r="399" spans="1:11" hidden="1" x14ac:dyDescent="0.2">
      <c r="A399" s="330" t="s">
        <v>558</v>
      </c>
      <c r="B399" s="330" t="s">
        <v>559</v>
      </c>
      <c r="C399" s="330" t="s">
        <v>41</v>
      </c>
      <c r="D399" s="330" t="s">
        <v>42</v>
      </c>
      <c r="E399" s="330" t="s">
        <v>1093</v>
      </c>
      <c r="F399" s="330" t="s">
        <v>1094</v>
      </c>
      <c r="G399" s="331">
        <v>164</v>
      </c>
      <c r="H399" s="332" t="s">
        <v>1095</v>
      </c>
      <c r="I399" s="329" t="s">
        <v>1105</v>
      </c>
      <c r="K399" s="329" t="s">
        <v>1104</v>
      </c>
    </row>
    <row r="400" spans="1:11" hidden="1" x14ac:dyDescent="0.2">
      <c r="A400" s="330" t="s">
        <v>560</v>
      </c>
      <c r="B400" s="330" t="s">
        <v>561</v>
      </c>
      <c r="C400" s="330" t="s">
        <v>41</v>
      </c>
      <c r="D400" s="330" t="s">
        <v>42</v>
      </c>
      <c r="E400" s="330" t="s">
        <v>1093</v>
      </c>
      <c r="F400" s="330" t="s">
        <v>1094</v>
      </c>
      <c r="G400" s="331">
        <v>164</v>
      </c>
      <c r="H400" s="332" t="s">
        <v>1095</v>
      </c>
      <c r="I400" s="329" t="s">
        <v>1105</v>
      </c>
      <c r="K400" s="329" t="s">
        <v>1104</v>
      </c>
    </row>
    <row r="401" spans="1:11" hidden="1" x14ac:dyDescent="0.2">
      <c r="A401" s="330" t="s">
        <v>562</v>
      </c>
      <c r="B401" s="330" t="s">
        <v>563</v>
      </c>
      <c r="C401" s="330" t="s">
        <v>41</v>
      </c>
      <c r="D401" s="330" t="s">
        <v>42</v>
      </c>
      <c r="E401" s="330" t="s">
        <v>1093</v>
      </c>
      <c r="F401" s="330" t="s">
        <v>1094</v>
      </c>
      <c r="G401" s="331">
        <v>164</v>
      </c>
      <c r="H401" s="332" t="s">
        <v>1095</v>
      </c>
      <c r="I401" s="329" t="s">
        <v>1105</v>
      </c>
      <c r="K401" s="329" t="s">
        <v>1104</v>
      </c>
    </row>
    <row r="402" spans="1:11" hidden="1" x14ac:dyDescent="0.2">
      <c r="A402" s="330" t="s">
        <v>564</v>
      </c>
      <c r="B402" s="330" t="s">
        <v>565</v>
      </c>
      <c r="C402" s="330" t="s">
        <v>41</v>
      </c>
      <c r="D402" s="330" t="s">
        <v>42</v>
      </c>
      <c r="E402" s="330" t="s">
        <v>1093</v>
      </c>
      <c r="F402" s="330" t="s">
        <v>1094</v>
      </c>
      <c r="G402" s="331">
        <v>164</v>
      </c>
      <c r="H402" s="332" t="s">
        <v>1095</v>
      </c>
      <c r="I402" s="329" t="s">
        <v>1105</v>
      </c>
      <c r="K402" s="329" t="s">
        <v>1107</v>
      </c>
    </row>
    <row r="403" spans="1:11" hidden="1" x14ac:dyDescent="0.2">
      <c r="A403" s="330" t="s">
        <v>566</v>
      </c>
      <c r="B403" s="330" t="s">
        <v>567</v>
      </c>
      <c r="C403" s="330" t="s">
        <v>41</v>
      </c>
      <c r="D403" s="330" t="s">
        <v>42</v>
      </c>
      <c r="E403" s="330" t="s">
        <v>1093</v>
      </c>
      <c r="F403" s="330" t="s">
        <v>1094</v>
      </c>
      <c r="G403" s="331">
        <v>164</v>
      </c>
      <c r="H403" s="332" t="s">
        <v>1095</v>
      </c>
      <c r="I403" s="329" t="s">
        <v>1105</v>
      </c>
      <c r="K403" s="329" t="s">
        <v>1104</v>
      </c>
    </row>
    <row r="404" spans="1:11" hidden="1" x14ac:dyDescent="0.2">
      <c r="A404" s="330" t="s">
        <v>568</v>
      </c>
      <c r="B404" s="330" t="s">
        <v>569</v>
      </c>
      <c r="C404" s="330" t="s">
        <v>41</v>
      </c>
      <c r="D404" s="330" t="s">
        <v>42</v>
      </c>
      <c r="E404" s="330" t="s">
        <v>1093</v>
      </c>
      <c r="F404" s="330" t="s">
        <v>1094</v>
      </c>
      <c r="G404" s="331">
        <v>164</v>
      </c>
      <c r="H404" s="332" t="s">
        <v>1095</v>
      </c>
      <c r="I404" s="329" t="s">
        <v>1105</v>
      </c>
      <c r="K404" s="329" t="s">
        <v>1104</v>
      </c>
    </row>
    <row r="405" spans="1:11" hidden="1" x14ac:dyDescent="0.2">
      <c r="A405" s="330" t="s">
        <v>570</v>
      </c>
      <c r="B405" s="330" t="s">
        <v>571</v>
      </c>
      <c r="C405" s="330" t="s">
        <v>41</v>
      </c>
      <c r="D405" s="330" t="s">
        <v>42</v>
      </c>
      <c r="E405" s="330" t="s">
        <v>1093</v>
      </c>
      <c r="F405" s="330" t="s">
        <v>1094</v>
      </c>
      <c r="G405" s="331">
        <v>164</v>
      </c>
      <c r="H405" s="332" t="s">
        <v>1095</v>
      </c>
      <c r="I405" s="329" t="s">
        <v>1105</v>
      </c>
      <c r="K405" s="329" t="s">
        <v>1104</v>
      </c>
    </row>
    <row r="406" spans="1:11" hidden="1" x14ac:dyDescent="0.2">
      <c r="A406" s="330" t="s">
        <v>572</v>
      </c>
      <c r="B406" s="330" t="s">
        <v>573</v>
      </c>
      <c r="C406" s="330" t="s">
        <v>41</v>
      </c>
      <c r="D406" s="330" t="s">
        <v>42</v>
      </c>
      <c r="E406" s="330" t="s">
        <v>1093</v>
      </c>
      <c r="F406" s="330" t="s">
        <v>1094</v>
      </c>
      <c r="G406" s="331">
        <v>164</v>
      </c>
      <c r="H406" s="332" t="s">
        <v>1095</v>
      </c>
      <c r="I406" s="329" t="s">
        <v>1105</v>
      </c>
      <c r="K406" s="329" t="s">
        <v>1104</v>
      </c>
    </row>
    <row r="407" spans="1:11" hidden="1" x14ac:dyDescent="0.2">
      <c r="A407" s="330" t="s">
        <v>574</v>
      </c>
      <c r="B407" s="330" t="s">
        <v>575</v>
      </c>
      <c r="C407" s="330" t="s">
        <v>41</v>
      </c>
      <c r="D407" s="330" t="s">
        <v>42</v>
      </c>
      <c r="E407" s="330" t="s">
        <v>1093</v>
      </c>
      <c r="F407" s="330" t="s">
        <v>1094</v>
      </c>
      <c r="G407" s="331">
        <v>164</v>
      </c>
      <c r="H407" s="332" t="s">
        <v>1095</v>
      </c>
      <c r="I407" s="329" t="s">
        <v>1105</v>
      </c>
      <c r="K407" s="329" t="s">
        <v>1104</v>
      </c>
    </row>
    <row r="408" spans="1:11" hidden="1" x14ac:dyDescent="0.2">
      <c r="A408" s="330" t="s">
        <v>576</v>
      </c>
      <c r="B408" s="330" t="s">
        <v>577</v>
      </c>
      <c r="C408" s="330" t="s">
        <v>41</v>
      </c>
      <c r="D408" s="330" t="s">
        <v>42</v>
      </c>
      <c r="E408" s="330" t="s">
        <v>1093</v>
      </c>
      <c r="F408" s="330" t="s">
        <v>1094</v>
      </c>
      <c r="G408" s="331">
        <v>164</v>
      </c>
      <c r="H408" s="332" t="s">
        <v>1095</v>
      </c>
      <c r="I408" s="329" t="s">
        <v>1105</v>
      </c>
      <c r="K408" s="329" t="s">
        <v>1104</v>
      </c>
    </row>
    <row r="409" spans="1:11" hidden="1" x14ac:dyDescent="0.2">
      <c r="A409" s="330" t="s">
        <v>578</v>
      </c>
      <c r="B409" s="330" t="s">
        <v>579</v>
      </c>
      <c r="C409" s="330" t="s">
        <v>41</v>
      </c>
      <c r="D409" s="330" t="s">
        <v>42</v>
      </c>
      <c r="E409" s="330" t="s">
        <v>1093</v>
      </c>
      <c r="F409" s="330" t="s">
        <v>1094</v>
      </c>
      <c r="G409" s="331">
        <v>25</v>
      </c>
      <c r="H409" s="332" t="s">
        <v>1093</v>
      </c>
      <c r="I409" s="329" t="s">
        <v>1105</v>
      </c>
      <c r="K409" s="329" t="s">
        <v>1104</v>
      </c>
    </row>
    <row r="410" spans="1:11" hidden="1" x14ac:dyDescent="0.2">
      <c r="A410" s="330" t="s">
        <v>580</v>
      </c>
      <c r="B410" s="330" t="s">
        <v>581</v>
      </c>
      <c r="C410" s="330" t="s">
        <v>41</v>
      </c>
      <c r="D410" s="330" t="s">
        <v>42</v>
      </c>
      <c r="E410" s="330" t="s">
        <v>1093</v>
      </c>
      <c r="F410" s="330" t="s">
        <v>1094</v>
      </c>
      <c r="G410" s="331">
        <v>25</v>
      </c>
      <c r="H410" s="332" t="s">
        <v>1093</v>
      </c>
      <c r="I410" s="329" t="s">
        <v>1105</v>
      </c>
      <c r="K410" s="329" t="s">
        <v>1104</v>
      </c>
    </row>
    <row r="411" spans="1:11" hidden="1" x14ac:dyDescent="0.2">
      <c r="A411" s="330" t="s">
        <v>582</v>
      </c>
      <c r="B411" s="330" t="s">
        <v>583</v>
      </c>
      <c r="C411" s="330" t="s">
        <v>41</v>
      </c>
      <c r="D411" s="330" t="s">
        <v>42</v>
      </c>
      <c r="E411" s="330" t="s">
        <v>1093</v>
      </c>
      <c r="F411" s="330" t="s">
        <v>1094</v>
      </c>
      <c r="G411" s="331">
        <v>25</v>
      </c>
      <c r="H411" s="332" t="s">
        <v>1093</v>
      </c>
      <c r="I411" s="329" t="s">
        <v>1105</v>
      </c>
      <c r="K411" s="329" t="s">
        <v>1104</v>
      </c>
    </row>
    <row r="412" spans="1:11" hidden="1" x14ac:dyDescent="0.2">
      <c r="A412" s="330" t="s">
        <v>584</v>
      </c>
      <c r="B412" s="330" t="s">
        <v>585</v>
      </c>
      <c r="C412" s="330" t="s">
        <v>41</v>
      </c>
      <c r="D412" s="330" t="s">
        <v>42</v>
      </c>
      <c r="E412" s="330" t="s">
        <v>1093</v>
      </c>
      <c r="F412" s="330" t="s">
        <v>1094</v>
      </c>
      <c r="G412" s="331">
        <v>25</v>
      </c>
      <c r="H412" s="332" t="s">
        <v>1093</v>
      </c>
      <c r="I412" s="329" t="s">
        <v>1105</v>
      </c>
      <c r="K412" s="329" t="s">
        <v>1104</v>
      </c>
    </row>
    <row r="413" spans="1:11" hidden="1" x14ac:dyDescent="0.2">
      <c r="A413" s="330" t="s">
        <v>586</v>
      </c>
      <c r="B413" s="330" t="s">
        <v>587</v>
      </c>
      <c r="C413" s="330" t="s">
        <v>41</v>
      </c>
      <c r="D413" s="330" t="s">
        <v>42</v>
      </c>
      <c r="E413" s="330" t="s">
        <v>1093</v>
      </c>
      <c r="F413" s="330" t="s">
        <v>1094</v>
      </c>
      <c r="G413" s="331">
        <v>25</v>
      </c>
      <c r="H413" s="332" t="s">
        <v>1093</v>
      </c>
      <c r="I413" s="329" t="s">
        <v>1105</v>
      </c>
      <c r="K413" s="329" t="s">
        <v>1104</v>
      </c>
    </row>
    <row r="414" spans="1:11" hidden="1" x14ac:dyDescent="0.2">
      <c r="A414" s="330" t="s">
        <v>588</v>
      </c>
      <c r="B414" s="330" t="s">
        <v>589</v>
      </c>
      <c r="C414" s="330" t="s">
        <v>41</v>
      </c>
      <c r="D414" s="330" t="s">
        <v>42</v>
      </c>
      <c r="E414" s="330" t="s">
        <v>1093</v>
      </c>
      <c r="F414" s="330" t="s">
        <v>1094</v>
      </c>
      <c r="G414" s="331">
        <v>25</v>
      </c>
      <c r="H414" s="332" t="s">
        <v>1093</v>
      </c>
      <c r="I414" s="329" t="s">
        <v>1105</v>
      </c>
      <c r="K414" s="329" t="s">
        <v>1104</v>
      </c>
    </row>
    <row r="415" spans="1:11" hidden="1" x14ac:dyDescent="0.2">
      <c r="A415" s="330" t="s">
        <v>590</v>
      </c>
      <c r="B415" s="330" t="s">
        <v>591</v>
      </c>
      <c r="C415" s="330" t="s">
        <v>41</v>
      </c>
      <c r="D415" s="330" t="s">
        <v>42</v>
      </c>
      <c r="E415" s="330" t="s">
        <v>1093</v>
      </c>
      <c r="F415" s="330" t="s">
        <v>1094</v>
      </c>
      <c r="G415" s="331">
        <v>25</v>
      </c>
      <c r="H415" s="332" t="s">
        <v>1093</v>
      </c>
      <c r="I415" s="329" t="s">
        <v>1105</v>
      </c>
      <c r="K415" s="329" t="s">
        <v>1104</v>
      </c>
    </row>
    <row r="416" spans="1:11" hidden="1" x14ac:dyDescent="0.2">
      <c r="A416" s="330" t="s">
        <v>592</v>
      </c>
      <c r="B416" s="330" t="s">
        <v>593</v>
      </c>
      <c r="C416" s="330" t="s">
        <v>41</v>
      </c>
      <c r="D416" s="330" t="s">
        <v>42</v>
      </c>
      <c r="E416" s="330" t="s">
        <v>1093</v>
      </c>
      <c r="F416" s="330" t="s">
        <v>1094</v>
      </c>
      <c r="G416" s="331">
        <v>25</v>
      </c>
      <c r="H416" s="332" t="s">
        <v>1093</v>
      </c>
      <c r="I416" s="329" t="s">
        <v>1105</v>
      </c>
      <c r="K416" s="329" t="s">
        <v>1104</v>
      </c>
    </row>
    <row r="417" spans="1:11" hidden="1" x14ac:dyDescent="0.2">
      <c r="A417" s="330" t="s">
        <v>975</v>
      </c>
      <c r="B417" s="330" t="s">
        <v>976</v>
      </c>
      <c r="C417" s="330" t="s">
        <v>41</v>
      </c>
      <c r="D417" s="330" t="s">
        <v>42</v>
      </c>
      <c r="E417" s="330" t="s">
        <v>1093</v>
      </c>
      <c r="F417" s="330" t="s">
        <v>1094</v>
      </c>
      <c r="G417" s="331">
        <v>25</v>
      </c>
      <c r="H417" s="332" t="s">
        <v>1093</v>
      </c>
      <c r="I417" s="329" t="s">
        <v>1105</v>
      </c>
      <c r="K417" s="329" t="s">
        <v>1104</v>
      </c>
    </row>
    <row r="418" spans="1:11" hidden="1" x14ac:dyDescent="0.2">
      <c r="A418" s="330" t="s">
        <v>977</v>
      </c>
      <c r="B418" s="330" t="s">
        <v>978</v>
      </c>
      <c r="C418" s="330" t="s">
        <v>41</v>
      </c>
      <c r="D418" s="330" t="s">
        <v>42</v>
      </c>
      <c r="E418" s="330" t="s">
        <v>1093</v>
      </c>
      <c r="F418" s="330" t="s">
        <v>1094</v>
      </c>
      <c r="G418" s="331">
        <v>25</v>
      </c>
      <c r="H418" s="332" t="s">
        <v>1093</v>
      </c>
      <c r="I418" s="329" t="s">
        <v>1105</v>
      </c>
      <c r="K418" s="329" t="s">
        <v>1104</v>
      </c>
    </row>
    <row r="419" spans="1:11" hidden="1" x14ac:dyDescent="0.2">
      <c r="A419" s="330" t="s">
        <v>979</v>
      </c>
      <c r="B419" s="330" t="s">
        <v>980</v>
      </c>
      <c r="C419" s="330" t="s">
        <v>41</v>
      </c>
      <c r="D419" s="330" t="s">
        <v>42</v>
      </c>
      <c r="E419" s="330" t="s">
        <v>1093</v>
      </c>
      <c r="F419" s="330" t="s">
        <v>1094</v>
      </c>
      <c r="G419" s="331">
        <v>25</v>
      </c>
      <c r="H419" s="332" t="s">
        <v>1093</v>
      </c>
      <c r="I419" s="329" t="s">
        <v>1105</v>
      </c>
      <c r="K419" s="329" t="s">
        <v>1104</v>
      </c>
    </row>
    <row r="420" spans="1:11" hidden="1" x14ac:dyDescent="0.2">
      <c r="A420" s="330" t="s">
        <v>594</v>
      </c>
      <c r="B420" s="330" t="s">
        <v>1222</v>
      </c>
      <c r="C420" s="330" t="s">
        <v>41</v>
      </c>
      <c r="D420" s="330" t="s">
        <v>42</v>
      </c>
      <c r="E420" s="330" t="s">
        <v>1093</v>
      </c>
      <c r="F420" s="330" t="s">
        <v>1094</v>
      </c>
      <c r="G420" s="331">
        <v>25</v>
      </c>
      <c r="H420" s="332" t="s">
        <v>1093</v>
      </c>
      <c r="I420" s="329" t="s">
        <v>1105</v>
      </c>
      <c r="K420" s="329" t="s">
        <v>1104</v>
      </c>
    </row>
    <row r="421" spans="1:11" hidden="1" x14ac:dyDescent="0.2">
      <c r="A421" s="330" t="s">
        <v>981</v>
      </c>
      <c r="B421" s="330" t="s">
        <v>982</v>
      </c>
      <c r="C421" s="330" t="s">
        <v>41</v>
      </c>
      <c r="D421" s="330" t="s">
        <v>42</v>
      </c>
      <c r="E421" s="330" t="s">
        <v>1093</v>
      </c>
      <c r="F421" s="330" t="s">
        <v>1094</v>
      </c>
      <c r="G421" s="331">
        <v>25</v>
      </c>
      <c r="H421" s="332" t="s">
        <v>1093</v>
      </c>
      <c r="I421" s="329" t="s">
        <v>1105</v>
      </c>
      <c r="K421" s="329" t="s">
        <v>1104</v>
      </c>
    </row>
    <row r="422" spans="1:11" hidden="1" x14ac:dyDescent="0.2">
      <c r="A422" s="330" t="s">
        <v>983</v>
      </c>
      <c r="B422" s="330" t="s">
        <v>984</v>
      </c>
      <c r="C422" s="330" t="s">
        <v>41</v>
      </c>
      <c r="D422" s="330" t="s">
        <v>42</v>
      </c>
      <c r="E422" s="330" t="s">
        <v>1093</v>
      </c>
      <c r="F422" s="330" t="s">
        <v>1094</v>
      </c>
      <c r="G422" s="331">
        <v>25</v>
      </c>
      <c r="H422" s="332" t="s">
        <v>1093</v>
      </c>
      <c r="I422" s="329" t="s">
        <v>1105</v>
      </c>
      <c r="K422" s="329" t="s">
        <v>1104</v>
      </c>
    </row>
    <row r="423" spans="1:11" hidden="1" x14ac:dyDescent="0.2">
      <c r="A423" s="330" t="s">
        <v>595</v>
      </c>
      <c r="B423" s="330" t="s">
        <v>1223</v>
      </c>
      <c r="C423" s="330" t="s">
        <v>41</v>
      </c>
      <c r="D423" s="330" t="s">
        <v>42</v>
      </c>
      <c r="E423" s="330" t="s">
        <v>1093</v>
      </c>
      <c r="F423" s="330" t="s">
        <v>1094</v>
      </c>
      <c r="G423" s="331">
        <v>25</v>
      </c>
      <c r="H423" s="332" t="s">
        <v>1093</v>
      </c>
      <c r="I423" s="329" t="s">
        <v>1105</v>
      </c>
      <c r="K423" s="329" t="s">
        <v>1104</v>
      </c>
    </row>
    <row r="424" spans="1:11" hidden="1" x14ac:dyDescent="0.2">
      <c r="A424" s="330" t="s">
        <v>985</v>
      </c>
      <c r="B424" s="330" t="s">
        <v>596</v>
      </c>
      <c r="C424" s="330" t="s">
        <v>41</v>
      </c>
      <c r="D424" s="330" t="s">
        <v>42</v>
      </c>
      <c r="E424" s="330" t="s">
        <v>1093</v>
      </c>
      <c r="F424" s="330" t="s">
        <v>1094</v>
      </c>
      <c r="G424" s="331">
        <v>25</v>
      </c>
      <c r="H424" s="332" t="s">
        <v>1093</v>
      </c>
      <c r="I424" s="329" t="s">
        <v>1105</v>
      </c>
      <c r="K424" s="329" t="s">
        <v>1104</v>
      </c>
    </row>
    <row r="425" spans="1:11" hidden="1" x14ac:dyDescent="0.2">
      <c r="A425" s="330" t="s">
        <v>597</v>
      </c>
      <c r="B425" s="330" t="s">
        <v>598</v>
      </c>
      <c r="C425" s="330" t="s">
        <v>41</v>
      </c>
      <c r="D425" s="330" t="s">
        <v>42</v>
      </c>
      <c r="E425" s="330" t="s">
        <v>1093</v>
      </c>
      <c r="F425" s="330" t="s">
        <v>1094</v>
      </c>
      <c r="G425" s="331">
        <v>25</v>
      </c>
      <c r="H425" s="332" t="s">
        <v>1093</v>
      </c>
      <c r="I425" s="329" t="s">
        <v>1105</v>
      </c>
      <c r="K425" s="329" t="s">
        <v>1104</v>
      </c>
    </row>
    <row r="426" spans="1:11" hidden="1" x14ac:dyDescent="0.2">
      <c r="A426" s="330" t="s">
        <v>599</v>
      </c>
      <c r="B426" s="330" t="s">
        <v>600</v>
      </c>
      <c r="C426" s="330" t="s">
        <v>41</v>
      </c>
      <c r="D426" s="330" t="s">
        <v>42</v>
      </c>
      <c r="E426" s="330" t="s">
        <v>1093</v>
      </c>
      <c r="F426" s="330" t="s">
        <v>1094</v>
      </c>
      <c r="G426" s="331">
        <v>25</v>
      </c>
      <c r="H426" s="332" t="s">
        <v>1093</v>
      </c>
      <c r="I426" s="329" t="s">
        <v>1105</v>
      </c>
      <c r="K426" s="329" t="s">
        <v>1104</v>
      </c>
    </row>
    <row r="427" spans="1:11" hidden="1" x14ac:dyDescent="0.2">
      <c r="A427" s="330" t="s">
        <v>601</v>
      </c>
      <c r="B427" s="330" t="s">
        <v>602</v>
      </c>
      <c r="C427" s="330" t="s">
        <v>41</v>
      </c>
      <c r="D427" s="330" t="s">
        <v>42</v>
      </c>
      <c r="E427" s="330" t="s">
        <v>1093</v>
      </c>
      <c r="F427" s="330" t="s">
        <v>1094</v>
      </c>
      <c r="G427" s="331">
        <v>25</v>
      </c>
      <c r="H427" s="332" t="s">
        <v>1093</v>
      </c>
      <c r="I427" s="329" t="s">
        <v>1105</v>
      </c>
      <c r="K427" s="329" t="s">
        <v>1104</v>
      </c>
    </row>
    <row r="428" spans="1:11" hidden="1" x14ac:dyDescent="0.2">
      <c r="A428" s="330" t="s">
        <v>603</v>
      </c>
      <c r="B428" s="330" t="s">
        <v>604</v>
      </c>
      <c r="C428" s="330" t="s">
        <v>41</v>
      </c>
      <c r="D428" s="330" t="s">
        <v>42</v>
      </c>
      <c r="E428" s="330" t="s">
        <v>1093</v>
      </c>
      <c r="F428" s="330" t="s">
        <v>1094</v>
      </c>
      <c r="G428" s="331">
        <v>25</v>
      </c>
      <c r="H428" s="332" t="s">
        <v>1093</v>
      </c>
      <c r="I428" s="329" t="s">
        <v>1105</v>
      </c>
      <c r="K428" s="329" t="s">
        <v>1104</v>
      </c>
    </row>
    <row r="429" spans="1:11" hidden="1" x14ac:dyDescent="0.2">
      <c r="A429" s="330" t="s">
        <v>605</v>
      </c>
      <c r="B429" s="330" t="s">
        <v>1224</v>
      </c>
      <c r="C429" s="330" t="s">
        <v>41</v>
      </c>
      <c r="D429" s="330" t="s">
        <v>42</v>
      </c>
      <c r="E429" s="330" t="s">
        <v>1093</v>
      </c>
      <c r="F429" s="330" t="s">
        <v>1094</v>
      </c>
      <c r="G429" s="331">
        <v>25</v>
      </c>
      <c r="H429" s="332" t="s">
        <v>1093</v>
      </c>
      <c r="I429" s="329" t="s">
        <v>1105</v>
      </c>
      <c r="K429" s="329" t="s">
        <v>1107</v>
      </c>
    </row>
    <row r="430" spans="1:11" hidden="1" x14ac:dyDescent="0.2">
      <c r="A430" s="330" t="s">
        <v>606</v>
      </c>
      <c r="B430" s="330" t="s">
        <v>1225</v>
      </c>
      <c r="C430" s="330" t="s">
        <v>41</v>
      </c>
      <c r="D430" s="330" t="s">
        <v>42</v>
      </c>
      <c r="E430" s="330" t="s">
        <v>1093</v>
      </c>
      <c r="F430" s="330" t="s">
        <v>1094</v>
      </c>
      <c r="G430" s="331">
        <v>25</v>
      </c>
      <c r="H430" s="332" t="s">
        <v>1093</v>
      </c>
      <c r="I430" s="329" t="s">
        <v>1105</v>
      </c>
      <c r="K430" s="329" t="s">
        <v>1107</v>
      </c>
    </row>
    <row r="431" spans="1:11" hidden="1" x14ac:dyDescent="0.2">
      <c r="A431" s="330" t="s">
        <v>607</v>
      </c>
      <c r="B431" s="330" t="s">
        <v>608</v>
      </c>
      <c r="C431" s="330" t="s">
        <v>41</v>
      </c>
      <c r="D431" s="330" t="s">
        <v>42</v>
      </c>
      <c r="E431" s="330" t="s">
        <v>1093</v>
      </c>
      <c r="F431" s="330" t="s">
        <v>1094</v>
      </c>
      <c r="G431" s="331">
        <v>25</v>
      </c>
      <c r="H431" s="332" t="s">
        <v>1093</v>
      </c>
      <c r="I431" s="329" t="s">
        <v>1105</v>
      </c>
      <c r="K431" s="329" t="s">
        <v>1107</v>
      </c>
    </row>
    <row r="432" spans="1:11" hidden="1" x14ac:dyDescent="0.2">
      <c r="A432" s="330" t="s">
        <v>609</v>
      </c>
      <c r="B432" s="330" t="s">
        <v>610</v>
      </c>
      <c r="C432" s="330" t="s">
        <v>41</v>
      </c>
      <c r="D432" s="330" t="s">
        <v>42</v>
      </c>
      <c r="E432" s="330" t="s">
        <v>1093</v>
      </c>
      <c r="F432" s="330" t="s">
        <v>1094</v>
      </c>
      <c r="G432" s="331">
        <v>25</v>
      </c>
      <c r="H432" s="332" t="s">
        <v>1093</v>
      </c>
      <c r="I432" s="329" t="s">
        <v>1105</v>
      </c>
      <c r="K432" s="329" t="s">
        <v>1104</v>
      </c>
    </row>
    <row r="433" spans="1:11" hidden="1" x14ac:dyDescent="0.2">
      <c r="A433" s="330" t="s">
        <v>611</v>
      </c>
      <c r="B433" s="330" t="s">
        <v>612</v>
      </c>
      <c r="C433" s="330" t="s">
        <v>41</v>
      </c>
      <c r="D433" s="330" t="s">
        <v>42</v>
      </c>
      <c r="E433" s="330" t="s">
        <v>1093</v>
      </c>
      <c r="F433" s="330" t="s">
        <v>1094</v>
      </c>
      <c r="G433" s="331">
        <v>25</v>
      </c>
      <c r="H433" s="332" t="s">
        <v>1093</v>
      </c>
      <c r="I433" s="329" t="s">
        <v>1105</v>
      </c>
      <c r="K433" s="329" t="s">
        <v>1107</v>
      </c>
    </row>
    <row r="434" spans="1:11" hidden="1" x14ac:dyDescent="0.2">
      <c r="A434" s="330" t="s">
        <v>613</v>
      </c>
      <c r="B434" s="330" t="s">
        <v>614</v>
      </c>
      <c r="C434" s="330" t="s">
        <v>41</v>
      </c>
      <c r="D434" s="330" t="s">
        <v>42</v>
      </c>
      <c r="E434" s="330" t="s">
        <v>1093</v>
      </c>
      <c r="F434" s="330" t="s">
        <v>1094</v>
      </c>
      <c r="G434" s="331">
        <v>25</v>
      </c>
      <c r="H434" s="332" t="s">
        <v>1093</v>
      </c>
      <c r="I434" s="329" t="s">
        <v>1105</v>
      </c>
      <c r="K434" s="329" t="s">
        <v>1107</v>
      </c>
    </row>
    <row r="435" spans="1:11" hidden="1" x14ac:dyDescent="0.2">
      <c r="A435" s="330" t="s">
        <v>615</v>
      </c>
      <c r="B435" s="330" t="s">
        <v>616</v>
      </c>
      <c r="C435" s="330" t="s">
        <v>41</v>
      </c>
      <c r="D435" s="330" t="s">
        <v>42</v>
      </c>
      <c r="E435" s="330" t="s">
        <v>1093</v>
      </c>
      <c r="F435" s="330" t="s">
        <v>1094</v>
      </c>
      <c r="G435" s="331">
        <v>25</v>
      </c>
      <c r="H435" s="332" t="s">
        <v>1093</v>
      </c>
      <c r="I435" s="329" t="s">
        <v>1105</v>
      </c>
      <c r="K435" s="329" t="s">
        <v>1104</v>
      </c>
    </row>
    <row r="436" spans="1:11" hidden="1" x14ac:dyDescent="0.2">
      <c r="A436" s="330" t="s">
        <v>617</v>
      </c>
      <c r="B436" s="330" t="s">
        <v>618</v>
      </c>
      <c r="C436" s="330" t="s">
        <v>41</v>
      </c>
      <c r="D436" s="330" t="s">
        <v>42</v>
      </c>
      <c r="E436" s="330" t="s">
        <v>1093</v>
      </c>
      <c r="F436" s="330" t="s">
        <v>1094</v>
      </c>
      <c r="G436" s="331">
        <v>25</v>
      </c>
      <c r="H436" s="332" t="s">
        <v>1093</v>
      </c>
      <c r="I436" s="329" t="s">
        <v>1105</v>
      </c>
      <c r="K436" s="329" t="s">
        <v>1107</v>
      </c>
    </row>
    <row r="437" spans="1:11" hidden="1" x14ac:dyDescent="0.2">
      <c r="A437" s="330" t="s">
        <v>619</v>
      </c>
      <c r="B437" s="330" t="s">
        <v>620</v>
      </c>
      <c r="C437" s="330" t="s">
        <v>41</v>
      </c>
      <c r="D437" s="330" t="s">
        <v>42</v>
      </c>
      <c r="E437" s="330" t="s">
        <v>1093</v>
      </c>
      <c r="F437" s="330" t="s">
        <v>1094</v>
      </c>
      <c r="G437" s="331">
        <v>25</v>
      </c>
      <c r="H437" s="332" t="s">
        <v>1093</v>
      </c>
      <c r="I437" s="329" t="s">
        <v>1105</v>
      </c>
      <c r="K437" s="329" t="s">
        <v>1104</v>
      </c>
    </row>
    <row r="438" spans="1:11" hidden="1" x14ac:dyDescent="0.2">
      <c r="A438" s="330" t="s">
        <v>621</v>
      </c>
      <c r="B438" s="330" t="s">
        <v>622</v>
      </c>
      <c r="C438" s="330" t="s">
        <v>41</v>
      </c>
      <c r="D438" s="330" t="s">
        <v>42</v>
      </c>
      <c r="E438" s="330" t="s">
        <v>1093</v>
      </c>
      <c r="F438" s="330" t="s">
        <v>1094</v>
      </c>
      <c r="G438" s="331">
        <v>25</v>
      </c>
      <c r="H438" s="332" t="s">
        <v>1093</v>
      </c>
      <c r="I438" s="329" t="s">
        <v>1105</v>
      </c>
      <c r="K438" s="329" t="s">
        <v>1104</v>
      </c>
    </row>
  </sheetData>
  <autoFilter ref="A1:K438">
    <filterColumn colId="2">
      <filters>
        <filter val="P04"/>
      </filters>
    </filterColumn>
    <sortState ref="A2:K438">
      <sortCondition ref="A2:A438"/>
    </sortState>
  </autoFilter>
  <sortState ref="A2:F438">
    <sortCondition ref="C2:C438"/>
    <sortCondition ref="E2:E438"/>
  </sortState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41"/>
  <sheetViews>
    <sheetView zoomScale="90" zoomScaleNormal="90" workbookViewId="0">
      <selection activeCell="C273" sqref="C273"/>
    </sheetView>
  </sheetViews>
  <sheetFormatPr defaultRowHeight="18" x14ac:dyDescent="0.25"/>
  <cols>
    <col min="1" max="1" width="17.375" customWidth="1"/>
    <col min="2" max="2" width="84" customWidth="1"/>
    <col min="3" max="3" width="20.125" style="102" customWidth="1"/>
    <col min="4" max="4" width="10.125" customWidth="1"/>
    <col min="5" max="5" width="14.375" style="97" customWidth="1"/>
    <col min="6" max="6" width="16.25" style="97" customWidth="1"/>
    <col min="7" max="7" width="8.625" style="97" customWidth="1"/>
    <col min="8" max="8" width="4.375" customWidth="1"/>
    <col min="9" max="9" width="3.375" customWidth="1"/>
  </cols>
  <sheetData>
    <row r="1" spans="1:10" ht="18" customHeight="1" x14ac:dyDescent="0.25">
      <c r="A1" s="99"/>
      <c r="B1" s="99" t="s">
        <v>1332</v>
      </c>
      <c r="C1" s="100"/>
      <c r="D1" s="99"/>
      <c r="E1" s="99"/>
      <c r="F1" s="99"/>
    </row>
    <row r="2" spans="1:10" ht="27.75" x14ac:dyDescent="0.65">
      <c r="A2" s="32" t="s">
        <v>734</v>
      </c>
      <c r="B2" s="32" t="s">
        <v>735</v>
      </c>
      <c r="C2" s="101" t="s">
        <v>705</v>
      </c>
      <c r="D2" s="26"/>
      <c r="E2" s="98" t="s">
        <v>799</v>
      </c>
      <c r="F2" s="98" t="s">
        <v>800</v>
      </c>
      <c r="G2" s="335" t="s">
        <v>1226</v>
      </c>
      <c r="H2" s="93"/>
    </row>
    <row r="3" spans="1:10" ht="27.75" x14ac:dyDescent="0.65">
      <c r="A3" s="149" t="s">
        <v>144</v>
      </c>
      <c r="B3" s="149" t="s">
        <v>145</v>
      </c>
      <c r="C3" s="148">
        <f>IFERROR(VLOOKUP(A3,'งบทดลอง รพ.'!$A$2:$C$599,3,0),0)</f>
        <v>0</v>
      </c>
      <c r="D3" s="26"/>
      <c r="E3" s="98" t="s">
        <v>1035</v>
      </c>
      <c r="F3" s="98" t="s">
        <v>16</v>
      </c>
      <c r="G3" s="335" t="s">
        <v>1105</v>
      </c>
      <c r="H3" s="93"/>
      <c r="I3" s="151"/>
      <c r="J3" t="s">
        <v>1227</v>
      </c>
    </row>
    <row r="4" spans="1:10" ht="27.75" x14ac:dyDescent="0.65">
      <c r="A4" s="149" t="s">
        <v>146</v>
      </c>
      <c r="B4" s="149" t="s">
        <v>147</v>
      </c>
      <c r="C4" s="148">
        <f>IFERROR(VLOOKUP(A4,'งบทดลอง รพ.'!$A$2:$C$599,3,0),0)</f>
        <v>0</v>
      </c>
      <c r="D4" s="26"/>
      <c r="E4" s="98" t="s">
        <v>1035</v>
      </c>
      <c r="F4" s="98" t="s">
        <v>16</v>
      </c>
      <c r="G4" s="335" t="s">
        <v>1105</v>
      </c>
      <c r="H4" s="93"/>
    </row>
    <row r="5" spans="1:10" ht="27.75" x14ac:dyDescent="0.65">
      <c r="A5" s="149" t="s">
        <v>148</v>
      </c>
      <c r="B5" s="149" t="s">
        <v>149</v>
      </c>
      <c r="C5" s="148">
        <f>IFERROR(VLOOKUP(A5,'งบทดลอง รพ.'!$A$2:$C$599,3,0),0)</f>
        <v>0</v>
      </c>
      <c r="D5" s="26"/>
      <c r="E5" s="98" t="s">
        <v>1035</v>
      </c>
      <c r="F5" s="98" t="s">
        <v>16</v>
      </c>
      <c r="G5" s="335" t="s">
        <v>1105</v>
      </c>
      <c r="H5" s="93"/>
    </row>
    <row r="6" spans="1:10" ht="27.75" x14ac:dyDescent="0.65">
      <c r="A6" s="149" t="s">
        <v>150</v>
      </c>
      <c r="B6" s="149" t="s">
        <v>151</v>
      </c>
      <c r="C6" s="148">
        <f>IFERROR(VLOOKUP(A6,'งบทดลอง รพ.'!$A$2:$C$599,3,0),0)</f>
        <v>0</v>
      </c>
      <c r="D6" s="26"/>
      <c r="E6" s="98" t="s">
        <v>1035</v>
      </c>
      <c r="F6" s="98" t="s">
        <v>16</v>
      </c>
      <c r="G6" s="335" t="s">
        <v>1105</v>
      </c>
      <c r="H6" s="93"/>
    </row>
    <row r="7" spans="1:10" ht="27.75" x14ac:dyDescent="0.65">
      <c r="A7" s="149" t="s">
        <v>152</v>
      </c>
      <c r="B7" s="149" t="s">
        <v>1106</v>
      </c>
      <c r="C7" s="148">
        <f>IFERROR(VLOOKUP(A7,'งบทดลอง รพ.'!$A$2:$C$599,3,0),0)</f>
        <v>0</v>
      </c>
      <c r="D7" s="26"/>
      <c r="E7" s="98" t="s">
        <v>1035</v>
      </c>
      <c r="F7" s="98" t="s">
        <v>16</v>
      </c>
      <c r="G7" s="335" t="s">
        <v>1105</v>
      </c>
      <c r="H7" s="93"/>
    </row>
    <row r="8" spans="1:10" ht="27.75" x14ac:dyDescent="0.65">
      <c r="A8" s="149" t="s">
        <v>153</v>
      </c>
      <c r="B8" s="149" t="s">
        <v>154</v>
      </c>
      <c r="C8" s="148">
        <f>IFERROR(VLOOKUP(A8,'งบทดลอง รพ.'!$A$2:$C$599,3,0),0)</f>
        <v>0</v>
      </c>
      <c r="D8" s="26"/>
      <c r="E8" s="98" t="s">
        <v>1035</v>
      </c>
      <c r="F8" s="98" t="s">
        <v>16</v>
      </c>
      <c r="G8" s="335" t="s">
        <v>1105</v>
      </c>
      <c r="H8" s="93"/>
    </row>
    <row r="9" spans="1:10" ht="27.75" x14ac:dyDescent="0.65">
      <c r="A9" s="149" t="s">
        <v>155</v>
      </c>
      <c r="B9" s="149" t="s">
        <v>177</v>
      </c>
      <c r="C9" s="148">
        <f>IFERROR(VLOOKUP(A9,'งบทดลอง รพ.'!$A$2:$C$599,3,0),0)</f>
        <v>0</v>
      </c>
      <c r="D9" s="26"/>
      <c r="E9" s="98" t="s">
        <v>1035</v>
      </c>
      <c r="F9" s="98" t="s">
        <v>16</v>
      </c>
      <c r="G9" s="335" t="s">
        <v>1105</v>
      </c>
      <c r="H9" s="93"/>
    </row>
    <row r="10" spans="1:10" ht="27.75" x14ac:dyDescent="0.65">
      <c r="A10" s="149" t="s">
        <v>156</v>
      </c>
      <c r="B10" s="149" t="s">
        <v>179</v>
      </c>
      <c r="C10" s="148">
        <f>IFERROR(VLOOKUP(A10,'งบทดลอง รพ.'!$A$2:$C$599,3,0),0)</f>
        <v>0</v>
      </c>
      <c r="D10" s="26"/>
      <c r="E10" s="98" t="s">
        <v>1035</v>
      </c>
      <c r="F10" s="98" t="s">
        <v>16</v>
      </c>
      <c r="G10" s="335" t="s">
        <v>1105</v>
      </c>
      <c r="H10" s="93"/>
    </row>
    <row r="11" spans="1:10" ht="27.75" x14ac:dyDescent="0.65">
      <c r="A11" s="149" t="s">
        <v>157</v>
      </c>
      <c r="B11" s="149" t="s">
        <v>158</v>
      </c>
      <c r="C11" s="148">
        <f>IFERROR(VLOOKUP(A11,'งบทดลอง รพ.'!$A$2:$C$599,3,0),0)</f>
        <v>0</v>
      </c>
      <c r="D11" s="26"/>
      <c r="E11" s="98" t="s">
        <v>1035</v>
      </c>
      <c r="F11" s="98" t="s">
        <v>16</v>
      </c>
      <c r="G11" s="335" t="s">
        <v>1105</v>
      </c>
      <c r="H11" s="93"/>
    </row>
    <row r="12" spans="1:10" ht="27.75" x14ac:dyDescent="0.65">
      <c r="A12" s="149" t="s">
        <v>159</v>
      </c>
      <c r="B12" s="149" t="s">
        <v>160</v>
      </c>
      <c r="C12" s="148">
        <f>IFERROR(VLOOKUP(A12,'งบทดลอง รพ.'!$A$2:$C$599,3,0),0)</f>
        <v>0</v>
      </c>
      <c r="D12" s="26"/>
      <c r="E12" s="98" t="s">
        <v>1035</v>
      </c>
      <c r="F12" s="98" t="s">
        <v>16</v>
      </c>
      <c r="G12" s="335" t="s">
        <v>1105</v>
      </c>
      <c r="H12" s="93"/>
    </row>
    <row r="13" spans="1:10" ht="27.75" x14ac:dyDescent="0.65">
      <c r="A13" s="149" t="s">
        <v>117</v>
      </c>
      <c r="B13" s="149" t="s">
        <v>118</v>
      </c>
      <c r="C13" s="148">
        <f>IFERROR(VLOOKUP(A13,'งบทดลอง รพ.'!$A$2:$C$599,3,0),0)</f>
        <v>0</v>
      </c>
      <c r="D13" s="26"/>
      <c r="E13" s="98" t="s">
        <v>1028</v>
      </c>
      <c r="F13" s="98" t="s">
        <v>12</v>
      </c>
      <c r="G13" s="335" t="s">
        <v>1105</v>
      </c>
      <c r="H13" s="93"/>
    </row>
    <row r="14" spans="1:10" ht="27.75" x14ac:dyDescent="0.65">
      <c r="A14" s="149" t="s">
        <v>119</v>
      </c>
      <c r="B14" s="149" t="s">
        <v>120</v>
      </c>
      <c r="C14" s="148">
        <f>IFERROR(VLOOKUP(A14,'งบทดลอง รพ.'!$A$2:$C$599,3,0),0)</f>
        <v>0</v>
      </c>
      <c r="D14" s="26"/>
      <c r="E14" s="98" t="s">
        <v>1028</v>
      </c>
      <c r="F14" s="98" t="s">
        <v>12</v>
      </c>
      <c r="G14" s="335" t="s">
        <v>1105</v>
      </c>
      <c r="H14" s="93"/>
    </row>
    <row r="15" spans="1:10" ht="27.75" x14ac:dyDescent="0.65">
      <c r="A15" s="149" t="s">
        <v>829</v>
      </c>
      <c r="B15" s="149" t="s">
        <v>122</v>
      </c>
      <c r="C15" s="148">
        <f>IFERROR(VLOOKUP(A15,'งบทดลอง รพ.'!$A$2:$C$599,3,0),0)</f>
        <v>0</v>
      </c>
      <c r="D15" s="26"/>
      <c r="E15" s="98" t="s">
        <v>1028</v>
      </c>
      <c r="F15" s="98" t="s">
        <v>12</v>
      </c>
      <c r="G15" s="335" t="s">
        <v>1105</v>
      </c>
      <c r="H15" s="93"/>
    </row>
    <row r="16" spans="1:10" ht="27.75" x14ac:dyDescent="0.65">
      <c r="A16" s="149" t="s">
        <v>830</v>
      </c>
      <c r="B16" s="149" t="s">
        <v>123</v>
      </c>
      <c r="C16" s="148">
        <f>IFERROR(VLOOKUP(A16,'งบทดลอง รพ.'!$A$2:$C$599,3,0),0)</f>
        <v>0</v>
      </c>
      <c r="D16" s="26"/>
      <c r="E16" s="98" t="s">
        <v>1028</v>
      </c>
      <c r="F16" s="98" t="s">
        <v>12</v>
      </c>
      <c r="G16" s="335" t="s">
        <v>1105</v>
      </c>
      <c r="H16" s="93"/>
    </row>
    <row r="17" spans="1:8" ht="27.75" x14ac:dyDescent="0.65">
      <c r="A17" s="149" t="s">
        <v>831</v>
      </c>
      <c r="B17" s="149" t="s">
        <v>832</v>
      </c>
      <c r="C17" s="148">
        <f>IFERROR(VLOOKUP(A17,'งบทดลอง รพ.'!$A$2:$C$599,3,0),0)</f>
        <v>0</v>
      </c>
      <c r="D17" s="26"/>
      <c r="E17" s="98" t="s">
        <v>1028</v>
      </c>
      <c r="F17" s="98" t="s">
        <v>12</v>
      </c>
      <c r="G17" s="335" t="s">
        <v>1105</v>
      </c>
      <c r="H17" s="93"/>
    </row>
    <row r="18" spans="1:8" ht="27.75" x14ac:dyDescent="0.65">
      <c r="A18" s="149" t="s">
        <v>124</v>
      </c>
      <c r="B18" s="149" t="s">
        <v>125</v>
      </c>
      <c r="C18" s="148">
        <f>IFERROR(VLOOKUP(A18,'งบทดลอง รพ.'!$A$2:$C$599,3,0),0)</f>
        <v>0</v>
      </c>
      <c r="D18" s="26"/>
      <c r="E18" s="98" t="s">
        <v>1028</v>
      </c>
      <c r="F18" s="98" t="s">
        <v>12</v>
      </c>
      <c r="G18" s="335" t="s">
        <v>1105</v>
      </c>
      <c r="H18" s="93"/>
    </row>
    <row r="19" spans="1:8" ht="27.75" x14ac:dyDescent="0.65">
      <c r="A19" s="149" t="s">
        <v>126</v>
      </c>
      <c r="B19" s="149" t="s">
        <v>127</v>
      </c>
      <c r="C19" s="148">
        <f>IFERROR(VLOOKUP(A19,'งบทดลอง รพ.'!$A$2:$C$599,3,0),0)</f>
        <v>0</v>
      </c>
      <c r="D19" s="26"/>
      <c r="E19" s="98" t="s">
        <v>1028</v>
      </c>
      <c r="F19" s="98" t="s">
        <v>12</v>
      </c>
      <c r="G19" s="335" t="s">
        <v>1105</v>
      </c>
      <c r="H19" s="93"/>
    </row>
    <row r="20" spans="1:8" ht="27.75" x14ac:dyDescent="0.65">
      <c r="A20" s="149" t="s">
        <v>833</v>
      </c>
      <c r="B20" s="149" t="s">
        <v>121</v>
      </c>
      <c r="C20" s="148">
        <f>IFERROR(VLOOKUP(A20,'งบทดลอง รพ.'!$A$2:$C$599,3,0),0)</f>
        <v>0</v>
      </c>
      <c r="D20" s="26"/>
      <c r="E20" s="98" t="s">
        <v>1028</v>
      </c>
      <c r="F20" s="98" t="s">
        <v>12</v>
      </c>
      <c r="G20" s="335" t="s">
        <v>1105</v>
      </c>
      <c r="H20" s="93"/>
    </row>
    <row r="21" spans="1:8" ht="27.75" x14ac:dyDescent="0.65">
      <c r="A21" s="149" t="s">
        <v>834</v>
      </c>
      <c r="B21" s="149" t="s">
        <v>84</v>
      </c>
      <c r="C21" s="148">
        <f>IFERROR(VLOOKUP(A21,'งบทดลอง รพ.'!$A$2:$C$599,3,0),0)</f>
        <v>73000</v>
      </c>
      <c r="D21" s="26"/>
      <c r="E21" s="98" t="s">
        <v>1007</v>
      </c>
      <c r="F21" s="98" t="s">
        <v>6</v>
      </c>
      <c r="G21" s="335" t="s">
        <v>1105</v>
      </c>
      <c r="H21" s="93"/>
    </row>
    <row r="22" spans="1:8" ht="27.75" x14ac:dyDescent="0.65">
      <c r="A22" s="149" t="s">
        <v>835</v>
      </c>
      <c r="B22" s="149" t="s">
        <v>836</v>
      </c>
      <c r="C22" s="148">
        <f>IFERROR(VLOOKUP(A22,'งบทดลอง รพ.'!$A$2:$C$599,3,0),0)</f>
        <v>300000</v>
      </c>
      <c r="D22" s="26"/>
      <c r="E22" s="98" t="s">
        <v>996</v>
      </c>
      <c r="F22" s="98" t="s">
        <v>2</v>
      </c>
      <c r="G22" s="335" t="s">
        <v>1105</v>
      </c>
      <c r="H22" s="93"/>
    </row>
    <row r="23" spans="1:8" ht="27.75" x14ac:dyDescent="0.65">
      <c r="A23" s="149" t="s">
        <v>837</v>
      </c>
      <c r="B23" s="149" t="s">
        <v>838</v>
      </c>
      <c r="C23" s="148">
        <f>IFERROR(VLOOKUP(A23,'งบทดลอง รพ.'!$A$2:$C$599,3,0),0)</f>
        <v>5200000</v>
      </c>
      <c r="D23" s="26"/>
      <c r="E23" s="98" t="s">
        <v>1028</v>
      </c>
      <c r="F23" s="98" t="s">
        <v>12</v>
      </c>
      <c r="G23" s="335" t="s">
        <v>1105</v>
      </c>
      <c r="H23" s="93"/>
    </row>
    <row r="24" spans="1:8" ht="27.75" x14ac:dyDescent="0.65">
      <c r="A24" s="149" t="s">
        <v>76</v>
      </c>
      <c r="B24" s="149" t="s">
        <v>1108</v>
      </c>
      <c r="C24" s="148">
        <f>IFERROR(VLOOKUP(A24,'งบทดลอง รพ.'!$A$2:$C$599,3,0),0)</f>
        <v>20000</v>
      </c>
      <c r="D24" s="26"/>
      <c r="E24" s="98" t="s">
        <v>997</v>
      </c>
      <c r="F24" s="98" t="s">
        <v>4</v>
      </c>
      <c r="G24" s="335" t="s">
        <v>1105</v>
      </c>
      <c r="H24" s="93"/>
    </row>
    <row r="25" spans="1:8" ht="27.75" x14ac:dyDescent="0.65">
      <c r="A25" s="149" t="s">
        <v>77</v>
      </c>
      <c r="B25" s="149" t="s">
        <v>1109</v>
      </c>
      <c r="C25" s="148">
        <f>IFERROR(VLOOKUP(A25,'งบทดลอง รพ.'!$A$2:$C$599,3,0),0)</f>
        <v>0</v>
      </c>
      <c r="D25" s="26"/>
      <c r="E25" s="98" t="s">
        <v>999</v>
      </c>
      <c r="F25" s="98" t="s">
        <v>4</v>
      </c>
      <c r="G25" s="335" t="s">
        <v>1105</v>
      </c>
      <c r="H25" s="93"/>
    </row>
    <row r="26" spans="1:8" ht="27.75" x14ac:dyDescent="0.65">
      <c r="A26" s="149" t="s">
        <v>128</v>
      </c>
      <c r="B26" s="149" t="s">
        <v>1110</v>
      </c>
      <c r="C26" s="148">
        <f>IFERROR(VLOOKUP(A26,'งบทดลอง รพ.'!$A$2:$C$599,3,0),0)</f>
        <v>3200000</v>
      </c>
      <c r="D26" s="26"/>
      <c r="E26" s="98" t="s">
        <v>1030</v>
      </c>
      <c r="F26" s="98" t="s">
        <v>12</v>
      </c>
      <c r="G26" s="335" t="s">
        <v>1105</v>
      </c>
      <c r="H26" s="93"/>
    </row>
    <row r="27" spans="1:8" ht="27.75" x14ac:dyDescent="0.65">
      <c r="A27" s="149" t="s">
        <v>129</v>
      </c>
      <c r="B27" s="149" t="s">
        <v>1111</v>
      </c>
      <c r="C27" s="148">
        <f>IFERROR(VLOOKUP(A27,'งบทดลอง รพ.'!$A$2:$C$599,3,0),0)</f>
        <v>2000000</v>
      </c>
      <c r="D27" s="26"/>
      <c r="E27" s="98" t="s">
        <v>1032</v>
      </c>
      <c r="F27" s="98" t="s">
        <v>12</v>
      </c>
      <c r="G27" s="335" t="s">
        <v>1105</v>
      </c>
      <c r="H27" s="93"/>
    </row>
    <row r="28" spans="1:8" ht="27.75" x14ac:dyDescent="0.65">
      <c r="A28" s="149" t="s">
        <v>85</v>
      </c>
      <c r="B28" s="149" t="s">
        <v>1112</v>
      </c>
      <c r="C28" s="148">
        <f>IFERROR(VLOOKUP(A28,'งบทดลอง รพ.'!$A$2:$C$599,3,0),0)</f>
        <v>3832585</v>
      </c>
      <c r="D28" s="26"/>
      <c r="E28" s="98" t="s">
        <v>1009</v>
      </c>
      <c r="F28" s="98" t="s">
        <v>6</v>
      </c>
      <c r="G28" s="335" t="s">
        <v>1105</v>
      </c>
      <c r="H28" s="93"/>
    </row>
    <row r="29" spans="1:8" ht="27.75" x14ac:dyDescent="0.65">
      <c r="A29" s="149" t="s">
        <v>86</v>
      </c>
      <c r="B29" s="149" t="s">
        <v>1113</v>
      </c>
      <c r="C29" s="148">
        <f>IFERROR(VLOOKUP(A29,'งบทดลอง รพ.'!$A$2:$C$599,3,0),0)</f>
        <v>1625000</v>
      </c>
      <c r="D29" s="26"/>
      <c r="E29" s="98" t="s">
        <v>1011</v>
      </c>
      <c r="F29" s="98" t="s">
        <v>6</v>
      </c>
      <c r="G29" s="335" t="s">
        <v>1105</v>
      </c>
      <c r="H29" s="93"/>
    </row>
    <row r="30" spans="1:8" ht="27.75" x14ac:dyDescent="0.65">
      <c r="A30" s="149" t="s">
        <v>87</v>
      </c>
      <c r="B30" s="149" t="s">
        <v>88</v>
      </c>
      <c r="C30" s="148">
        <f>IFERROR(VLOOKUP(A30,'งบทดลอง รพ.'!$A$2:$C$599,3,0),0)</f>
        <v>-135000</v>
      </c>
      <c r="D30" s="26"/>
      <c r="E30" s="98" t="s">
        <v>1013</v>
      </c>
      <c r="F30" s="98" t="s">
        <v>6</v>
      </c>
      <c r="G30" s="335" t="s">
        <v>1105</v>
      </c>
      <c r="H30" s="93"/>
    </row>
    <row r="31" spans="1:8" ht="27.75" x14ac:dyDescent="0.65">
      <c r="A31" s="149" t="s">
        <v>89</v>
      </c>
      <c r="B31" s="149" t="s">
        <v>90</v>
      </c>
      <c r="C31" s="148">
        <f>IFERROR(VLOOKUP(A31,'งบทดลอง รพ.'!$A$2:$C$599,3,0),0)</f>
        <v>298000</v>
      </c>
      <c r="D31" s="26"/>
      <c r="E31" s="98" t="s">
        <v>1013</v>
      </c>
      <c r="F31" s="98" t="s">
        <v>6</v>
      </c>
      <c r="G31" s="335" t="s">
        <v>1105</v>
      </c>
      <c r="H31" s="93"/>
    </row>
    <row r="32" spans="1:8" ht="27.75" x14ac:dyDescent="0.65">
      <c r="A32" s="149" t="s">
        <v>130</v>
      </c>
      <c r="B32" s="149" t="s">
        <v>1114</v>
      </c>
      <c r="C32" s="148">
        <f>IFERROR(VLOOKUP(A32,'งบทดลอง รพ.'!$A$2:$C$599,3,0),0)</f>
        <v>120000</v>
      </c>
      <c r="D32" s="26"/>
      <c r="E32" s="98" t="s">
        <v>1030</v>
      </c>
      <c r="F32" s="98" t="s">
        <v>12</v>
      </c>
      <c r="G32" s="335" t="s">
        <v>1105</v>
      </c>
      <c r="H32" s="93"/>
    </row>
    <row r="33" spans="1:8" ht="27.75" x14ac:dyDescent="0.65">
      <c r="A33" s="149" t="s">
        <v>131</v>
      </c>
      <c r="B33" s="149" t="s">
        <v>1115</v>
      </c>
      <c r="C33" s="148">
        <f>IFERROR(VLOOKUP(A33,'งบทดลอง รพ.'!$A$2:$C$599,3,0),0)</f>
        <v>350000</v>
      </c>
      <c r="D33" s="26"/>
      <c r="E33" s="98" t="s">
        <v>1032</v>
      </c>
      <c r="F33" s="98" t="s">
        <v>12</v>
      </c>
      <c r="G33" s="335" t="s">
        <v>1105</v>
      </c>
      <c r="H33" s="93"/>
    </row>
    <row r="34" spans="1:8" ht="27.75" x14ac:dyDescent="0.65">
      <c r="A34" s="150" t="s">
        <v>78</v>
      </c>
      <c r="B34" s="150" t="s">
        <v>1116</v>
      </c>
      <c r="C34" s="148">
        <f>IFERROR(VLOOKUP(A34,'งบทดลอง รพ.'!$A$2:$C$599,3,0),0)</f>
        <v>323000</v>
      </c>
      <c r="D34" s="26"/>
      <c r="E34" s="98" t="s">
        <v>1002</v>
      </c>
      <c r="F34" s="98" t="s">
        <v>1001</v>
      </c>
      <c r="G34" s="335" t="s">
        <v>1105</v>
      </c>
      <c r="H34" s="93"/>
    </row>
    <row r="35" spans="1:8" ht="27.75" x14ac:dyDescent="0.65">
      <c r="A35" s="150" t="s">
        <v>79</v>
      </c>
      <c r="B35" s="150" t="s">
        <v>1117</v>
      </c>
      <c r="C35" s="148">
        <f>IFERROR(VLOOKUP(A35,'งบทดลอง รพ.'!$A$2:$C$599,3,0),0)</f>
        <v>85000</v>
      </c>
      <c r="D35" s="26"/>
      <c r="E35" s="98" t="s">
        <v>1004</v>
      </c>
      <c r="F35" s="98" t="s">
        <v>1001</v>
      </c>
      <c r="G35" s="335" t="s">
        <v>1105</v>
      </c>
      <c r="H35" s="93"/>
    </row>
    <row r="36" spans="1:8" ht="27.75" x14ac:dyDescent="0.65">
      <c r="A36" s="150" t="s">
        <v>80</v>
      </c>
      <c r="B36" s="150" t="s">
        <v>81</v>
      </c>
      <c r="C36" s="148">
        <f>IFERROR(VLOOKUP(A36,'งบทดลอง รพ.'!$A$2:$C$599,3,0),0)</f>
        <v>-30000</v>
      </c>
      <c r="D36" s="26"/>
      <c r="E36" s="98" t="s">
        <v>1006</v>
      </c>
      <c r="F36" s="98" t="s">
        <v>1001</v>
      </c>
      <c r="G36" s="335" t="s">
        <v>1105</v>
      </c>
      <c r="H36" s="93"/>
    </row>
    <row r="37" spans="1:8" ht="27.75" x14ac:dyDescent="0.65">
      <c r="A37" s="150" t="s">
        <v>82</v>
      </c>
      <c r="B37" s="150" t="s">
        <v>83</v>
      </c>
      <c r="C37" s="148">
        <f>IFERROR(VLOOKUP(A37,'งบทดลอง รพ.'!$A$2:$C$599,3,0),0)</f>
        <v>9000</v>
      </c>
      <c r="D37" s="26"/>
      <c r="E37" s="98" t="s">
        <v>1006</v>
      </c>
      <c r="F37" s="98" t="s">
        <v>1001</v>
      </c>
      <c r="G37" s="335" t="s">
        <v>1105</v>
      </c>
      <c r="H37" s="93"/>
    </row>
    <row r="38" spans="1:8" ht="27.75" x14ac:dyDescent="0.65">
      <c r="A38" s="150" t="s">
        <v>839</v>
      </c>
      <c r="B38" s="150" t="s">
        <v>840</v>
      </c>
      <c r="C38" s="148">
        <f>IFERROR(VLOOKUP(A38,'งบทดลอง รพ.'!$A$2:$C$599,3,0),0)</f>
        <v>32000</v>
      </c>
      <c r="D38" s="26"/>
      <c r="E38" s="98" t="s">
        <v>1002</v>
      </c>
      <c r="F38" s="98" t="s">
        <v>1001</v>
      </c>
      <c r="G38" s="335" t="s">
        <v>1105</v>
      </c>
      <c r="H38" s="93"/>
    </row>
    <row r="39" spans="1:8" ht="27.75" x14ac:dyDescent="0.65">
      <c r="A39" s="150" t="s">
        <v>841</v>
      </c>
      <c r="B39" s="150" t="s">
        <v>842</v>
      </c>
      <c r="C39" s="148">
        <f>IFERROR(VLOOKUP(A39,'งบทดลอง รพ.'!$A$2:$C$599,3,0),0)</f>
        <v>31000</v>
      </c>
      <c r="D39" s="26"/>
      <c r="E39" s="98" t="s">
        <v>1004</v>
      </c>
      <c r="F39" s="98" t="s">
        <v>1001</v>
      </c>
      <c r="G39" s="335" t="s">
        <v>1105</v>
      </c>
      <c r="H39" s="93"/>
    </row>
    <row r="40" spans="1:8" ht="27.75" x14ac:dyDescent="0.65">
      <c r="A40" s="150" t="s">
        <v>843</v>
      </c>
      <c r="B40" s="150" t="s">
        <v>844</v>
      </c>
      <c r="C40" s="148">
        <f>IFERROR(VLOOKUP(A40,'งบทดลอง รพ.'!$A$2:$C$599,3,0),0)</f>
        <v>0</v>
      </c>
      <c r="D40" s="26"/>
      <c r="E40" s="98" t="s">
        <v>1006</v>
      </c>
      <c r="F40" s="98" t="s">
        <v>1001</v>
      </c>
      <c r="G40" s="335" t="s">
        <v>1105</v>
      </c>
      <c r="H40" s="93"/>
    </row>
    <row r="41" spans="1:8" ht="27.75" x14ac:dyDescent="0.65">
      <c r="A41" s="150" t="s">
        <v>845</v>
      </c>
      <c r="B41" s="150" t="s">
        <v>846</v>
      </c>
      <c r="C41" s="148">
        <f>IFERROR(VLOOKUP(A41,'งบทดลอง รพ.'!$A$2:$C$599,3,0),0)</f>
        <v>0</v>
      </c>
      <c r="D41" s="26"/>
      <c r="E41" s="98" t="s">
        <v>1006</v>
      </c>
      <c r="F41" s="98" t="s">
        <v>1001</v>
      </c>
      <c r="G41" s="335" t="s">
        <v>1105</v>
      </c>
      <c r="H41" s="93"/>
    </row>
    <row r="42" spans="1:8" ht="27.75" x14ac:dyDescent="0.65">
      <c r="A42" s="150" t="s">
        <v>847</v>
      </c>
      <c r="B42" s="150" t="s">
        <v>848</v>
      </c>
      <c r="C42" s="148">
        <f>IFERROR(VLOOKUP(A42,'งบทดลอง รพ.'!$A$2:$C$599,3,0),0)</f>
        <v>0</v>
      </c>
      <c r="D42" s="26"/>
      <c r="E42" s="98" t="s">
        <v>1002</v>
      </c>
      <c r="F42" s="98" t="s">
        <v>1001</v>
      </c>
      <c r="G42" s="335" t="s">
        <v>1105</v>
      </c>
      <c r="H42" s="93"/>
    </row>
    <row r="43" spans="1:8" ht="27.75" x14ac:dyDescent="0.65">
      <c r="A43" s="150" t="s">
        <v>849</v>
      </c>
      <c r="B43" s="150" t="s">
        <v>850</v>
      </c>
      <c r="C43" s="148">
        <f>IFERROR(VLOOKUP(A43,'งบทดลอง รพ.'!$A$2:$C$599,3,0),0)</f>
        <v>0</v>
      </c>
      <c r="D43" s="26"/>
      <c r="E43" s="98" t="s">
        <v>1004</v>
      </c>
      <c r="F43" s="98" t="s">
        <v>1001</v>
      </c>
      <c r="G43" s="335" t="s">
        <v>1105</v>
      </c>
      <c r="H43" s="93"/>
    </row>
    <row r="44" spans="1:8" ht="27.75" x14ac:dyDescent="0.65">
      <c r="A44" s="150" t="s">
        <v>851</v>
      </c>
      <c r="B44" s="150" t="s">
        <v>852</v>
      </c>
      <c r="C44" s="148">
        <f>IFERROR(VLOOKUP(A44,'งบทดลอง รพ.'!$A$2:$C$599,3,0),0)</f>
        <v>0</v>
      </c>
      <c r="D44" s="26"/>
      <c r="E44" s="98" t="s">
        <v>1006</v>
      </c>
      <c r="F44" s="98" t="s">
        <v>1001</v>
      </c>
      <c r="G44" s="335" t="s">
        <v>1105</v>
      </c>
      <c r="H44" s="93"/>
    </row>
    <row r="45" spans="1:8" ht="27.75" x14ac:dyDescent="0.65">
      <c r="A45" s="150" t="s">
        <v>853</v>
      </c>
      <c r="B45" s="150" t="s">
        <v>854</v>
      </c>
      <c r="C45" s="148">
        <f>IFERROR(VLOOKUP(A45,'งบทดลอง รพ.'!$A$2:$C$599,3,0),0)</f>
        <v>0</v>
      </c>
      <c r="D45" s="26"/>
      <c r="E45" s="98" t="s">
        <v>1006</v>
      </c>
      <c r="F45" s="98" t="s">
        <v>1001</v>
      </c>
      <c r="G45" s="335" t="s">
        <v>1105</v>
      </c>
      <c r="H45" s="93"/>
    </row>
    <row r="46" spans="1:8" ht="27.75" x14ac:dyDescent="0.65">
      <c r="A46" s="149" t="s">
        <v>45</v>
      </c>
      <c r="B46" s="149" t="s">
        <v>1118</v>
      </c>
      <c r="C46" s="148">
        <f>IFERROR(VLOOKUP(A46,'งบทดลอง รพ.'!$A$2:$C$599,3,0),0)</f>
        <v>25000000</v>
      </c>
      <c r="D46" s="26"/>
      <c r="E46" s="98" t="s">
        <v>989</v>
      </c>
      <c r="F46" s="98" t="s">
        <v>0</v>
      </c>
      <c r="G46" s="335" t="s">
        <v>1105</v>
      </c>
      <c r="H46" s="93"/>
    </row>
    <row r="47" spans="1:8" ht="27.75" x14ac:dyDescent="0.65">
      <c r="A47" s="149" t="s">
        <v>46</v>
      </c>
      <c r="B47" s="149" t="s">
        <v>1119</v>
      </c>
      <c r="C47" s="148">
        <f>IFERROR(VLOOKUP(A47,'งบทดลอง รพ.'!$A$2:$C$599,3,0),0)</f>
        <v>10378000</v>
      </c>
      <c r="D47" s="26"/>
      <c r="E47" s="98" t="s">
        <v>991</v>
      </c>
      <c r="F47" s="98" t="s">
        <v>0</v>
      </c>
      <c r="G47" s="335" t="s">
        <v>1105</v>
      </c>
      <c r="H47" s="93"/>
    </row>
    <row r="48" spans="1:8" ht="27.75" x14ac:dyDescent="0.65">
      <c r="A48" s="149" t="s">
        <v>47</v>
      </c>
      <c r="B48" s="149" t="s">
        <v>1120</v>
      </c>
      <c r="C48" s="148">
        <f>IFERROR(VLOOKUP(A48,'งบทดลอง รพ.'!$A$2:$C$599,3,0),0)</f>
        <v>120000</v>
      </c>
      <c r="D48" s="26"/>
      <c r="E48" s="98" t="s">
        <v>989</v>
      </c>
      <c r="F48" s="98" t="s">
        <v>0</v>
      </c>
      <c r="G48" s="335" t="s">
        <v>1105</v>
      </c>
      <c r="H48" s="93"/>
    </row>
    <row r="49" spans="1:8" ht="27.75" x14ac:dyDescent="0.65">
      <c r="A49" s="149" t="s">
        <v>48</v>
      </c>
      <c r="B49" s="149" t="s">
        <v>1121</v>
      </c>
      <c r="C49" s="148">
        <f>IFERROR(VLOOKUP(A49,'งบทดลอง รพ.'!$A$2:$C$599,3,0),0)</f>
        <v>0</v>
      </c>
      <c r="D49" s="26"/>
      <c r="E49" s="98" t="s">
        <v>989</v>
      </c>
      <c r="F49" s="98" t="s">
        <v>0</v>
      </c>
      <c r="G49" s="335" t="s">
        <v>1105</v>
      </c>
      <c r="H49" s="93"/>
    </row>
    <row r="50" spans="1:8" ht="27.75" x14ac:dyDescent="0.65">
      <c r="A50" s="149" t="s">
        <v>49</v>
      </c>
      <c r="B50" s="149" t="s">
        <v>1122</v>
      </c>
      <c r="C50" s="148">
        <f>IFERROR(VLOOKUP(A50,'งบทดลอง รพ.'!$A$2:$C$599,3,0),0)</f>
        <v>0</v>
      </c>
      <c r="D50" s="26"/>
      <c r="E50" s="98" t="s">
        <v>989</v>
      </c>
      <c r="F50" s="98" t="s">
        <v>0</v>
      </c>
      <c r="G50" s="335" t="s">
        <v>1105</v>
      </c>
      <c r="H50" s="93"/>
    </row>
    <row r="51" spans="1:8" ht="27.75" x14ac:dyDescent="0.65">
      <c r="A51" s="150" t="s">
        <v>215</v>
      </c>
      <c r="B51" s="150" t="s">
        <v>216</v>
      </c>
      <c r="C51" s="148">
        <f>IFERROR(VLOOKUP(A51,'งบทดลอง รพ.'!$A$2:$C$599,3,0),0)</f>
        <v>3556759.27</v>
      </c>
      <c r="D51" s="26"/>
      <c r="E51" s="98" t="s">
        <v>1038</v>
      </c>
      <c r="F51" s="98" t="s">
        <v>18</v>
      </c>
      <c r="G51" s="335" t="s">
        <v>1105</v>
      </c>
      <c r="H51" s="93"/>
    </row>
    <row r="52" spans="1:8" ht="27.75" x14ac:dyDescent="0.65">
      <c r="A52" s="149" t="s">
        <v>50</v>
      </c>
      <c r="B52" s="149" t="s">
        <v>1123</v>
      </c>
      <c r="C52" s="148">
        <f>IFERROR(VLOOKUP(A52,'งบทดลอง รพ.'!$A$2:$C$599,3,0),0)</f>
        <v>19808691.157499999</v>
      </c>
      <c r="D52" s="26"/>
      <c r="E52" s="98" t="s">
        <v>989</v>
      </c>
      <c r="F52" s="98" t="s">
        <v>0</v>
      </c>
      <c r="G52" s="335" t="s">
        <v>1105</v>
      </c>
      <c r="H52" s="93"/>
    </row>
    <row r="53" spans="1:8" ht="27.75" x14ac:dyDescent="0.65">
      <c r="A53" s="149" t="s">
        <v>51</v>
      </c>
      <c r="B53" s="149" t="s">
        <v>1124</v>
      </c>
      <c r="C53" s="148">
        <f>IFERROR(VLOOKUP(A53,'งบทดลอง รพ.'!$A$2:$C$599,3,0),0)</f>
        <v>0</v>
      </c>
      <c r="D53" s="26"/>
      <c r="E53" s="98" t="s">
        <v>994</v>
      </c>
      <c r="F53" s="98" t="s">
        <v>0</v>
      </c>
      <c r="G53" s="335" t="s">
        <v>1105</v>
      </c>
      <c r="H53" s="93"/>
    </row>
    <row r="54" spans="1:8" ht="27.75" x14ac:dyDescent="0.65">
      <c r="A54" s="149" t="s">
        <v>52</v>
      </c>
      <c r="B54" s="149" t="s">
        <v>1125</v>
      </c>
      <c r="C54" s="148">
        <f>IFERROR(VLOOKUP(A54,'งบทดลอง รพ.'!$A$2:$C$599,3,0),0)</f>
        <v>7449021.6299999999</v>
      </c>
      <c r="D54" s="26"/>
      <c r="E54" s="98" t="s">
        <v>989</v>
      </c>
      <c r="F54" s="98" t="s">
        <v>0</v>
      </c>
      <c r="G54" s="335" t="s">
        <v>1105</v>
      </c>
      <c r="H54" s="93"/>
    </row>
    <row r="55" spans="1:8" ht="27.75" x14ac:dyDescent="0.65">
      <c r="A55" s="149" t="s">
        <v>53</v>
      </c>
      <c r="B55" s="149" t="s">
        <v>54</v>
      </c>
      <c r="C55" s="148">
        <f>IFERROR(VLOOKUP(A55,'งบทดลอง รพ.'!$A$2:$C$599,3,0),0)</f>
        <v>1083815.5</v>
      </c>
      <c r="D55" s="26"/>
      <c r="E55" s="98" t="s">
        <v>994</v>
      </c>
      <c r="F55" s="98" t="s">
        <v>0</v>
      </c>
      <c r="G55" s="335" t="s">
        <v>1105</v>
      </c>
      <c r="H55" s="93"/>
    </row>
    <row r="56" spans="1:8" ht="27.75" x14ac:dyDescent="0.65">
      <c r="A56" s="149" t="s">
        <v>55</v>
      </c>
      <c r="B56" s="149" t="s">
        <v>1126</v>
      </c>
      <c r="C56" s="148">
        <f>IFERROR(VLOOKUP(A56,'งบทดลอง รพ.'!$A$2:$C$599,3,0),0)</f>
        <v>0</v>
      </c>
      <c r="D56" s="26"/>
      <c r="E56" s="98" t="s">
        <v>994</v>
      </c>
      <c r="F56" s="98" t="s">
        <v>0</v>
      </c>
      <c r="G56" s="335" t="s">
        <v>1105</v>
      </c>
      <c r="H56" s="93"/>
    </row>
    <row r="57" spans="1:8" ht="27.75" x14ac:dyDescent="0.65">
      <c r="A57" s="149" t="s">
        <v>56</v>
      </c>
      <c r="B57" s="149" t="s">
        <v>57</v>
      </c>
      <c r="C57" s="148">
        <f>IFERROR(VLOOKUP(A57,'งบทดลอง รพ.'!$A$2:$C$599,3,0),0)</f>
        <v>504008.61</v>
      </c>
      <c r="D57" s="26"/>
      <c r="E57" s="98" t="s">
        <v>994</v>
      </c>
      <c r="F57" s="98" t="s">
        <v>0</v>
      </c>
      <c r="G57" s="335" t="s">
        <v>1105</v>
      </c>
      <c r="H57" s="93"/>
    </row>
    <row r="58" spans="1:8" ht="27.75" x14ac:dyDescent="0.65">
      <c r="A58" s="149" t="s">
        <v>58</v>
      </c>
      <c r="B58" s="149" t="s">
        <v>1127</v>
      </c>
      <c r="C58" s="148">
        <f>IFERROR(VLOOKUP(A58,'งบทดลอง รพ.'!$A$2:$C$599,3,0),0)</f>
        <v>0</v>
      </c>
      <c r="D58" s="26"/>
      <c r="E58" s="98" t="s">
        <v>993</v>
      </c>
      <c r="F58" s="98" t="s">
        <v>0</v>
      </c>
      <c r="G58" s="335" t="s">
        <v>1105</v>
      </c>
      <c r="H58" s="93"/>
    </row>
    <row r="59" spans="1:8" ht="27.75" x14ac:dyDescent="0.65">
      <c r="A59" s="149" t="s">
        <v>59</v>
      </c>
      <c r="B59" s="149" t="s">
        <v>1128</v>
      </c>
      <c r="C59" s="148">
        <f>IFERROR(VLOOKUP(A59,'งบทดลอง รพ.'!$A$2:$C$599,3,0),0)</f>
        <v>-282174.12</v>
      </c>
      <c r="D59" s="26"/>
      <c r="E59" s="98" t="s">
        <v>993</v>
      </c>
      <c r="F59" s="98" t="s">
        <v>0</v>
      </c>
      <c r="G59" s="335" t="s">
        <v>1105</v>
      </c>
      <c r="H59" s="93"/>
    </row>
    <row r="60" spans="1:8" ht="27.75" x14ac:dyDescent="0.65">
      <c r="A60" s="149" t="s">
        <v>60</v>
      </c>
      <c r="B60" s="149" t="s">
        <v>1129</v>
      </c>
      <c r="C60" s="148">
        <f>IFERROR(VLOOKUP(A60,'งบทดลอง รพ.'!$A$2:$C$599,3,0),0)</f>
        <v>1363220.11</v>
      </c>
      <c r="D60" s="26"/>
      <c r="E60" s="98" t="s">
        <v>993</v>
      </c>
      <c r="F60" s="98" t="s">
        <v>0</v>
      </c>
      <c r="G60" s="335" t="s">
        <v>1105</v>
      </c>
      <c r="H60" s="93"/>
    </row>
    <row r="61" spans="1:8" ht="27.75" x14ac:dyDescent="0.65">
      <c r="A61" s="149" t="s">
        <v>61</v>
      </c>
      <c r="B61" s="149" t="s">
        <v>1130</v>
      </c>
      <c r="C61" s="148">
        <f>IFERROR(VLOOKUP(A61,'งบทดลอง รพ.'!$A$2:$C$599,3,0),0)</f>
        <v>-37844</v>
      </c>
      <c r="D61" s="26"/>
      <c r="E61" s="98" t="s">
        <v>993</v>
      </c>
      <c r="F61" s="98" t="s">
        <v>0</v>
      </c>
      <c r="G61" s="335" t="s">
        <v>1105</v>
      </c>
      <c r="H61" s="93"/>
    </row>
    <row r="62" spans="1:8" ht="27.75" x14ac:dyDescent="0.65">
      <c r="A62" s="149" t="s">
        <v>62</v>
      </c>
      <c r="B62" s="149" t="s">
        <v>1131</v>
      </c>
      <c r="C62" s="148">
        <f>IFERROR(VLOOKUP(A62,'งบทดลอง รพ.'!$A$2:$C$599,3,0),0)</f>
        <v>363082.67</v>
      </c>
      <c r="D62" s="26"/>
      <c r="E62" s="98" t="s">
        <v>993</v>
      </c>
      <c r="F62" s="98" t="s">
        <v>0</v>
      </c>
      <c r="G62" s="335" t="s">
        <v>1105</v>
      </c>
      <c r="H62" s="93"/>
    </row>
    <row r="63" spans="1:8" ht="27.75" x14ac:dyDescent="0.65">
      <c r="A63" s="149" t="s">
        <v>63</v>
      </c>
      <c r="B63" s="149" t="s">
        <v>1132</v>
      </c>
      <c r="C63" s="148">
        <f>IFERROR(VLOOKUP(A63,'งบทดลอง รพ.'!$A$2:$C$599,3,0),0)</f>
        <v>94036</v>
      </c>
      <c r="D63" s="26"/>
      <c r="E63" s="98" t="s">
        <v>989</v>
      </c>
      <c r="F63" s="98" t="s">
        <v>0</v>
      </c>
      <c r="G63" s="335" t="s">
        <v>1105</v>
      </c>
      <c r="H63" s="93"/>
    </row>
    <row r="64" spans="1:8" ht="27.75" x14ac:dyDescent="0.65">
      <c r="A64" s="149" t="s">
        <v>64</v>
      </c>
      <c r="B64" s="149" t="s">
        <v>65</v>
      </c>
      <c r="C64" s="148">
        <f>IFERROR(VLOOKUP(A64,'งบทดลอง รพ.'!$A$2:$C$599,3,0),0)</f>
        <v>0</v>
      </c>
      <c r="D64" s="26"/>
      <c r="E64" s="98" t="s">
        <v>994</v>
      </c>
      <c r="F64" s="98" t="s">
        <v>0</v>
      </c>
      <c r="G64" s="335" t="s">
        <v>1105</v>
      </c>
      <c r="H64" s="93"/>
    </row>
    <row r="65" spans="1:8" ht="27.75" x14ac:dyDescent="0.65">
      <c r="A65" s="149" t="s">
        <v>66</v>
      </c>
      <c r="B65" s="149" t="s">
        <v>67</v>
      </c>
      <c r="C65" s="148">
        <f>IFERROR(VLOOKUP(A65,'งบทดลอง รพ.'!$A$2:$C$599,3,0),0)</f>
        <v>0</v>
      </c>
      <c r="D65" s="26"/>
      <c r="E65" s="98" t="s">
        <v>994</v>
      </c>
      <c r="F65" s="98" t="s">
        <v>0</v>
      </c>
      <c r="G65" s="335" t="s">
        <v>1105</v>
      </c>
      <c r="H65" s="93"/>
    </row>
    <row r="66" spans="1:8" ht="27.75" x14ac:dyDescent="0.65">
      <c r="A66" s="149" t="s">
        <v>68</v>
      </c>
      <c r="B66" s="149" t="s">
        <v>1133</v>
      </c>
      <c r="C66" s="148">
        <f>IFERROR(VLOOKUP(A66,'งบทดลอง รพ.'!$A$2:$C$599,3,0),0)</f>
        <v>565330</v>
      </c>
      <c r="D66" s="26"/>
      <c r="E66" s="98" t="s">
        <v>989</v>
      </c>
      <c r="F66" s="98" t="s">
        <v>0</v>
      </c>
      <c r="G66" s="335" t="s">
        <v>1105</v>
      </c>
      <c r="H66" s="93"/>
    </row>
    <row r="67" spans="1:8" ht="27.75" x14ac:dyDescent="0.65">
      <c r="A67" s="149" t="s">
        <v>69</v>
      </c>
      <c r="B67" s="149" t="s">
        <v>1134</v>
      </c>
      <c r="C67" s="148">
        <f>IFERROR(VLOOKUP(A67,'งบทดลอง รพ.'!$A$2:$C$599,3,0),0)</f>
        <v>650000</v>
      </c>
      <c r="D67" s="26"/>
      <c r="E67" s="98" t="s">
        <v>991</v>
      </c>
      <c r="F67" s="98" t="s">
        <v>0</v>
      </c>
      <c r="G67" s="335" t="s">
        <v>1105</v>
      </c>
      <c r="H67" s="93"/>
    </row>
    <row r="68" spans="1:8" ht="27.75" x14ac:dyDescent="0.65">
      <c r="A68" s="149" t="s">
        <v>70</v>
      </c>
      <c r="B68" s="149" t="s">
        <v>1135</v>
      </c>
      <c r="C68" s="148">
        <f>IFERROR(VLOOKUP(A68,'งบทดลอง รพ.'!$A$2:$C$599,3,0),0)</f>
        <v>0</v>
      </c>
      <c r="D68" s="26"/>
      <c r="E68" s="98" t="s">
        <v>989</v>
      </c>
      <c r="F68" s="98" t="s">
        <v>0</v>
      </c>
      <c r="G68" s="335" t="s">
        <v>1105</v>
      </c>
      <c r="H68" s="93"/>
    </row>
    <row r="69" spans="1:8" ht="27.75" x14ac:dyDescent="0.65">
      <c r="A69" s="149" t="s">
        <v>71</v>
      </c>
      <c r="B69" s="149" t="s">
        <v>1136</v>
      </c>
      <c r="C69" s="148">
        <f>IFERROR(VLOOKUP(A69,'งบทดลอง รพ.'!$A$2:$C$599,3,0),0)</f>
        <v>0</v>
      </c>
      <c r="D69" s="26"/>
      <c r="E69" s="98" t="s">
        <v>991</v>
      </c>
      <c r="F69" s="98" t="s">
        <v>0</v>
      </c>
      <c r="G69" s="335" t="s">
        <v>1105</v>
      </c>
      <c r="H69" s="93"/>
    </row>
    <row r="70" spans="1:8" ht="27.75" x14ac:dyDescent="0.65">
      <c r="A70" s="149" t="s">
        <v>72</v>
      </c>
      <c r="B70" s="149" t="s">
        <v>1137</v>
      </c>
      <c r="C70" s="148">
        <f>IFERROR(VLOOKUP(A70,'งบทดลอง รพ.'!$A$2:$C$599,3,0),0)</f>
        <v>0</v>
      </c>
      <c r="D70" s="26"/>
      <c r="E70" s="98" t="s">
        <v>989</v>
      </c>
      <c r="F70" s="98" t="s">
        <v>0</v>
      </c>
      <c r="G70" s="335" t="s">
        <v>1105</v>
      </c>
      <c r="H70" s="93"/>
    </row>
    <row r="71" spans="1:8" ht="27.75" x14ac:dyDescent="0.65">
      <c r="A71" s="149" t="s">
        <v>73</v>
      </c>
      <c r="B71" s="149" t="s">
        <v>1138</v>
      </c>
      <c r="C71" s="148">
        <f>IFERROR(VLOOKUP(A71,'งบทดลอง รพ.'!$A$2:$C$599,3,0),0)</f>
        <v>0</v>
      </c>
      <c r="D71" s="26"/>
      <c r="E71" s="98" t="s">
        <v>991</v>
      </c>
      <c r="F71" s="98" t="s">
        <v>0</v>
      </c>
      <c r="G71" s="335" t="s">
        <v>1105</v>
      </c>
      <c r="H71" s="93"/>
    </row>
    <row r="72" spans="1:8" ht="27.75" x14ac:dyDescent="0.65">
      <c r="A72" s="149" t="s">
        <v>74</v>
      </c>
      <c r="B72" s="149" t="s">
        <v>1139</v>
      </c>
      <c r="C72" s="148">
        <f>IFERROR(VLOOKUP(A72,'งบทดลอง รพ.'!$A$2:$C$599,3,0),0)</f>
        <v>-10000</v>
      </c>
      <c r="D72" s="26"/>
      <c r="E72" s="98" t="s">
        <v>993</v>
      </c>
      <c r="F72" s="98" t="s">
        <v>0</v>
      </c>
      <c r="G72" s="335" t="s">
        <v>1105</v>
      </c>
      <c r="H72" s="93"/>
    </row>
    <row r="73" spans="1:8" ht="27.75" x14ac:dyDescent="0.65">
      <c r="A73" s="149" t="s">
        <v>75</v>
      </c>
      <c r="B73" s="149" t="s">
        <v>1140</v>
      </c>
      <c r="C73" s="148">
        <f>IFERROR(VLOOKUP(A73,'งบทดลอง รพ.'!$A$2:$C$599,3,0),0)</f>
        <v>8700</v>
      </c>
      <c r="D73" s="26"/>
      <c r="E73" s="98" t="s">
        <v>993</v>
      </c>
      <c r="F73" s="98" t="s">
        <v>0</v>
      </c>
      <c r="G73" s="335" t="s">
        <v>1105</v>
      </c>
      <c r="H73" s="93"/>
    </row>
    <row r="74" spans="1:8" ht="27.75" x14ac:dyDescent="0.65">
      <c r="A74" s="149" t="s">
        <v>855</v>
      </c>
      <c r="B74" s="149" t="s">
        <v>856</v>
      </c>
      <c r="C74" s="148">
        <f>IFERROR(VLOOKUP(A74,'งบทดลอง รพ.'!$A$2:$C$599,3,0),0)</f>
        <v>0</v>
      </c>
      <c r="D74" s="26"/>
      <c r="E74" s="98" t="s">
        <v>993</v>
      </c>
      <c r="F74" s="98" t="s">
        <v>0</v>
      </c>
      <c r="G74" s="335" t="s">
        <v>1105</v>
      </c>
      <c r="H74" s="93"/>
    </row>
    <row r="75" spans="1:8" ht="27.75" x14ac:dyDescent="0.65">
      <c r="A75" s="149" t="s">
        <v>857</v>
      </c>
      <c r="B75" s="149" t="s">
        <v>858</v>
      </c>
      <c r="C75" s="148">
        <f>IFERROR(VLOOKUP(A75,'งบทดลอง รพ.'!$A$2:$C$599,3,0),0)</f>
        <v>0</v>
      </c>
      <c r="D75" s="26"/>
      <c r="E75" s="98" t="s">
        <v>993</v>
      </c>
      <c r="F75" s="98" t="s">
        <v>0</v>
      </c>
      <c r="G75" s="335" t="s">
        <v>1105</v>
      </c>
      <c r="H75" s="93"/>
    </row>
    <row r="76" spans="1:8" ht="27.75" x14ac:dyDescent="0.65">
      <c r="A76" s="149" t="s">
        <v>859</v>
      </c>
      <c r="B76" s="149" t="s">
        <v>860</v>
      </c>
      <c r="C76" s="148">
        <f>IFERROR(VLOOKUP(A76,'งบทดลอง รพ.'!$A$2:$C$599,3,0),0)</f>
        <v>0</v>
      </c>
      <c r="D76" s="26"/>
      <c r="E76" s="98" t="s">
        <v>994</v>
      </c>
      <c r="F76" s="98" t="s">
        <v>0</v>
      </c>
      <c r="G76" s="335" t="s">
        <v>1105</v>
      </c>
      <c r="H76" s="93"/>
    </row>
    <row r="77" spans="1:8" ht="27.75" x14ac:dyDescent="0.65">
      <c r="A77" s="149" t="s">
        <v>861</v>
      </c>
      <c r="B77" s="149" t="s">
        <v>862</v>
      </c>
      <c r="C77" s="148">
        <f>IFERROR(VLOOKUP(A77,'งบทดลอง รพ.'!$A$2:$C$599,3,0),0)</f>
        <v>0</v>
      </c>
      <c r="D77" s="26"/>
      <c r="E77" s="98" t="s">
        <v>994</v>
      </c>
      <c r="F77" s="98" t="s">
        <v>0</v>
      </c>
      <c r="G77" s="335" t="s">
        <v>1105</v>
      </c>
      <c r="H77" s="93"/>
    </row>
    <row r="78" spans="1:8" ht="27.75" x14ac:dyDescent="0.65">
      <c r="A78" s="149" t="s">
        <v>863</v>
      </c>
      <c r="B78" s="149" t="s">
        <v>864</v>
      </c>
      <c r="C78" s="148">
        <f>IFERROR(VLOOKUP(A78,'งบทดลอง รพ.'!$A$2:$C$599,3,0),0)</f>
        <v>0</v>
      </c>
      <c r="D78" s="26"/>
      <c r="E78" s="98" t="s">
        <v>993</v>
      </c>
      <c r="F78" s="98" t="s">
        <v>0</v>
      </c>
      <c r="G78" s="335" t="s">
        <v>1105</v>
      </c>
      <c r="H78" s="93"/>
    </row>
    <row r="79" spans="1:8" ht="27.75" x14ac:dyDescent="0.65">
      <c r="A79" s="149" t="s">
        <v>865</v>
      </c>
      <c r="B79" s="149" t="s">
        <v>866</v>
      </c>
      <c r="C79" s="148">
        <f>IFERROR(VLOOKUP(A79,'งบทดลอง รพ.'!$A$2:$C$599,3,0),0)</f>
        <v>0</v>
      </c>
      <c r="D79" s="26"/>
      <c r="E79" s="98" t="s">
        <v>993</v>
      </c>
      <c r="F79" s="98" t="s">
        <v>0</v>
      </c>
      <c r="G79" s="335" t="s">
        <v>1105</v>
      </c>
      <c r="H79" s="93"/>
    </row>
    <row r="80" spans="1:8" ht="27.75" x14ac:dyDescent="0.65">
      <c r="A80" s="149" t="s">
        <v>867</v>
      </c>
      <c r="B80" s="149" t="s">
        <v>868</v>
      </c>
      <c r="C80" s="148">
        <f>IFERROR(VLOOKUP(A80,'งบทดลอง รพ.'!$A$2:$C$599,3,0),0)</f>
        <v>0</v>
      </c>
      <c r="D80" s="26"/>
      <c r="E80" s="98" t="s">
        <v>993</v>
      </c>
      <c r="F80" s="98" t="s">
        <v>0</v>
      </c>
      <c r="G80" s="335" t="s">
        <v>1105</v>
      </c>
      <c r="H80" s="93"/>
    </row>
    <row r="81" spans="1:8" ht="27.75" x14ac:dyDescent="0.65">
      <c r="A81" s="149" t="s">
        <v>816</v>
      </c>
      <c r="B81" s="149" t="s">
        <v>1141</v>
      </c>
      <c r="C81" s="148">
        <f>IFERROR(VLOOKUP(A81,'งบทดลอง รพ.'!$A$2:$C$599,3,0),0)</f>
        <v>0</v>
      </c>
      <c r="D81" s="26"/>
      <c r="E81" s="98" t="s">
        <v>993</v>
      </c>
      <c r="F81" s="98" t="s">
        <v>0</v>
      </c>
      <c r="G81" s="335" t="s">
        <v>1105</v>
      </c>
      <c r="H81" s="93"/>
    </row>
    <row r="82" spans="1:8" ht="27.75" x14ac:dyDescent="0.65">
      <c r="A82" s="149" t="s">
        <v>817</v>
      </c>
      <c r="B82" s="149" t="s">
        <v>818</v>
      </c>
      <c r="C82" s="148">
        <f>IFERROR(VLOOKUP(A82,'งบทดลอง รพ.'!$A$2:$C$599,3,0),0)</f>
        <v>0</v>
      </c>
      <c r="D82" s="26"/>
      <c r="E82" s="98" t="s">
        <v>993</v>
      </c>
      <c r="F82" s="98" t="s">
        <v>0</v>
      </c>
      <c r="G82" s="335" t="s">
        <v>1105</v>
      </c>
      <c r="H82" s="93"/>
    </row>
    <row r="83" spans="1:8" ht="27.75" x14ac:dyDescent="0.65">
      <c r="A83" s="149" t="s">
        <v>819</v>
      </c>
      <c r="B83" s="149" t="s">
        <v>820</v>
      </c>
      <c r="C83" s="148">
        <f>IFERROR(VLOOKUP(A83,'งบทดลอง รพ.'!$A$2:$C$599,3,0),0)</f>
        <v>0</v>
      </c>
      <c r="D83" s="26"/>
      <c r="E83" s="98" t="s">
        <v>993</v>
      </c>
      <c r="F83" s="98" t="s">
        <v>0</v>
      </c>
      <c r="G83" s="335" t="s">
        <v>1105</v>
      </c>
      <c r="H83" s="93"/>
    </row>
    <row r="84" spans="1:8" ht="27.75" x14ac:dyDescent="0.65">
      <c r="A84" s="149" t="s">
        <v>821</v>
      </c>
      <c r="B84" s="149" t="s">
        <v>822</v>
      </c>
      <c r="C84" s="148">
        <f>IFERROR(VLOOKUP(A84,'งบทดลอง รพ.'!$A$2:$C$599,3,0),0)</f>
        <v>0</v>
      </c>
      <c r="D84" s="26"/>
      <c r="E84" s="98" t="s">
        <v>989</v>
      </c>
      <c r="F84" s="98" t="s">
        <v>0</v>
      </c>
      <c r="G84" s="335" t="s">
        <v>1105</v>
      </c>
      <c r="H84" s="93"/>
    </row>
    <row r="85" spans="1:8" ht="27.75" x14ac:dyDescent="0.65">
      <c r="A85" s="149" t="s">
        <v>823</v>
      </c>
      <c r="B85" s="149" t="s">
        <v>824</v>
      </c>
      <c r="C85" s="148">
        <f>IFERROR(VLOOKUP(A85,'งบทดลอง รพ.'!$A$2:$C$599,3,0),0)</f>
        <v>-16056871.26</v>
      </c>
      <c r="D85" s="26"/>
      <c r="E85" s="98" t="s">
        <v>993</v>
      </c>
      <c r="F85" s="98" t="s">
        <v>0</v>
      </c>
      <c r="G85" s="335" t="s">
        <v>1105</v>
      </c>
      <c r="H85" s="93"/>
    </row>
    <row r="86" spans="1:8" ht="27.75" x14ac:dyDescent="0.65">
      <c r="A86" s="149" t="s">
        <v>825</v>
      </c>
      <c r="B86" s="149" t="s">
        <v>826</v>
      </c>
      <c r="C86" s="148">
        <f>IFERROR(VLOOKUP(A86,'งบทดลอง รพ.'!$A$2:$C$599,3,0),0)</f>
        <v>-4138077</v>
      </c>
      <c r="D86" s="26"/>
      <c r="E86" s="98" t="s">
        <v>993</v>
      </c>
      <c r="F86" s="98" t="s">
        <v>0</v>
      </c>
      <c r="G86" s="335" t="s">
        <v>1105</v>
      </c>
      <c r="H86" s="93"/>
    </row>
    <row r="87" spans="1:8" ht="27.75" x14ac:dyDescent="0.65">
      <c r="A87" s="149" t="s">
        <v>827</v>
      </c>
      <c r="B87" s="149" t="s">
        <v>828</v>
      </c>
      <c r="C87" s="148">
        <f>IFERROR(VLOOKUP(A87,'งบทดลอง รพ.'!$A$2:$C$599,3,0),0)</f>
        <v>-3397281.02</v>
      </c>
      <c r="D87" s="26"/>
      <c r="E87" s="98" t="s">
        <v>993</v>
      </c>
      <c r="F87" s="98" t="s">
        <v>0</v>
      </c>
      <c r="G87" s="335" t="s">
        <v>1105</v>
      </c>
      <c r="H87" s="93"/>
    </row>
    <row r="88" spans="1:8" ht="27.75" x14ac:dyDescent="0.65">
      <c r="A88" s="149" t="s">
        <v>91</v>
      </c>
      <c r="B88" s="149" t="s">
        <v>92</v>
      </c>
      <c r="C88" s="148">
        <f>IFERROR(VLOOKUP(A88,'งบทดลอง รพ.'!$A$2:$C$599,3,0),0)</f>
        <v>0</v>
      </c>
      <c r="D88" s="26"/>
      <c r="E88" s="98" t="s">
        <v>1019</v>
      </c>
      <c r="F88" s="98" t="s">
        <v>8</v>
      </c>
      <c r="G88" s="335" t="s">
        <v>1105</v>
      </c>
      <c r="H88" s="93"/>
    </row>
    <row r="89" spans="1:8" ht="27.75" x14ac:dyDescent="0.65">
      <c r="A89" s="149" t="s">
        <v>93</v>
      </c>
      <c r="B89" s="149" t="s">
        <v>1142</v>
      </c>
      <c r="C89" s="148">
        <f>IFERROR(VLOOKUP(A89,'งบทดลอง รพ.'!$A$2:$C$599,3,0),0)</f>
        <v>750000</v>
      </c>
      <c r="D89" s="26"/>
      <c r="E89" s="98" t="s">
        <v>1015</v>
      </c>
      <c r="F89" s="98" t="s">
        <v>8</v>
      </c>
      <c r="G89" s="335" t="s">
        <v>1105</v>
      </c>
      <c r="H89" s="93"/>
    </row>
    <row r="90" spans="1:8" ht="27.75" x14ac:dyDescent="0.65">
      <c r="A90" s="149" t="s">
        <v>94</v>
      </c>
      <c r="B90" s="149" t="s">
        <v>1143</v>
      </c>
      <c r="C90" s="148">
        <f>IFERROR(VLOOKUP(A90,'งบทดลอง รพ.'!$A$2:$C$599,3,0),0)</f>
        <v>368810</v>
      </c>
      <c r="D90" s="26"/>
      <c r="E90" s="98" t="s">
        <v>1017</v>
      </c>
      <c r="F90" s="98" t="s">
        <v>8</v>
      </c>
      <c r="G90" s="335" t="s">
        <v>1105</v>
      </c>
      <c r="H90" s="93"/>
    </row>
    <row r="91" spans="1:8" ht="27.75" x14ac:dyDescent="0.65">
      <c r="A91" s="149" t="s">
        <v>95</v>
      </c>
      <c r="B91" s="149" t="s">
        <v>1144</v>
      </c>
      <c r="C91" s="148">
        <f>IFERROR(VLOOKUP(A91,'งบทดลอง รพ.'!$A$2:$C$599,3,0),0)</f>
        <v>59554</v>
      </c>
      <c r="D91" s="26"/>
      <c r="E91" s="98" t="s">
        <v>1015</v>
      </c>
      <c r="F91" s="98" t="s">
        <v>8</v>
      </c>
      <c r="G91" s="335" t="s">
        <v>1105</v>
      </c>
      <c r="H91" s="93"/>
    </row>
    <row r="92" spans="1:8" ht="27.75" x14ac:dyDescent="0.65">
      <c r="A92" s="149" t="s">
        <v>96</v>
      </c>
      <c r="B92" s="149" t="s">
        <v>1145</v>
      </c>
      <c r="C92" s="148">
        <f>IFERROR(VLOOKUP(A92,'งบทดลอง รพ.'!$A$2:$C$599,3,0),0)</f>
        <v>25286</v>
      </c>
      <c r="D92" s="26"/>
      <c r="E92" s="98" t="s">
        <v>1017</v>
      </c>
      <c r="F92" s="98" t="s">
        <v>8</v>
      </c>
      <c r="G92" s="335" t="s">
        <v>1105</v>
      </c>
      <c r="H92" s="93"/>
    </row>
    <row r="93" spans="1:8" ht="27.75" x14ac:dyDescent="0.65">
      <c r="A93" s="149" t="s">
        <v>97</v>
      </c>
      <c r="B93" s="149" t="s">
        <v>98</v>
      </c>
      <c r="C93" s="148">
        <f>IFERROR(VLOOKUP(A93,'งบทดลอง รพ.'!$A$2:$C$599,3,0),0)</f>
        <v>182850</v>
      </c>
      <c r="D93" s="26"/>
      <c r="E93" s="98" t="s">
        <v>1019</v>
      </c>
      <c r="F93" s="98" t="s">
        <v>8</v>
      </c>
      <c r="G93" s="335" t="s">
        <v>1105</v>
      </c>
      <c r="H93" s="93"/>
    </row>
    <row r="94" spans="1:8" ht="27.75" x14ac:dyDescent="0.65">
      <c r="A94" s="149" t="s">
        <v>99</v>
      </c>
      <c r="B94" s="149" t="s">
        <v>100</v>
      </c>
      <c r="C94" s="148">
        <f>IFERROR(VLOOKUP(A94,'งบทดลอง รพ.'!$A$2:$C$599,3,0),0)</f>
        <v>0</v>
      </c>
      <c r="D94" s="26"/>
      <c r="E94" s="98" t="s">
        <v>1017</v>
      </c>
      <c r="F94" s="98" t="s">
        <v>8</v>
      </c>
      <c r="G94" s="335" t="s">
        <v>1105</v>
      </c>
      <c r="H94" s="93"/>
    </row>
    <row r="95" spans="1:8" ht="27.75" x14ac:dyDescent="0.65">
      <c r="A95" s="149" t="s">
        <v>101</v>
      </c>
      <c r="B95" s="149" t="s">
        <v>1146</v>
      </c>
      <c r="C95" s="148">
        <f>IFERROR(VLOOKUP(A95,'งบทดลอง รพ.'!$A$2:$C$599,3,0),0)</f>
        <v>40600</v>
      </c>
      <c r="D95" s="26"/>
      <c r="E95" s="98" t="s">
        <v>1015</v>
      </c>
      <c r="F95" s="98" t="s">
        <v>8</v>
      </c>
      <c r="G95" s="335" t="s">
        <v>1105</v>
      </c>
      <c r="H95" s="93"/>
    </row>
    <row r="96" spans="1:8" ht="27.75" x14ac:dyDescent="0.65">
      <c r="A96" s="149" t="s">
        <v>102</v>
      </c>
      <c r="B96" s="149" t="s">
        <v>1147</v>
      </c>
      <c r="C96" s="148">
        <f>IFERROR(VLOOKUP(A96,'งบทดลอง รพ.'!$A$2:$C$599,3,0),0)</f>
        <v>104050</v>
      </c>
      <c r="D96" s="26"/>
      <c r="E96" s="98" t="s">
        <v>1017</v>
      </c>
      <c r="F96" s="98" t="s">
        <v>8</v>
      </c>
      <c r="G96" s="335" t="s">
        <v>1105</v>
      </c>
      <c r="H96" s="93"/>
    </row>
    <row r="97" spans="1:8" ht="27.75" x14ac:dyDescent="0.65">
      <c r="A97" s="149" t="s">
        <v>103</v>
      </c>
      <c r="B97" s="149" t="s">
        <v>1148</v>
      </c>
      <c r="C97" s="148">
        <f>IFERROR(VLOOKUP(A97,'งบทดลอง รพ.'!$A$2:$C$599,3,0),0)</f>
        <v>-40450</v>
      </c>
      <c r="D97" s="26"/>
      <c r="E97" s="98" t="s">
        <v>1014</v>
      </c>
      <c r="F97" s="98" t="s">
        <v>8</v>
      </c>
      <c r="G97" s="335" t="s">
        <v>1105</v>
      </c>
      <c r="H97" s="93"/>
    </row>
    <row r="98" spans="1:8" ht="27.75" x14ac:dyDescent="0.65">
      <c r="A98" s="149" t="s">
        <v>104</v>
      </c>
      <c r="B98" s="149" t="s">
        <v>1149</v>
      </c>
      <c r="C98" s="148">
        <f>IFERROR(VLOOKUP(A98,'งบทดลอง รพ.'!$A$2:$C$599,3,0),0)</f>
        <v>0</v>
      </c>
      <c r="D98" s="26"/>
      <c r="E98" s="98" t="s">
        <v>1014</v>
      </c>
      <c r="F98" s="98" t="s">
        <v>8</v>
      </c>
      <c r="G98" s="335" t="s">
        <v>1105</v>
      </c>
      <c r="H98" s="93"/>
    </row>
    <row r="99" spans="1:8" ht="27.75" x14ac:dyDescent="0.65">
      <c r="A99" s="149" t="s">
        <v>105</v>
      </c>
      <c r="B99" s="149" t="s">
        <v>1150</v>
      </c>
      <c r="C99" s="148">
        <f>IFERROR(VLOOKUP(A99,'งบทดลอง รพ.'!$A$2:$C$599,3,0),0)</f>
        <v>0</v>
      </c>
      <c r="D99" s="26"/>
      <c r="E99" s="98" t="s">
        <v>1014</v>
      </c>
      <c r="F99" s="98" t="s">
        <v>8</v>
      </c>
      <c r="G99" s="335" t="s">
        <v>1105</v>
      </c>
      <c r="H99" s="93"/>
    </row>
    <row r="100" spans="1:8" ht="27.75" x14ac:dyDescent="0.65">
      <c r="A100" s="149" t="s">
        <v>106</v>
      </c>
      <c r="B100" s="149" t="s">
        <v>1151</v>
      </c>
      <c r="C100" s="148">
        <f>IFERROR(VLOOKUP(A100,'งบทดลอง รพ.'!$A$2:$C$599,3,0),0)</f>
        <v>0</v>
      </c>
      <c r="D100" s="26"/>
      <c r="E100" s="98" t="s">
        <v>1014</v>
      </c>
      <c r="F100" s="98" t="s">
        <v>8</v>
      </c>
      <c r="G100" s="335" t="s">
        <v>1105</v>
      </c>
      <c r="H100" s="93"/>
    </row>
    <row r="101" spans="1:8" ht="27.75" x14ac:dyDescent="0.65">
      <c r="A101" s="149" t="s">
        <v>869</v>
      </c>
      <c r="B101" s="149" t="s">
        <v>107</v>
      </c>
      <c r="C101" s="148">
        <f>IFERROR(VLOOKUP(A101,'งบทดลอง รพ.'!$A$2:$C$599,3,0),0)</f>
        <v>0</v>
      </c>
      <c r="D101" s="26"/>
      <c r="E101" s="98" t="s">
        <v>1019</v>
      </c>
      <c r="F101" s="98" t="s">
        <v>8</v>
      </c>
      <c r="G101" s="335" t="s">
        <v>1105</v>
      </c>
      <c r="H101" s="93"/>
    </row>
    <row r="102" spans="1:8" ht="27.75" x14ac:dyDescent="0.65">
      <c r="A102" s="149" t="s">
        <v>870</v>
      </c>
      <c r="B102" s="149" t="s">
        <v>108</v>
      </c>
      <c r="C102" s="148">
        <f>IFERROR(VLOOKUP(A102,'งบทดลอง รพ.'!$A$2:$C$599,3,0),0)</f>
        <v>0</v>
      </c>
      <c r="D102" s="26"/>
      <c r="E102" s="98" t="s">
        <v>1019</v>
      </c>
      <c r="F102" s="98" t="s">
        <v>8</v>
      </c>
      <c r="G102" s="335" t="s">
        <v>1105</v>
      </c>
      <c r="H102" s="93"/>
    </row>
    <row r="103" spans="1:8" ht="27.75" x14ac:dyDescent="0.65">
      <c r="A103" s="149" t="s">
        <v>109</v>
      </c>
      <c r="B103" s="149" t="s">
        <v>1152</v>
      </c>
      <c r="C103" s="148">
        <f>IFERROR(VLOOKUP(A103,'งบทดลอง รพ.'!$A$2:$C$599,3,0),0)</f>
        <v>210000</v>
      </c>
      <c r="D103" s="26"/>
      <c r="E103" s="98" t="s">
        <v>1022</v>
      </c>
      <c r="F103" s="98" t="s">
        <v>10</v>
      </c>
      <c r="G103" s="335" t="s">
        <v>1105</v>
      </c>
      <c r="H103" s="93"/>
    </row>
    <row r="104" spans="1:8" ht="27.75" x14ac:dyDescent="0.65">
      <c r="A104" s="149" t="s">
        <v>110</v>
      </c>
      <c r="B104" s="149" t="s">
        <v>1153</v>
      </c>
      <c r="C104" s="148">
        <f>IFERROR(VLOOKUP(A104,'งบทดลอง รพ.'!$A$2:$C$599,3,0),0)</f>
        <v>90000</v>
      </c>
      <c r="D104" s="26"/>
      <c r="E104" s="98" t="s">
        <v>1024</v>
      </c>
      <c r="F104" s="98" t="s">
        <v>10</v>
      </c>
      <c r="G104" s="335" t="s">
        <v>1105</v>
      </c>
      <c r="H104" s="93"/>
    </row>
    <row r="105" spans="1:8" ht="27.75" x14ac:dyDescent="0.65">
      <c r="A105" s="149" t="s">
        <v>111</v>
      </c>
      <c r="B105" s="149" t="s">
        <v>1154</v>
      </c>
      <c r="C105" s="148">
        <f>IFERROR(VLOOKUP(A105,'งบทดลอง รพ.'!$A$2:$C$599,3,0),0)</f>
        <v>0</v>
      </c>
      <c r="D105" s="26"/>
      <c r="E105" s="98" t="s">
        <v>1021</v>
      </c>
      <c r="F105" s="98" t="s">
        <v>10</v>
      </c>
      <c r="G105" s="335" t="s">
        <v>1105</v>
      </c>
      <c r="H105" s="93"/>
    </row>
    <row r="106" spans="1:8" ht="27.75" x14ac:dyDescent="0.65">
      <c r="A106" s="149" t="s">
        <v>112</v>
      </c>
      <c r="B106" s="149" t="s">
        <v>1155</v>
      </c>
      <c r="C106" s="148">
        <f>IFERROR(VLOOKUP(A106,'งบทดลอง รพ.'!$A$2:$C$599,3,0),0)</f>
        <v>0</v>
      </c>
      <c r="D106" s="26"/>
      <c r="E106" s="98" t="s">
        <v>1021</v>
      </c>
      <c r="F106" s="98" t="s">
        <v>10</v>
      </c>
      <c r="G106" s="335" t="s">
        <v>1105</v>
      </c>
      <c r="H106" s="93"/>
    </row>
    <row r="107" spans="1:8" ht="27.75" x14ac:dyDescent="0.65">
      <c r="A107" s="149" t="s">
        <v>113</v>
      </c>
      <c r="B107" s="149" t="s">
        <v>1156</v>
      </c>
      <c r="C107" s="148">
        <f>IFERROR(VLOOKUP(A107,'งบทดลอง รพ.'!$A$2:$C$599,3,0),0)</f>
        <v>0</v>
      </c>
      <c r="D107" s="26"/>
      <c r="E107" s="98" t="s">
        <v>1022</v>
      </c>
      <c r="F107" s="98" t="s">
        <v>10</v>
      </c>
      <c r="G107" s="335" t="s">
        <v>1105</v>
      </c>
      <c r="H107" s="93"/>
    </row>
    <row r="108" spans="1:8" ht="27.75" x14ac:dyDescent="0.65">
      <c r="A108" s="149" t="s">
        <v>114</v>
      </c>
      <c r="B108" s="149" t="s">
        <v>1157</v>
      </c>
      <c r="C108" s="148">
        <f>IFERROR(VLOOKUP(A108,'งบทดลอง รพ.'!$A$2:$C$599,3,0),0)</f>
        <v>0</v>
      </c>
      <c r="D108" s="26"/>
      <c r="E108" s="98" t="s">
        <v>1021</v>
      </c>
      <c r="F108" s="98" t="s">
        <v>10</v>
      </c>
      <c r="G108" s="335" t="s">
        <v>1105</v>
      </c>
      <c r="H108" s="93"/>
    </row>
    <row r="109" spans="1:8" ht="27.75" x14ac:dyDescent="0.65">
      <c r="A109" s="149" t="s">
        <v>115</v>
      </c>
      <c r="B109" s="149" t="s">
        <v>1158</v>
      </c>
      <c r="C109" s="148">
        <f>IFERROR(VLOOKUP(A109,'งบทดลอง รพ.'!$A$2:$C$599,3,0),0)</f>
        <v>0</v>
      </c>
      <c r="D109" s="26"/>
      <c r="E109" s="98" t="s">
        <v>1021</v>
      </c>
      <c r="F109" s="98" t="s">
        <v>10</v>
      </c>
      <c r="G109" s="335" t="s">
        <v>1105</v>
      </c>
      <c r="H109" s="93"/>
    </row>
    <row r="110" spans="1:8" ht="27.75" x14ac:dyDescent="0.65">
      <c r="A110" s="149" t="s">
        <v>871</v>
      </c>
      <c r="B110" s="149" t="s">
        <v>872</v>
      </c>
      <c r="C110" s="148">
        <f>IFERROR(VLOOKUP(A110,'งบทดลอง รพ.'!$A$2:$C$599,3,0),0)</f>
        <v>0</v>
      </c>
      <c r="D110" s="26"/>
      <c r="E110" s="98" t="s">
        <v>1022</v>
      </c>
      <c r="F110" s="98" t="s">
        <v>10</v>
      </c>
      <c r="G110" s="335" t="s">
        <v>1105</v>
      </c>
      <c r="H110" s="93"/>
    </row>
    <row r="111" spans="1:8" ht="27.75" x14ac:dyDescent="0.65">
      <c r="A111" s="149" t="s">
        <v>873</v>
      </c>
      <c r="B111" s="149" t="s">
        <v>874</v>
      </c>
      <c r="C111" s="148">
        <f>IFERROR(VLOOKUP(A111,'งบทดลอง รพ.'!$A$2:$C$599,3,0),0)</f>
        <v>0</v>
      </c>
      <c r="D111" s="26"/>
      <c r="E111" s="98" t="s">
        <v>1024</v>
      </c>
      <c r="F111" s="98" t="s">
        <v>10</v>
      </c>
      <c r="G111" s="335" t="s">
        <v>1105</v>
      </c>
      <c r="H111" s="93"/>
    </row>
    <row r="112" spans="1:8" ht="27.75" x14ac:dyDescent="0.65">
      <c r="A112" s="149" t="s">
        <v>875</v>
      </c>
      <c r="B112" s="149" t="s">
        <v>876</v>
      </c>
      <c r="C112" s="148">
        <f>IFERROR(VLOOKUP(A112,'งบทดลอง รพ.'!$A$2:$C$599,3,0),0)</f>
        <v>0</v>
      </c>
      <c r="D112" s="26"/>
      <c r="E112" s="98" t="s">
        <v>1024</v>
      </c>
      <c r="F112" s="98" t="s">
        <v>10</v>
      </c>
      <c r="G112" s="335" t="s">
        <v>1105</v>
      </c>
      <c r="H112" s="93"/>
    </row>
    <row r="113" spans="1:8" ht="27.75" x14ac:dyDescent="0.65">
      <c r="A113" s="149" t="s">
        <v>877</v>
      </c>
      <c r="B113" s="149" t="s">
        <v>878</v>
      </c>
      <c r="C113" s="148">
        <f>IFERROR(VLOOKUP(A113,'งบทดลอง รพ.'!$A$2:$C$599,3,0),0)</f>
        <v>0</v>
      </c>
      <c r="D113" s="26"/>
      <c r="E113" s="98" t="s">
        <v>1021</v>
      </c>
      <c r="F113" s="98" t="s">
        <v>10</v>
      </c>
      <c r="G113" s="335" t="s">
        <v>1105</v>
      </c>
      <c r="H113" s="93"/>
    </row>
    <row r="114" spans="1:8" ht="27.75" x14ac:dyDescent="0.65">
      <c r="A114" s="149" t="s">
        <v>879</v>
      </c>
      <c r="B114" s="149" t="s">
        <v>880</v>
      </c>
      <c r="C114" s="148">
        <f>IFERROR(VLOOKUP(A114,'งบทดลอง รพ.'!$A$2:$C$599,3,0),0)</f>
        <v>350000</v>
      </c>
      <c r="D114" s="26"/>
      <c r="E114" s="98" t="s">
        <v>1026</v>
      </c>
      <c r="F114" s="98" t="s">
        <v>10</v>
      </c>
      <c r="G114" s="335" t="s">
        <v>1105</v>
      </c>
      <c r="H114" s="93"/>
    </row>
    <row r="115" spans="1:8" ht="27.75" x14ac:dyDescent="0.65">
      <c r="A115" s="149" t="s">
        <v>881</v>
      </c>
      <c r="B115" s="149" t="s">
        <v>116</v>
      </c>
      <c r="C115" s="148">
        <f>IFERROR(VLOOKUP(A115,'งบทดลอง รพ.'!$A$2:$C$599,3,0),0)</f>
        <v>0</v>
      </c>
      <c r="D115" s="26"/>
      <c r="E115" s="98" t="s">
        <v>1026</v>
      </c>
      <c r="F115" s="98" t="s">
        <v>10</v>
      </c>
      <c r="G115" s="335" t="s">
        <v>1105</v>
      </c>
      <c r="H115" s="93"/>
    </row>
    <row r="116" spans="1:8" ht="27.75" x14ac:dyDescent="0.65">
      <c r="A116" s="149" t="s">
        <v>882</v>
      </c>
      <c r="B116" s="149" t="s">
        <v>883</v>
      </c>
      <c r="C116" s="148">
        <f>IFERROR(VLOOKUP(A116,'งบทดลอง รพ.'!$A$2:$C$599,3,0),0)</f>
        <v>0</v>
      </c>
      <c r="D116" s="26"/>
      <c r="E116" s="98" t="s">
        <v>1026</v>
      </c>
      <c r="F116" s="98" t="s">
        <v>10</v>
      </c>
      <c r="G116" s="335" t="s">
        <v>1105</v>
      </c>
      <c r="H116" s="93"/>
    </row>
    <row r="117" spans="1:8" ht="27.75" x14ac:dyDescent="0.65">
      <c r="A117" s="149" t="s">
        <v>132</v>
      </c>
      <c r="B117" s="149" t="s">
        <v>1159</v>
      </c>
      <c r="C117" s="148">
        <f>IFERROR(VLOOKUP(A117,'งบทดลอง รพ.'!$A$2:$C$599,3,0),0)</f>
        <v>0</v>
      </c>
      <c r="D117" s="26"/>
      <c r="E117" s="98" t="s">
        <v>1030</v>
      </c>
      <c r="F117" s="98" t="s">
        <v>12</v>
      </c>
      <c r="G117" s="335" t="s">
        <v>1105</v>
      </c>
      <c r="H117" s="93"/>
    </row>
    <row r="118" spans="1:8" ht="27.75" x14ac:dyDescent="0.65">
      <c r="A118" s="149" t="s">
        <v>133</v>
      </c>
      <c r="B118" s="149" t="s">
        <v>1160</v>
      </c>
      <c r="C118" s="148">
        <f>IFERROR(VLOOKUP(A118,'งบทดลอง รพ.'!$A$2:$C$599,3,0),0)</f>
        <v>85000</v>
      </c>
      <c r="D118" s="26"/>
      <c r="E118" s="98" t="s">
        <v>1030</v>
      </c>
      <c r="F118" s="98" t="s">
        <v>12</v>
      </c>
      <c r="G118" s="335" t="s">
        <v>1105</v>
      </c>
      <c r="H118" s="93"/>
    </row>
    <row r="119" spans="1:8" ht="27.75" x14ac:dyDescent="0.65">
      <c r="A119" s="149" t="s">
        <v>134</v>
      </c>
      <c r="B119" s="149" t="s">
        <v>1161</v>
      </c>
      <c r="C119" s="148">
        <f>IFERROR(VLOOKUP(A119,'งบทดลอง รพ.'!$A$2:$C$599,3,0),0)</f>
        <v>0</v>
      </c>
      <c r="D119" s="26"/>
      <c r="E119" s="98" t="s">
        <v>1030</v>
      </c>
      <c r="F119" s="98" t="s">
        <v>12</v>
      </c>
      <c r="G119" s="335" t="s">
        <v>1105</v>
      </c>
      <c r="H119" s="93"/>
    </row>
    <row r="120" spans="1:8" ht="27.75" x14ac:dyDescent="0.65">
      <c r="A120" s="149" t="s">
        <v>135</v>
      </c>
      <c r="B120" s="149" t="s">
        <v>136</v>
      </c>
      <c r="C120" s="148">
        <f>IFERROR(VLOOKUP(A120,'งบทดลอง รพ.'!$A$2:$C$599,3,0),0)</f>
        <v>0</v>
      </c>
      <c r="D120" s="26"/>
      <c r="E120" s="98" t="s">
        <v>1028</v>
      </c>
      <c r="F120" s="98" t="s">
        <v>12</v>
      </c>
      <c r="G120" s="335" t="s">
        <v>1105</v>
      </c>
      <c r="H120" s="93"/>
    </row>
    <row r="121" spans="1:8" ht="27.75" x14ac:dyDescent="0.65">
      <c r="A121" s="149" t="s">
        <v>137</v>
      </c>
      <c r="B121" s="149" t="s">
        <v>138</v>
      </c>
      <c r="C121" s="148">
        <f>IFERROR(VLOOKUP(A121,'งบทดลอง รพ.'!$A$2:$C$599,3,0),0)</f>
        <v>0</v>
      </c>
      <c r="D121" s="26"/>
      <c r="E121" s="98" t="s">
        <v>1028</v>
      </c>
      <c r="F121" s="98" t="s">
        <v>12</v>
      </c>
      <c r="G121" s="335" t="s">
        <v>1105</v>
      </c>
      <c r="H121" s="93"/>
    </row>
    <row r="122" spans="1:8" ht="27.75" x14ac:dyDescent="0.65">
      <c r="A122" s="149" t="s">
        <v>884</v>
      </c>
      <c r="B122" s="149" t="s">
        <v>885</v>
      </c>
      <c r="C122" s="148">
        <f>IFERROR(VLOOKUP(A122,'งบทดลอง รพ.'!$A$2:$C$599,3,0),0)</f>
        <v>0</v>
      </c>
      <c r="D122" s="26"/>
      <c r="E122" s="98" t="s">
        <v>1030</v>
      </c>
      <c r="F122" s="98" t="s">
        <v>12</v>
      </c>
      <c r="G122" s="335" t="s">
        <v>1105</v>
      </c>
      <c r="H122" s="93"/>
    </row>
    <row r="123" spans="1:8" ht="27.75" x14ac:dyDescent="0.65">
      <c r="A123" s="149" t="s">
        <v>886</v>
      </c>
      <c r="B123" s="149" t="s">
        <v>887</v>
      </c>
      <c r="C123" s="148">
        <f>IFERROR(VLOOKUP(A123,'งบทดลอง รพ.'!$A$2:$C$599,3,0),0)</f>
        <v>52000</v>
      </c>
      <c r="D123" s="26"/>
      <c r="E123" s="98" t="s">
        <v>1032</v>
      </c>
      <c r="F123" s="98" t="s">
        <v>12</v>
      </c>
      <c r="G123" s="335" t="s">
        <v>1105</v>
      </c>
      <c r="H123" s="93"/>
    </row>
    <row r="124" spans="1:8" ht="27.75" x14ac:dyDescent="0.65">
      <c r="A124" s="149" t="s">
        <v>888</v>
      </c>
      <c r="B124" s="149" t="s">
        <v>889</v>
      </c>
      <c r="C124" s="148">
        <f>IFERROR(VLOOKUP(A124,'งบทดลอง รพ.'!$A$2:$C$599,3,0),0)</f>
        <v>0</v>
      </c>
      <c r="D124" s="26"/>
      <c r="E124" s="98" t="s">
        <v>1030</v>
      </c>
      <c r="F124" s="98" t="s">
        <v>12</v>
      </c>
      <c r="G124" s="335" t="s">
        <v>1105</v>
      </c>
      <c r="H124" s="93"/>
    </row>
    <row r="125" spans="1:8" ht="27.75" x14ac:dyDescent="0.65">
      <c r="A125" s="149" t="s">
        <v>890</v>
      </c>
      <c r="B125" s="149" t="s">
        <v>891</v>
      </c>
      <c r="C125" s="148">
        <f>IFERROR(VLOOKUP(A125,'งบทดลอง รพ.'!$A$2:$C$599,3,0),0)</f>
        <v>0</v>
      </c>
      <c r="D125" s="26"/>
      <c r="E125" s="98" t="s">
        <v>1028</v>
      </c>
      <c r="F125" s="98" t="s">
        <v>12</v>
      </c>
      <c r="G125" s="335" t="s">
        <v>1105</v>
      </c>
      <c r="H125" s="93"/>
    </row>
    <row r="126" spans="1:8" ht="27.75" x14ac:dyDescent="0.65">
      <c r="A126" s="149" t="s">
        <v>161</v>
      </c>
      <c r="B126" s="149" t="s">
        <v>162</v>
      </c>
      <c r="C126" s="148">
        <f>IFERROR(VLOOKUP(A126,'งบทดลอง รพ.'!$A$2:$C$599,3,0),0)</f>
        <v>0</v>
      </c>
      <c r="D126" s="26"/>
      <c r="E126" s="98" t="s">
        <v>1035</v>
      </c>
      <c r="F126" s="98" t="s">
        <v>16</v>
      </c>
      <c r="G126" s="335" t="s">
        <v>1105</v>
      </c>
      <c r="H126" s="93"/>
    </row>
    <row r="127" spans="1:8" ht="27.75" x14ac:dyDescent="0.65">
      <c r="A127" s="149" t="s">
        <v>163</v>
      </c>
      <c r="B127" s="149" t="s">
        <v>1162</v>
      </c>
      <c r="C127" s="148">
        <f>IFERROR(VLOOKUP(A127,'งบทดลอง รพ.'!$A$2:$C$599,3,0),0)</f>
        <v>0</v>
      </c>
      <c r="D127" s="26"/>
      <c r="E127" s="98" t="s">
        <v>1035</v>
      </c>
      <c r="F127" s="98" t="s">
        <v>16</v>
      </c>
      <c r="G127" s="335" t="s">
        <v>1105</v>
      </c>
      <c r="H127" s="93"/>
    </row>
    <row r="128" spans="1:8" ht="27.75" x14ac:dyDescent="0.65">
      <c r="A128" s="149" t="s">
        <v>164</v>
      </c>
      <c r="B128" s="149" t="s">
        <v>1163</v>
      </c>
      <c r="C128" s="148">
        <f>IFERROR(VLOOKUP(A128,'งบทดลอง รพ.'!$A$2:$C$599,3,0),0)</f>
        <v>0</v>
      </c>
      <c r="D128" s="26"/>
      <c r="E128" s="98" t="s">
        <v>1035</v>
      </c>
      <c r="F128" s="98" t="s">
        <v>16</v>
      </c>
      <c r="G128" s="335" t="s">
        <v>1105</v>
      </c>
      <c r="H128" s="93"/>
    </row>
    <row r="129" spans="1:8" ht="27.75" x14ac:dyDescent="0.65">
      <c r="A129" s="149" t="s">
        <v>166</v>
      </c>
      <c r="B129" s="149" t="s">
        <v>167</v>
      </c>
      <c r="C129" s="148">
        <f>IFERROR(VLOOKUP(A129,'งบทดลอง รพ.'!$A$2:$C$599,3,0),0)</f>
        <v>0</v>
      </c>
      <c r="D129" s="26"/>
      <c r="E129" s="98" t="s">
        <v>1035</v>
      </c>
      <c r="F129" s="98" t="s">
        <v>16</v>
      </c>
      <c r="G129" s="335" t="s">
        <v>1105</v>
      </c>
      <c r="H129" s="93"/>
    </row>
    <row r="130" spans="1:8" ht="27.75" x14ac:dyDescent="0.65">
      <c r="A130" s="149" t="s">
        <v>168</v>
      </c>
      <c r="B130" s="149" t="s">
        <v>169</v>
      </c>
      <c r="C130" s="148">
        <f>IFERROR(VLOOKUP(A130,'งบทดลอง รพ.'!$A$2:$C$599,3,0),0)</f>
        <v>0</v>
      </c>
      <c r="D130" s="26"/>
      <c r="E130" s="98" t="s">
        <v>1035</v>
      </c>
      <c r="F130" s="98" t="s">
        <v>16</v>
      </c>
      <c r="G130" s="335" t="s">
        <v>1105</v>
      </c>
      <c r="H130" s="93"/>
    </row>
    <row r="131" spans="1:8" ht="27.75" x14ac:dyDescent="0.65">
      <c r="A131" s="150" t="s">
        <v>170</v>
      </c>
      <c r="B131" s="150" t="s">
        <v>171</v>
      </c>
      <c r="C131" s="148">
        <f>IFERROR(VLOOKUP(A131,'งบทดลอง รพ.'!$A$2:$C$599,3,0),0)</f>
        <v>0</v>
      </c>
      <c r="D131" s="26"/>
      <c r="E131" s="98" t="s">
        <v>1036</v>
      </c>
      <c r="F131" s="98" t="s">
        <v>18</v>
      </c>
      <c r="G131" s="335" t="s">
        <v>1105</v>
      </c>
      <c r="H131" s="93"/>
    </row>
    <row r="132" spans="1:8" ht="27.75" x14ac:dyDescent="0.65">
      <c r="A132" s="150" t="s">
        <v>172</v>
      </c>
      <c r="B132" s="150" t="s">
        <v>173</v>
      </c>
      <c r="C132" s="148">
        <f>IFERROR(VLOOKUP(A132,'งบทดลอง รพ.'!$A$2:$C$599,3,0),0)</f>
        <v>0</v>
      </c>
      <c r="D132" s="26"/>
      <c r="E132" s="98" t="s">
        <v>1036</v>
      </c>
      <c r="F132" s="98" t="s">
        <v>18</v>
      </c>
      <c r="G132" s="335" t="s">
        <v>1105</v>
      </c>
      <c r="H132" s="93"/>
    </row>
    <row r="133" spans="1:8" ht="27.75" x14ac:dyDescent="0.65">
      <c r="A133" s="149" t="s">
        <v>892</v>
      </c>
      <c r="B133" s="149" t="s">
        <v>165</v>
      </c>
      <c r="C133" s="148">
        <f>IFERROR(VLOOKUP(A133,'งบทดลอง รพ.'!$A$2:$C$599,3,0),0)</f>
        <v>0</v>
      </c>
      <c r="D133" s="26"/>
      <c r="E133" s="98" t="s">
        <v>1035</v>
      </c>
      <c r="F133" s="98" t="s">
        <v>16</v>
      </c>
      <c r="G133" s="335" t="s">
        <v>1105</v>
      </c>
      <c r="H133" s="93"/>
    </row>
    <row r="134" spans="1:8" ht="27.75" x14ac:dyDescent="0.65">
      <c r="A134" s="149" t="s">
        <v>174</v>
      </c>
      <c r="B134" s="149" t="s">
        <v>1164</v>
      </c>
      <c r="C134" s="148">
        <f>IFERROR(VLOOKUP(A134,'งบทดลอง รพ.'!$A$2:$C$599,3,0),0)</f>
        <v>11200</v>
      </c>
      <c r="D134" s="26"/>
      <c r="E134" s="98" t="s">
        <v>1035</v>
      </c>
      <c r="F134" s="98" t="s">
        <v>16</v>
      </c>
      <c r="G134" s="335" t="s">
        <v>1105</v>
      </c>
      <c r="H134" s="93"/>
    </row>
    <row r="135" spans="1:8" ht="27.75" x14ac:dyDescent="0.65">
      <c r="A135" s="149" t="s">
        <v>893</v>
      </c>
      <c r="B135" s="149" t="s">
        <v>894</v>
      </c>
      <c r="C135" s="148">
        <f>IFERROR(VLOOKUP(A135,'งบทดลอง รพ.'!$A$2:$C$599,3,0),0)</f>
        <v>1989600</v>
      </c>
      <c r="D135" s="26"/>
      <c r="E135" s="98" t="s">
        <v>1035</v>
      </c>
      <c r="F135" s="98" t="s">
        <v>16</v>
      </c>
      <c r="G135" s="335" t="s">
        <v>1105</v>
      </c>
      <c r="H135" s="93"/>
    </row>
    <row r="136" spans="1:8" ht="27.75" x14ac:dyDescent="0.65">
      <c r="A136" s="149" t="s">
        <v>895</v>
      </c>
      <c r="B136" s="149" t="s">
        <v>896</v>
      </c>
      <c r="C136" s="148">
        <f>IFERROR(VLOOKUP(A136,'งบทดลอง รพ.'!$A$2:$C$599,3,0),0)</f>
        <v>0</v>
      </c>
      <c r="D136" s="26"/>
      <c r="E136" s="98" t="s">
        <v>1035</v>
      </c>
      <c r="F136" s="98" t="s">
        <v>16</v>
      </c>
      <c r="G136" s="335" t="s">
        <v>1105</v>
      </c>
      <c r="H136" s="93"/>
    </row>
    <row r="137" spans="1:8" ht="27.75" x14ac:dyDescent="0.65">
      <c r="A137" s="149" t="s">
        <v>175</v>
      </c>
      <c r="B137" s="149" t="s">
        <v>1165</v>
      </c>
      <c r="C137" s="148">
        <f>IFERROR(VLOOKUP(A137,'งบทดลอง รพ.'!$A$2:$C$599,3,0),0)</f>
        <v>73335.53</v>
      </c>
      <c r="D137" s="26"/>
      <c r="E137" s="98" t="s">
        <v>1035</v>
      </c>
      <c r="F137" s="98" t="s">
        <v>16</v>
      </c>
      <c r="G137" s="335" t="s">
        <v>1105</v>
      </c>
      <c r="H137" s="93"/>
    </row>
    <row r="138" spans="1:8" ht="27.75" x14ac:dyDescent="0.65">
      <c r="A138" s="149" t="s">
        <v>176</v>
      </c>
      <c r="B138" s="149" t="s">
        <v>177</v>
      </c>
      <c r="C138" s="148">
        <f>IFERROR(VLOOKUP(A138,'งบทดลอง รพ.'!$A$2:$C$599,3,0),0)</f>
        <v>0</v>
      </c>
      <c r="D138" s="26"/>
      <c r="E138" s="98" t="s">
        <v>1035</v>
      </c>
      <c r="F138" s="98" t="s">
        <v>16</v>
      </c>
      <c r="G138" s="335" t="s">
        <v>1105</v>
      </c>
      <c r="H138" s="93"/>
    </row>
    <row r="139" spans="1:8" ht="27.75" x14ac:dyDescent="0.65">
      <c r="A139" s="149" t="s">
        <v>178</v>
      </c>
      <c r="B139" s="149" t="s">
        <v>179</v>
      </c>
      <c r="C139" s="148">
        <f>IFERROR(VLOOKUP(A139,'งบทดลอง รพ.'!$A$2:$C$599,3,0),0)</f>
        <v>29300</v>
      </c>
      <c r="D139" s="26"/>
      <c r="E139" s="98" t="s">
        <v>1035</v>
      </c>
      <c r="F139" s="98" t="s">
        <v>16</v>
      </c>
      <c r="G139" s="335" t="s">
        <v>1105</v>
      </c>
      <c r="H139" s="93"/>
    </row>
    <row r="140" spans="1:8" ht="27.75" x14ac:dyDescent="0.65">
      <c r="A140" s="149" t="s">
        <v>897</v>
      </c>
      <c r="B140" s="149" t="s">
        <v>898</v>
      </c>
      <c r="C140" s="148">
        <f>IFERROR(VLOOKUP(A140,'งบทดลอง รพ.'!$A$2:$C$599,3,0),0)</f>
        <v>0</v>
      </c>
      <c r="D140" s="26"/>
      <c r="E140" s="98" t="s">
        <v>1035</v>
      </c>
      <c r="F140" s="98" t="s">
        <v>16</v>
      </c>
      <c r="G140" s="335" t="s">
        <v>1105</v>
      </c>
      <c r="H140" s="93"/>
    </row>
    <row r="141" spans="1:8" ht="27.75" x14ac:dyDescent="0.65">
      <c r="A141" s="149" t="s">
        <v>143</v>
      </c>
      <c r="B141" s="149" t="s">
        <v>1166</v>
      </c>
      <c r="C141" s="148">
        <f>IFERROR(VLOOKUP(A141,'งบทดลอง รพ.'!$A$2:$C$599,3,0),0)</f>
        <v>28378920</v>
      </c>
      <c r="D141" s="26"/>
      <c r="E141" s="98" t="s">
        <v>1034</v>
      </c>
      <c r="F141" s="98" t="s">
        <v>14</v>
      </c>
      <c r="G141" s="335" t="s">
        <v>1105</v>
      </c>
      <c r="H141" s="93"/>
    </row>
    <row r="142" spans="1:8" ht="27.75" x14ac:dyDescent="0.65">
      <c r="A142" s="150" t="s">
        <v>217</v>
      </c>
      <c r="B142" s="150" t="s">
        <v>1167</v>
      </c>
      <c r="C142" s="148">
        <f>IFERROR(VLOOKUP(A142,'งบทดลอง รพ.'!$A$2:$C$599,3,0),0)</f>
        <v>0</v>
      </c>
      <c r="D142" s="26"/>
      <c r="E142" s="98" t="s">
        <v>1037</v>
      </c>
      <c r="F142" s="98" t="s">
        <v>18</v>
      </c>
      <c r="G142" s="335" t="s">
        <v>1105</v>
      </c>
      <c r="H142" s="93"/>
    </row>
    <row r="143" spans="1:8" ht="27.75" x14ac:dyDescent="0.65">
      <c r="A143" s="149" t="s">
        <v>180</v>
      </c>
      <c r="B143" s="149" t="s">
        <v>1168</v>
      </c>
      <c r="C143" s="148">
        <f>IFERROR(VLOOKUP(A143,'งบทดลอง รพ.'!$A$2:$C$599,3,0),0)</f>
        <v>0</v>
      </c>
      <c r="D143" s="26"/>
      <c r="E143" s="98" t="s">
        <v>1035</v>
      </c>
      <c r="F143" s="98" t="s">
        <v>16</v>
      </c>
      <c r="G143" s="335" t="s">
        <v>1105</v>
      </c>
      <c r="H143" s="93"/>
    </row>
    <row r="144" spans="1:8" ht="27.75" x14ac:dyDescent="0.65">
      <c r="A144" s="149" t="s">
        <v>181</v>
      </c>
      <c r="B144" s="149" t="s">
        <v>1169</v>
      </c>
      <c r="C144" s="148">
        <f>IFERROR(VLOOKUP(A144,'งบทดลอง รพ.'!$A$2:$C$599,3,0),0)</f>
        <v>0</v>
      </c>
      <c r="D144" s="26"/>
      <c r="E144" s="98" t="s">
        <v>1035</v>
      </c>
      <c r="F144" s="98" t="s">
        <v>16</v>
      </c>
      <c r="G144" s="335" t="s">
        <v>1105</v>
      </c>
      <c r="H144" s="93"/>
    </row>
    <row r="145" spans="1:8" ht="27.75" x14ac:dyDescent="0.65">
      <c r="A145" s="149" t="s">
        <v>182</v>
      </c>
      <c r="B145" s="149" t="s">
        <v>1170</v>
      </c>
      <c r="C145" s="148">
        <f>IFERROR(VLOOKUP(A145,'งบทดลอง รพ.'!$A$2:$C$599,3,0),0)</f>
        <v>0</v>
      </c>
      <c r="D145" s="26"/>
      <c r="E145" s="98" t="s">
        <v>1035</v>
      </c>
      <c r="F145" s="98" t="s">
        <v>16</v>
      </c>
      <c r="G145" s="335" t="s">
        <v>1105</v>
      </c>
      <c r="H145" s="93"/>
    </row>
    <row r="146" spans="1:8" ht="27.75" x14ac:dyDescent="0.65">
      <c r="A146" s="149" t="s">
        <v>183</v>
      </c>
      <c r="B146" s="149" t="s">
        <v>1171</v>
      </c>
      <c r="C146" s="148">
        <f>IFERROR(VLOOKUP(A146,'งบทดลอง รพ.'!$A$2:$C$599,3,0),0)</f>
        <v>849718.5066666666</v>
      </c>
      <c r="D146" s="26"/>
      <c r="E146" s="98" t="s">
        <v>1035</v>
      </c>
      <c r="F146" s="98" t="s">
        <v>16</v>
      </c>
      <c r="G146" s="335" t="s">
        <v>1105</v>
      </c>
      <c r="H146" s="93"/>
    </row>
    <row r="147" spans="1:8" ht="27.75" x14ac:dyDescent="0.65">
      <c r="A147" s="149" t="s">
        <v>184</v>
      </c>
      <c r="B147" s="149" t="s">
        <v>1172</v>
      </c>
      <c r="C147" s="148">
        <f>IFERROR(VLOOKUP(A147,'งบทดลอง รพ.'!$A$2:$C$599,3,0),0)</f>
        <v>0</v>
      </c>
      <c r="D147" s="26"/>
      <c r="E147" s="98" t="s">
        <v>1035</v>
      </c>
      <c r="F147" s="98" t="s">
        <v>16</v>
      </c>
      <c r="G147" s="335" t="s">
        <v>1105</v>
      </c>
      <c r="H147" s="93"/>
    </row>
    <row r="148" spans="1:8" ht="27.75" x14ac:dyDescent="0.65">
      <c r="A148" s="149" t="s">
        <v>899</v>
      </c>
      <c r="B148" s="149" t="s">
        <v>900</v>
      </c>
      <c r="C148" s="148">
        <f>IFERROR(VLOOKUP(A148,'งบทดลอง รพ.'!$A$2:$C$599,3,0),0)</f>
        <v>0</v>
      </c>
      <c r="D148" s="26"/>
      <c r="E148" s="98" t="s">
        <v>1035</v>
      </c>
      <c r="F148" s="98" t="s">
        <v>16</v>
      </c>
      <c r="G148" s="335" t="s">
        <v>1105</v>
      </c>
      <c r="H148" s="93"/>
    </row>
    <row r="149" spans="1:8" ht="27.75" x14ac:dyDescent="0.65">
      <c r="A149" s="149" t="s">
        <v>901</v>
      </c>
      <c r="B149" s="149" t="s">
        <v>902</v>
      </c>
      <c r="C149" s="148">
        <f>IFERROR(VLOOKUP(A149,'งบทดลอง รพ.'!$A$2:$C$599,3,0),0)</f>
        <v>0</v>
      </c>
      <c r="D149" s="26"/>
      <c r="E149" s="98" t="s">
        <v>1035</v>
      </c>
      <c r="F149" s="98" t="s">
        <v>16</v>
      </c>
      <c r="G149" s="335" t="s">
        <v>1105</v>
      </c>
      <c r="H149" s="93"/>
    </row>
    <row r="150" spans="1:8" ht="27.75" x14ac:dyDescent="0.65">
      <c r="A150" s="149" t="s">
        <v>903</v>
      </c>
      <c r="B150" s="149" t="s">
        <v>904</v>
      </c>
      <c r="C150" s="148">
        <f>IFERROR(VLOOKUP(A150,'งบทดลอง รพ.'!$A$2:$C$599,3,0),0)</f>
        <v>0</v>
      </c>
      <c r="D150" s="26"/>
      <c r="E150" s="98" t="s">
        <v>1035</v>
      </c>
      <c r="F150" s="98" t="s">
        <v>16</v>
      </c>
      <c r="G150" s="335" t="s">
        <v>1105</v>
      </c>
      <c r="H150" s="93"/>
    </row>
    <row r="151" spans="1:8" ht="27.75" x14ac:dyDescent="0.65">
      <c r="A151" s="149" t="s">
        <v>185</v>
      </c>
      <c r="B151" s="149" t="s">
        <v>1173</v>
      </c>
      <c r="C151" s="148">
        <f>IFERROR(VLOOKUP(A151,'งบทดลอง รพ.'!$A$2:$C$599,3,0),0)</f>
        <v>0</v>
      </c>
      <c r="D151" s="26"/>
      <c r="E151" s="98" t="s">
        <v>1035</v>
      </c>
      <c r="F151" s="98" t="s">
        <v>16</v>
      </c>
      <c r="G151" s="335" t="s">
        <v>1105</v>
      </c>
      <c r="H151" s="93"/>
    </row>
    <row r="152" spans="1:8" ht="27.75" x14ac:dyDescent="0.65">
      <c r="A152" s="149" t="s">
        <v>905</v>
      </c>
      <c r="B152" s="149" t="s">
        <v>906</v>
      </c>
      <c r="C152" s="148">
        <f>IFERROR(VLOOKUP(A152,'งบทดลอง รพ.'!$A$2:$C$599,3,0),0)</f>
        <v>0</v>
      </c>
      <c r="D152" s="26"/>
      <c r="E152" s="98" t="s">
        <v>1035</v>
      </c>
      <c r="F152" s="98" t="s">
        <v>16</v>
      </c>
      <c r="G152" s="335" t="s">
        <v>1105</v>
      </c>
      <c r="H152" s="93"/>
    </row>
    <row r="153" spans="1:8" ht="27.75" x14ac:dyDescent="0.65">
      <c r="A153" s="149" t="s">
        <v>186</v>
      </c>
      <c r="B153" s="149" t="s">
        <v>1174</v>
      </c>
      <c r="C153" s="148">
        <f>IFERROR(VLOOKUP(A153,'งบทดลอง รพ.'!$A$2:$C$599,3,0),0)</f>
        <v>0</v>
      </c>
      <c r="D153" s="26"/>
      <c r="E153" s="98" t="s">
        <v>1035</v>
      </c>
      <c r="F153" s="98" t="s">
        <v>16</v>
      </c>
      <c r="G153" s="335" t="s">
        <v>1105</v>
      </c>
      <c r="H153" s="93"/>
    </row>
    <row r="154" spans="1:8" ht="27.75" x14ac:dyDescent="0.65">
      <c r="A154" s="149" t="s">
        <v>187</v>
      </c>
      <c r="B154" s="149" t="s">
        <v>188</v>
      </c>
      <c r="C154" s="148">
        <f>IFERROR(VLOOKUP(A154,'งบทดลอง รพ.'!$A$2:$C$599,3,0),0)</f>
        <v>75000</v>
      </c>
      <c r="D154" s="26"/>
      <c r="E154" s="98" t="s">
        <v>1035</v>
      </c>
      <c r="F154" s="98" t="s">
        <v>16</v>
      </c>
      <c r="G154" s="335" t="s">
        <v>1105</v>
      </c>
      <c r="H154" s="93"/>
    </row>
    <row r="155" spans="1:8" ht="27.75" x14ac:dyDescent="0.65">
      <c r="A155" s="149" t="s">
        <v>189</v>
      </c>
      <c r="B155" s="149" t="s">
        <v>190</v>
      </c>
      <c r="C155" s="148">
        <f>IFERROR(VLOOKUP(A155,'งบทดลอง รพ.'!$A$2:$C$599,3,0),0)</f>
        <v>0</v>
      </c>
      <c r="D155" s="26"/>
      <c r="E155" s="98" t="s">
        <v>1035</v>
      </c>
      <c r="F155" s="98" t="s">
        <v>16</v>
      </c>
      <c r="G155" s="335" t="s">
        <v>1105</v>
      </c>
      <c r="H155" s="93"/>
    </row>
    <row r="156" spans="1:8" ht="27.75" x14ac:dyDescent="0.65">
      <c r="A156" s="149" t="s">
        <v>139</v>
      </c>
      <c r="B156" s="149" t="s">
        <v>140</v>
      </c>
      <c r="C156" s="148">
        <f>IFERROR(VLOOKUP(A156,'งบทดลอง รพ.'!$A$2:$C$599,3,0),0)</f>
        <v>0</v>
      </c>
      <c r="D156" s="26"/>
      <c r="E156" s="98" t="s">
        <v>1028</v>
      </c>
      <c r="F156" s="98" t="s">
        <v>12</v>
      </c>
      <c r="G156" s="335" t="s">
        <v>1105</v>
      </c>
      <c r="H156" s="93"/>
    </row>
    <row r="157" spans="1:8" ht="27.75" x14ac:dyDescent="0.65">
      <c r="A157" s="149" t="s">
        <v>141</v>
      </c>
      <c r="B157" s="149" t="s">
        <v>142</v>
      </c>
      <c r="C157" s="148">
        <f>IFERROR(VLOOKUP(A157,'งบทดลอง รพ.'!$A$2:$C$599,3,0),0)</f>
        <v>0</v>
      </c>
      <c r="D157" s="26"/>
      <c r="E157" s="98" t="s">
        <v>1028</v>
      </c>
      <c r="F157" s="98" t="s">
        <v>12</v>
      </c>
      <c r="G157" s="335" t="s">
        <v>1105</v>
      </c>
      <c r="H157" s="93"/>
    </row>
    <row r="158" spans="1:8" ht="27.75" x14ac:dyDescent="0.65">
      <c r="A158" s="149" t="s">
        <v>191</v>
      </c>
      <c r="B158" s="149" t="s">
        <v>192</v>
      </c>
      <c r="C158" s="148">
        <f>IFERROR(VLOOKUP(A158,'งบทดลอง รพ.'!$A$2:$C$599,3,0),0)</f>
        <v>0</v>
      </c>
      <c r="D158" s="26"/>
      <c r="E158" s="98" t="s">
        <v>1035</v>
      </c>
      <c r="F158" s="98" t="s">
        <v>16</v>
      </c>
      <c r="G158" s="335" t="s">
        <v>1105</v>
      </c>
      <c r="H158" s="93"/>
    </row>
    <row r="159" spans="1:8" ht="27.75" x14ac:dyDescent="0.65">
      <c r="A159" s="149" t="s">
        <v>193</v>
      </c>
      <c r="B159" s="149" t="s">
        <v>194</v>
      </c>
      <c r="C159" s="148">
        <f>IFERROR(VLOOKUP(A159,'งบทดลอง รพ.'!$A$2:$C$599,3,0),0)</f>
        <v>0</v>
      </c>
      <c r="D159" s="26"/>
      <c r="E159" s="98" t="s">
        <v>1035</v>
      </c>
      <c r="F159" s="98" t="s">
        <v>16</v>
      </c>
      <c r="G159" s="335" t="s">
        <v>1105</v>
      </c>
      <c r="H159" s="93"/>
    </row>
    <row r="160" spans="1:8" ht="27.75" x14ac:dyDescent="0.65">
      <c r="A160" s="149" t="s">
        <v>195</v>
      </c>
      <c r="B160" s="149" t="s">
        <v>196</v>
      </c>
      <c r="C160" s="148">
        <f>IFERROR(VLOOKUP(A160,'งบทดลอง รพ.'!$A$2:$C$599,3,0),0)</f>
        <v>0</v>
      </c>
      <c r="D160" s="26"/>
      <c r="E160" s="98" t="s">
        <v>1035</v>
      </c>
      <c r="F160" s="98" t="s">
        <v>16</v>
      </c>
      <c r="G160" s="335" t="s">
        <v>1105</v>
      </c>
      <c r="H160" s="93"/>
    </row>
    <row r="161" spans="1:8" ht="27.75" x14ac:dyDescent="0.65">
      <c r="A161" s="149" t="s">
        <v>197</v>
      </c>
      <c r="B161" s="149" t="s">
        <v>198</v>
      </c>
      <c r="C161" s="148">
        <f>IFERROR(VLOOKUP(A161,'งบทดลอง รพ.'!$A$2:$C$599,3,0),0)</f>
        <v>30000</v>
      </c>
      <c r="D161" s="26"/>
      <c r="E161" s="98" t="s">
        <v>1035</v>
      </c>
      <c r="F161" s="98" t="s">
        <v>16</v>
      </c>
      <c r="G161" s="335" t="s">
        <v>1105</v>
      </c>
      <c r="H161" s="93"/>
    </row>
    <row r="162" spans="1:8" ht="27.75" x14ac:dyDescent="0.65">
      <c r="A162" s="149" t="s">
        <v>199</v>
      </c>
      <c r="B162" s="149" t="s">
        <v>200</v>
      </c>
      <c r="C162" s="148">
        <f>IFERROR(VLOOKUP(A162,'งบทดลอง รพ.'!$A$2:$C$599,3,0),0)</f>
        <v>16500</v>
      </c>
      <c r="D162" s="26"/>
      <c r="E162" s="98" t="s">
        <v>1035</v>
      </c>
      <c r="F162" s="98" t="s">
        <v>16</v>
      </c>
      <c r="G162" s="335" t="s">
        <v>1105</v>
      </c>
      <c r="H162" s="93"/>
    </row>
    <row r="163" spans="1:8" ht="27.75" x14ac:dyDescent="0.65">
      <c r="A163" s="149" t="s">
        <v>201</v>
      </c>
      <c r="B163" s="149" t="s">
        <v>1175</v>
      </c>
      <c r="C163" s="148">
        <f>IFERROR(VLOOKUP(A163,'งบทดลอง รพ.'!$A$2:$C$599,3,0),0)</f>
        <v>0</v>
      </c>
      <c r="D163" s="26"/>
      <c r="E163" s="98" t="s">
        <v>1035</v>
      </c>
      <c r="F163" s="98" t="s">
        <v>16</v>
      </c>
      <c r="G163" s="335" t="s">
        <v>1105</v>
      </c>
      <c r="H163" s="93"/>
    </row>
    <row r="164" spans="1:8" ht="27.75" x14ac:dyDescent="0.65">
      <c r="A164" s="149" t="s">
        <v>202</v>
      </c>
      <c r="B164" s="149" t="s">
        <v>1176</v>
      </c>
      <c r="C164" s="148">
        <f>IFERROR(VLOOKUP(A164,'งบทดลอง รพ.'!$A$2:$C$599,3,0),0)</f>
        <v>0</v>
      </c>
      <c r="D164" s="26"/>
      <c r="E164" s="98" t="s">
        <v>1035</v>
      </c>
      <c r="F164" s="98" t="s">
        <v>16</v>
      </c>
      <c r="G164" s="335" t="s">
        <v>1105</v>
      </c>
      <c r="H164" s="93"/>
    </row>
    <row r="165" spans="1:8" ht="27.75" x14ac:dyDescent="0.65">
      <c r="A165" s="149" t="s">
        <v>203</v>
      </c>
      <c r="B165" s="149" t="s">
        <v>204</v>
      </c>
      <c r="C165" s="148">
        <f>IFERROR(VLOOKUP(A165,'งบทดลอง รพ.'!$A$2:$C$599,3,0),0)</f>
        <v>0</v>
      </c>
      <c r="D165" s="26"/>
      <c r="E165" s="98" t="s">
        <v>1035</v>
      </c>
      <c r="F165" s="98" t="s">
        <v>16</v>
      </c>
      <c r="G165" s="335" t="s">
        <v>1105</v>
      </c>
      <c r="H165" s="93"/>
    </row>
    <row r="166" spans="1:8" ht="27.75" x14ac:dyDescent="0.65">
      <c r="A166" s="149" t="s">
        <v>205</v>
      </c>
      <c r="B166" s="149" t="s">
        <v>206</v>
      </c>
      <c r="C166" s="148">
        <f>IFERROR(VLOOKUP(A166,'งบทดลอง รพ.'!$A$2:$C$599,3,0),0)</f>
        <v>13120</v>
      </c>
      <c r="D166" s="26"/>
      <c r="E166" s="98" t="s">
        <v>1035</v>
      </c>
      <c r="F166" s="98" t="s">
        <v>16</v>
      </c>
      <c r="G166" s="335" t="s">
        <v>1105</v>
      </c>
      <c r="H166" s="93"/>
    </row>
    <row r="167" spans="1:8" ht="27.75" x14ac:dyDescent="0.65">
      <c r="A167" s="150" t="s">
        <v>218</v>
      </c>
      <c r="B167" s="150" t="s">
        <v>219</v>
      </c>
      <c r="C167" s="148">
        <f>IFERROR(VLOOKUP(A167,'งบทดลอง รพ.'!$A$2:$C$599,3,0),0)</f>
        <v>0</v>
      </c>
      <c r="D167" s="26"/>
      <c r="E167" s="98" t="s">
        <v>1037</v>
      </c>
      <c r="F167" s="98" t="s">
        <v>18</v>
      </c>
      <c r="G167" s="335" t="s">
        <v>1105</v>
      </c>
      <c r="H167" s="93"/>
    </row>
    <row r="168" spans="1:8" ht="27.75" x14ac:dyDescent="0.65">
      <c r="A168" s="149" t="s">
        <v>207</v>
      </c>
      <c r="B168" s="149" t="s">
        <v>1177</v>
      </c>
      <c r="C168" s="148">
        <f>IFERROR(VLOOKUP(A168,'งบทดลอง รพ.'!$A$2:$C$599,3,0),0)</f>
        <v>2942800</v>
      </c>
      <c r="D168" s="26"/>
      <c r="E168" s="98" t="s">
        <v>1035</v>
      </c>
      <c r="F168" s="98" t="s">
        <v>16</v>
      </c>
      <c r="G168" s="335" t="s">
        <v>1105</v>
      </c>
      <c r="H168" s="93"/>
    </row>
    <row r="169" spans="1:8" ht="27.75" x14ac:dyDescent="0.65">
      <c r="A169" s="149" t="s">
        <v>208</v>
      </c>
      <c r="B169" s="149" t="s">
        <v>209</v>
      </c>
      <c r="C169" s="148">
        <f>IFERROR(VLOOKUP(A169,'งบทดลอง รพ.'!$A$2:$C$599,3,0),0)</f>
        <v>0</v>
      </c>
      <c r="D169" s="26"/>
      <c r="E169" s="98" t="s">
        <v>1035</v>
      </c>
      <c r="F169" s="98" t="s">
        <v>16</v>
      </c>
      <c r="G169" s="335" t="s">
        <v>1105</v>
      </c>
      <c r="H169" s="93"/>
    </row>
    <row r="170" spans="1:8" ht="27.75" x14ac:dyDescent="0.65">
      <c r="A170" s="149" t="s">
        <v>210</v>
      </c>
      <c r="B170" s="149" t="s">
        <v>1178</v>
      </c>
      <c r="C170" s="148">
        <f>IFERROR(VLOOKUP(A170,'งบทดลอง รพ.'!$A$2:$C$599,3,0),0)</f>
        <v>0</v>
      </c>
      <c r="D170" s="26"/>
      <c r="E170" s="98" t="s">
        <v>1035</v>
      </c>
      <c r="F170" s="98" t="s">
        <v>16</v>
      </c>
      <c r="G170" s="335" t="s">
        <v>1105</v>
      </c>
      <c r="H170" s="93"/>
    </row>
    <row r="171" spans="1:8" ht="27.75" x14ac:dyDescent="0.65">
      <c r="A171" s="149" t="s">
        <v>211</v>
      </c>
      <c r="B171" s="149" t="s">
        <v>212</v>
      </c>
      <c r="C171" s="148">
        <f>IFERROR(VLOOKUP(A171,'งบทดลอง รพ.'!$A$2:$C$599,3,0),0)</f>
        <v>210000</v>
      </c>
      <c r="D171" s="26"/>
      <c r="E171" s="98" t="s">
        <v>1035</v>
      </c>
      <c r="F171" s="98" t="s">
        <v>16</v>
      </c>
      <c r="G171" s="335" t="s">
        <v>1105</v>
      </c>
      <c r="H171" s="93"/>
    </row>
    <row r="172" spans="1:8" ht="27.75" x14ac:dyDescent="0.65">
      <c r="A172" s="149" t="s">
        <v>213</v>
      </c>
      <c r="B172" s="149" t="s">
        <v>214</v>
      </c>
      <c r="C172" s="148">
        <f>IFERROR(VLOOKUP(A172,'งบทดลอง รพ.'!$A$2:$C$599,3,0),0)</f>
        <v>538050</v>
      </c>
      <c r="D172" s="26"/>
      <c r="E172" s="98" t="s">
        <v>1035</v>
      </c>
      <c r="F172" s="98" t="s">
        <v>16</v>
      </c>
      <c r="G172" s="335" t="s">
        <v>1105</v>
      </c>
      <c r="H172" s="93"/>
    </row>
    <row r="173" spans="1:8" ht="27.75" x14ac:dyDescent="0.65">
      <c r="A173" s="149" t="s">
        <v>229</v>
      </c>
      <c r="B173" s="149" t="s">
        <v>230</v>
      </c>
      <c r="C173" s="148">
        <f>IFERROR(VLOOKUP(A173,'งบทดลอง รพ.'!$A$2:$C$599,3,0),0)</f>
        <v>11677560</v>
      </c>
      <c r="D173" s="26"/>
      <c r="E173" s="98" t="s">
        <v>1049</v>
      </c>
      <c r="F173" s="98" t="s">
        <v>25</v>
      </c>
      <c r="G173" s="335" t="s">
        <v>1105</v>
      </c>
      <c r="H173" s="93"/>
    </row>
    <row r="174" spans="1:8" ht="27.75" x14ac:dyDescent="0.65">
      <c r="A174" s="149" t="s">
        <v>231</v>
      </c>
      <c r="B174" s="149" t="s">
        <v>232</v>
      </c>
      <c r="C174" s="148">
        <f>IFERROR(VLOOKUP(A174,'งบทดลอง รพ.'!$A$2:$C$599,3,0),0)</f>
        <v>11950260</v>
      </c>
      <c r="D174" s="26"/>
      <c r="E174" s="98" t="s">
        <v>1049</v>
      </c>
      <c r="F174" s="98" t="s">
        <v>25</v>
      </c>
      <c r="G174" s="335" t="s">
        <v>1105</v>
      </c>
      <c r="H174" s="93"/>
    </row>
    <row r="175" spans="1:8" ht="27.75" x14ac:dyDescent="0.65">
      <c r="A175" s="149" t="s">
        <v>233</v>
      </c>
      <c r="B175" s="149" t="s">
        <v>234</v>
      </c>
      <c r="C175" s="148">
        <f>IFERROR(VLOOKUP(A175,'งบทดลอง รพ.'!$A$2:$C$599,3,0),0)</f>
        <v>0</v>
      </c>
      <c r="D175" s="26"/>
      <c r="E175" s="98" t="s">
        <v>1049</v>
      </c>
      <c r="F175" s="98" t="s">
        <v>25</v>
      </c>
      <c r="G175" s="335" t="s">
        <v>1105</v>
      </c>
      <c r="H175" s="93"/>
    </row>
    <row r="176" spans="1:8" ht="27.75" x14ac:dyDescent="0.65">
      <c r="A176" s="149" t="s">
        <v>235</v>
      </c>
      <c r="B176" s="149" t="s">
        <v>236</v>
      </c>
      <c r="C176" s="148">
        <f>IFERROR(VLOOKUP(A176,'งบทดลอง รพ.'!$A$2:$C$599,3,0),0)</f>
        <v>1083600</v>
      </c>
      <c r="D176" s="26"/>
      <c r="E176" s="98" t="s">
        <v>1049</v>
      </c>
      <c r="F176" s="98" t="s">
        <v>25</v>
      </c>
      <c r="G176" s="335" t="s">
        <v>1105</v>
      </c>
      <c r="H176" s="93"/>
    </row>
    <row r="177" spans="1:8" ht="27.75" x14ac:dyDescent="0.65">
      <c r="A177" s="149" t="s">
        <v>237</v>
      </c>
      <c r="B177" s="149" t="s">
        <v>238</v>
      </c>
      <c r="C177" s="148">
        <f>IFERROR(VLOOKUP(A177,'งบทดลอง รพ.'!$A$2:$C$599,3,0),0)</f>
        <v>0</v>
      </c>
      <c r="D177" s="26"/>
      <c r="E177" s="98" t="s">
        <v>1049</v>
      </c>
      <c r="F177" s="98" t="s">
        <v>25</v>
      </c>
      <c r="G177" s="335" t="s">
        <v>1105</v>
      </c>
      <c r="H177" s="93"/>
    </row>
    <row r="178" spans="1:8" ht="27.75" x14ac:dyDescent="0.65">
      <c r="A178" s="149" t="s">
        <v>239</v>
      </c>
      <c r="B178" s="149" t="s">
        <v>240</v>
      </c>
      <c r="C178" s="148">
        <f>IFERROR(VLOOKUP(A178,'งบทดลอง รพ.'!$A$2:$C$599,3,0),0)</f>
        <v>0</v>
      </c>
      <c r="D178" s="26"/>
      <c r="E178" s="98" t="s">
        <v>1051</v>
      </c>
      <c r="F178" s="98" t="s">
        <v>29</v>
      </c>
      <c r="G178" s="335" t="s">
        <v>1105</v>
      </c>
      <c r="H178" s="93"/>
    </row>
    <row r="179" spans="1:8" ht="27.75" x14ac:dyDescent="0.65">
      <c r="A179" s="149" t="s">
        <v>241</v>
      </c>
      <c r="B179" s="149" t="s">
        <v>242</v>
      </c>
      <c r="C179" s="148">
        <f>IFERROR(VLOOKUP(A179,'งบทดลอง รพ.'!$A$2:$C$599,3,0),0)</f>
        <v>0</v>
      </c>
      <c r="D179" s="26"/>
      <c r="E179" s="98" t="s">
        <v>1049</v>
      </c>
      <c r="F179" s="98" t="s">
        <v>25</v>
      </c>
      <c r="G179" s="335" t="s">
        <v>1105</v>
      </c>
      <c r="H179" s="93"/>
    </row>
    <row r="180" spans="1:8" ht="27.75" x14ac:dyDescent="0.65">
      <c r="A180" s="149" t="s">
        <v>243</v>
      </c>
      <c r="B180" s="149" t="s">
        <v>244</v>
      </c>
      <c r="C180" s="148">
        <f>IFERROR(VLOOKUP(A180,'งบทดลอง รพ.'!$A$2:$C$599,3,0),0)</f>
        <v>0</v>
      </c>
      <c r="D180" s="26"/>
      <c r="E180" s="98" t="s">
        <v>1049</v>
      </c>
      <c r="F180" s="98" t="s">
        <v>25</v>
      </c>
      <c r="G180" s="335" t="s">
        <v>1105</v>
      </c>
      <c r="H180" s="93"/>
    </row>
    <row r="181" spans="1:8" ht="27.75" x14ac:dyDescent="0.65">
      <c r="A181" s="149" t="s">
        <v>245</v>
      </c>
      <c r="B181" s="149" t="s">
        <v>246</v>
      </c>
      <c r="C181" s="148">
        <f>IFERROR(VLOOKUP(A181,'งบทดลอง รพ.'!$A$2:$C$599,3,0),0)</f>
        <v>0</v>
      </c>
      <c r="D181" s="26"/>
      <c r="E181" s="98" t="s">
        <v>1049</v>
      </c>
      <c r="F181" s="98" t="s">
        <v>25</v>
      </c>
      <c r="G181" s="335" t="s">
        <v>1105</v>
      </c>
      <c r="H181" s="93"/>
    </row>
    <row r="182" spans="1:8" ht="27.75" x14ac:dyDescent="0.65">
      <c r="A182" s="149" t="s">
        <v>247</v>
      </c>
      <c r="B182" s="149" t="s">
        <v>248</v>
      </c>
      <c r="C182" s="148">
        <f>IFERROR(VLOOKUP(A182,'งบทดลอง รพ.'!$A$2:$C$599,3,0),0)</f>
        <v>0</v>
      </c>
      <c r="D182" s="26"/>
      <c r="E182" s="98" t="s">
        <v>1049</v>
      </c>
      <c r="F182" s="98" t="s">
        <v>25</v>
      </c>
      <c r="G182" s="335" t="s">
        <v>1105</v>
      </c>
      <c r="H182" s="93"/>
    </row>
    <row r="183" spans="1:8" ht="27.75" x14ac:dyDescent="0.65">
      <c r="A183" s="149" t="s">
        <v>249</v>
      </c>
      <c r="B183" s="149" t="s">
        <v>250</v>
      </c>
      <c r="C183" s="148">
        <f>IFERROR(VLOOKUP(A183,'งบทดลอง รพ.'!$A$2:$C$599,3,0),0)</f>
        <v>1456920</v>
      </c>
      <c r="D183" s="26"/>
      <c r="E183" s="98" t="s">
        <v>1049</v>
      </c>
      <c r="F183" s="98" t="s">
        <v>25</v>
      </c>
      <c r="G183" s="335" t="s">
        <v>1105</v>
      </c>
      <c r="H183" s="93"/>
    </row>
    <row r="184" spans="1:8" ht="27.75" x14ac:dyDescent="0.65">
      <c r="A184" s="149" t="s">
        <v>251</v>
      </c>
      <c r="B184" s="149" t="s">
        <v>252</v>
      </c>
      <c r="C184" s="148">
        <f>IFERROR(VLOOKUP(A184,'งบทดลอง รพ.'!$A$2:$C$599,3,0),0)</f>
        <v>1484580</v>
      </c>
      <c r="D184" s="26"/>
      <c r="E184" s="98" t="s">
        <v>1049</v>
      </c>
      <c r="F184" s="98" t="s">
        <v>25</v>
      </c>
      <c r="G184" s="335" t="s">
        <v>1105</v>
      </c>
      <c r="H184" s="93"/>
    </row>
    <row r="185" spans="1:8" ht="27.75" x14ac:dyDescent="0.65">
      <c r="A185" s="149" t="s">
        <v>261</v>
      </c>
      <c r="B185" s="149" t="s">
        <v>262</v>
      </c>
      <c r="C185" s="148">
        <f>IFERROR(VLOOKUP(A185,'งบทดลอง รพ.'!$A$2:$C$599,3,0),0)</f>
        <v>5726400</v>
      </c>
      <c r="D185" s="26"/>
      <c r="E185" s="98" t="s">
        <v>1053</v>
      </c>
      <c r="F185" s="98" t="s">
        <v>27</v>
      </c>
      <c r="G185" s="335" t="s">
        <v>1105</v>
      </c>
      <c r="H185" s="93"/>
    </row>
    <row r="186" spans="1:8" ht="27.75" x14ac:dyDescent="0.65">
      <c r="A186" s="149" t="s">
        <v>263</v>
      </c>
      <c r="B186" s="149" t="s">
        <v>264</v>
      </c>
      <c r="C186" s="148">
        <f>IFERROR(VLOOKUP(A186,'งบทดลอง รพ.'!$A$2:$C$599,3,0),0)</f>
        <v>1950240</v>
      </c>
      <c r="D186" s="26"/>
      <c r="E186" s="98" t="s">
        <v>1053</v>
      </c>
      <c r="F186" s="98" t="s">
        <v>27</v>
      </c>
      <c r="G186" s="335" t="s">
        <v>1105</v>
      </c>
      <c r="H186" s="93"/>
    </row>
    <row r="187" spans="1:8" ht="27.75" x14ac:dyDescent="0.65">
      <c r="A187" s="149" t="s">
        <v>265</v>
      </c>
      <c r="B187" s="149" t="s">
        <v>1179</v>
      </c>
      <c r="C187" s="148">
        <f>IFERROR(VLOOKUP(A187,'งบทดลอง รพ.'!$A$2:$C$599,3,0),0)</f>
        <v>3021360</v>
      </c>
      <c r="D187" s="26"/>
      <c r="E187" s="98" t="s">
        <v>1055</v>
      </c>
      <c r="F187" s="98" t="s">
        <v>27</v>
      </c>
      <c r="G187" s="335" t="s">
        <v>1105</v>
      </c>
      <c r="H187" s="93"/>
    </row>
    <row r="188" spans="1:8" ht="27.75" x14ac:dyDescent="0.65">
      <c r="A188" s="149" t="s">
        <v>266</v>
      </c>
      <c r="B188" s="149" t="s">
        <v>267</v>
      </c>
      <c r="C188" s="148">
        <f>IFERROR(VLOOKUP(A188,'งบทดลอง รพ.'!$A$2:$C$599,3,0),0)</f>
        <v>0</v>
      </c>
      <c r="D188" s="26"/>
      <c r="E188" s="98" t="s">
        <v>1055</v>
      </c>
      <c r="F188" s="98" t="s">
        <v>27</v>
      </c>
      <c r="G188" s="335" t="s">
        <v>1105</v>
      </c>
      <c r="H188" s="93"/>
    </row>
    <row r="189" spans="1:8" ht="27.75" x14ac:dyDescent="0.65">
      <c r="A189" s="149" t="s">
        <v>268</v>
      </c>
      <c r="B189" s="149" t="s">
        <v>269</v>
      </c>
      <c r="C189" s="148">
        <f>IFERROR(VLOOKUP(A189,'งบทดลอง รพ.'!$A$2:$C$599,3,0),0)</f>
        <v>0</v>
      </c>
      <c r="D189" s="26"/>
      <c r="E189" s="98" t="s">
        <v>1057</v>
      </c>
      <c r="F189" s="98" t="s">
        <v>27</v>
      </c>
      <c r="G189" s="335" t="s">
        <v>1105</v>
      </c>
      <c r="H189" s="93"/>
    </row>
    <row r="190" spans="1:8" ht="27.75" x14ac:dyDescent="0.65">
      <c r="A190" s="149" t="s">
        <v>270</v>
      </c>
      <c r="B190" s="149" t="s">
        <v>636</v>
      </c>
      <c r="C190" s="148">
        <f>IFERROR(VLOOKUP(A190,'งบทดลอง รพ.'!$A$2:$C$599,3,0),0)</f>
        <v>0</v>
      </c>
      <c r="D190" s="26"/>
      <c r="E190" s="98" t="s">
        <v>1057</v>
      </c>
      <c r="F190" s="98" t="s">
        <v>27</v>
      </c>
      <c r="G190" s="335" t="s">
        <v>1105</v>
      </c>
      <c r="H190" s="93"/>
    </row>
    <row r="191" spans="1:8" ht="27.75" x14ac:dyDescent="0.65">
      <c r="A191" s="149" t="s">
        <v>253</v>
      </c>
      <c r="B191" s="149" t="s">
        <v>1180</v>
      </c>
      <c r="C191" s="148">
        <f>IFERROR(VLOOKUP(A191,'งบทดลอง รพ.'!$A$2:$C$599,3,0),0)</f>
        <v>0</v>
      </c>
      <c r="D191" s="26"/>
      <c r="E191" s="98" t="s">
        <v>1049</v>
      </c>
      <c r="F191" s="98" t="s">
        <v>25</v>
      </c>
      <c r="G191" s="335" t="s">
        <v>1105</v>
      </c>
      <c r="H191" s="93"/>
    </row>
    <row r="192" spans="1:8" ht="27.75" x14ac:dyDescent="0.65">
      <c r="A192" s="149" t="s">
        <v>254</v>
      </c>
      <c r="B192" s="149" t="s">
        <v>1181</v>
      </c>
      <c r="C192" s="148">
        <f>IFERROR(VLOOKUP(A192,'งบทดลอง รพ.'!$A$2:$C$599,3,0),0)</f>
        <v>524400</v>
      </c>
      <c r="D192" s="26"/>
      <c r="E192" s="98" t="s">
        <v>1049</v>
      </c>
      <c r="F192" s="98" t="s">
        <v>25</v>
      </c>
      <c r="G192" s="335" t="s">
        <v>1105</v>
      </c>
      <c r="H192" s="93"/>
    </row>
    <row r="193" spans="1:8" ht="27.75" x14ac:dyDescent="0.65">
      <c r="A193" s="149" t="s">
        <v>255</v>
      </c>
      <c r="B193" s="149" t="s">
        <v>1182</v>
      </c>
      <c r="C193" s="148">
        <f>IFERROR(VLOOKUP(A193,'งบทดลอง รพ.'!$A$2:$C$599,3,0),0)</f>
        <v>0</v>
      </c>
      <c r="D193" s="26"/>
      <c r="E193" s="98" t="s">
        <v>1049</v>
      </c>
      <c r="F193" s="98" t="s">
        <v>25</v>
      </c>
      <c r="G193" s="335" t="s">
        <v>1105</v>
      </c>
      <c r="H193" s="93"/>
    </row>
    <row r="194" spans="1:8" ht="27.75" x14ac:dyDescent="0.65">
      <c r="A194" s="149" t="s">
        <v>256</v>
      </c>
      <c r="B194" s="149" t="s">
        <v>1183</v>
      </c>
      <c r="C194" s="148">
        <f>IFERROR(VLOOKUP(A194,'งบทดลอง รพ.'!$A$2:$C$599,3,0),0)</f>
        <v>0</v>
      </c>
      <c r="D194" s="26"/>
      <c r="E194" s="98" t="s">
        <v>1049</v>
      </c>
      <c r="F194" s="98" t="s">
        <v>25</v>
      </c>
      <c r="G194" s="335" t="s">
        <v>1105</v>
      </c>
      <c r="H194" s="93"/>
    </row>
    <row r="195" spans="1:8" ht="27.75" x14ac:dyDescent="0.65">
      <c r="A195" s="149" t="s">
        <v>257</v>
      </c>
      <c r="B195" s="149" t="s">
        <v>1184</v>
      </c>
      <c r="C195" s="148">
        <f>IFERROR(VLOOKUP(A195,'งบทดลอง รพ.'!$A$2:$C$599,3,0),0)</f>
        <v>0</v>
      </c>
      <c r="D195" s="26"/>
      <c r="E195" s="98" t="s">
        <v>1049</v>
      </c>
      <c r="F195" s="98" t="s">
        <v>25</v>
      </c>
      <c r="G195" s="335" t="s">
        <v>1105</v>
      </c>
      <c r="H195" s="93"/>
    </row>
    <row r="196" spans="1:8" ht="27.75" x14ac:dyDescent="0.65">
      <c r="A196" s="149" t="s">
        <v>258</v>
      </c>
      <c r="B196" s="149" t="s">
        <v>1185</v>
      </c>
      <c r="C196" s="148">
        <f>IFERROR(VLOOKUP(A196,'งบทดลอง รพ.'!$A$2:$C$599,3,0),0)</f>
        <v>0</v>
      </c>
      <c r="D196" s="26"/>
      <c r="E196" s="98" t="s">
        <v>1049</v>
      </c>
      <c r="F196" s="98" t="s">
        <v>25</v>
      </c>
      <c r="G196" s="335" t="s">
        <v>1105</v>
      </c>
      <c r="H196" s="93"/>
    </row>
    <row r="197" spans="1:8" ht="27.75" x14ac:dyDescent="0.65">
      <c r="A197" s="149" t="s">
        <v>259</v>
      </c>
      <c r="B197" s="149" t="s">
        <v>1186</v>
      </c>
      <c r="C197" s="148">
        <f>IFERROR(VLOOKUP(A197,'งบทดลอง รพ.'!$A$2:$C$599,3,0),0)</f>
        <v>0</v>
      </c>
      <c r="D197" s="26"/>
      <c r="E197" s="98" t="s">
        <v>1049</v>
      </c>
      <c r="F197" s="98" t="s">
        <v>25</v>
      </c>
      <c r="G197" s="335" t="s">
        <v>1105</v>
      </c>
      <c r="H197" s="93"/>
    </row>
    <row r="198" spans="1:8" ht="27.75" x14ac:dyDescent="0.65">
      <c r="A198" s="149" t="s">
        <v>260</v>
      </c>
      <c r="B198" s="149" t="s">
        <v>1187</v>
      </c>
      <c r="C198" s="148">
        <f>IFERROR(VLOOKUP(A198,'งบทดลอง รพ.'!$A$2:$C$599,3,0),0)</f>
        <v>0</v>
      </c>
      <c r="D198" s="26"/>
      <c r="E198" s="98" t="s">
        <v>1049</v>
      </c>
      <c r="F198" s="98" t="s">
        <v>25</v>
      </c>
      <c r="G198" s="335" t="s">
        <v>1105</v>
      </c>
      <c r="H198" s="93"/>
    </row>
    <row r="199" spans="1:8" ht="27.75" x14ac:dyDescent="0.65">
      <c r="A199" s="149" t="s">
        <v>907</v>
      </c>
      <c r="B199" s="149" t="s">
        <v>908</v>
      </c>
      <c r="C199" s="148">
        <f>IFERROR(VLOOKUP(A199,'งบทดลอง รพ.'!$A$2:$C$599,3,0),0)</f>
        <v>201600</v>
      </c>
      <c r="D199" s="26"/>
      <c r="E199" s="98" t="s">
        <v>1049</v>
      </c>
      <c r="F199" s="98" t="s">
        <v>25</v>
      </c>
      <c r="G199" s="335" t="s">
        <v>1105</v>
      </c>
      <c r="H199" s="93"/>
    </row>
    <row r="200" spans="1:8" ht="27.75" x14ac:dyDescent="0.65">
      <c r="A200" s="149" t="s">
        <v>909</v>
      </c>
      <c r="B200" s="149" t="s">
        <v>910</v>
      </c>
      <c r="C200" s="148">
        <f>IFERROR(VLOOKUP(A200,'งบทดลอง รพ.'!$A$2:$C$599,3,0),0)</f>
        <v>0</v>
      </c>
      <c r="D200" s="26"/>
      <c r="E200" s="98" t="s">
        <v>1049</v>
      </c>
      <c r="F200" s="98" t="s">
        <v>25</v>
      </c>
      <c r="G200" s="335" t="s">
        <v>1105</v>
      </c>
      <c r="H200" s="93"/>
    </row>
    <row r="201" spans="1:8" ht="27.75" x14ac:dyDescent="0.65">
      <c r="A201" s="149" t="s">
        <v>911</v>
      </c>
      <c r="B201" s="149" t="s">
        <v>1232</v>
      </c>
      <c r="C201" s="148">
        <f>IFERROR(VLOOKUP(A201,'งบทดลอง รพ.'!$A$2:$C$599,3,0),0)</f>
        <v>780160</v>
      </c>
      <c r="D201" s="26"/>
      <c r="E201" s="98" t="s">
        <v>1051</v>
      </c>
      <c r="F201" s="98" t="s">
        <v>29</v>
      </c>
      <c r="G201" s="335" t="s">
        <v>1105</v>
      </c>
      <c r="H201" s="93"/>
    </row>
    <row r="202" spans="1:8" ht="27.75" x14ac:dyDescent="0.65">
      <c r="A202" s="149" t="s">
        <v>285</v>
      </c>
      <c r="B202" s="149" t="s">
        <v>286</v>
      </c>
      <c r="C202" s="148">
        <f>IFERROR(VLOOKUP(A202,'งบทดลอง รพ.'!$A$2:$C$599,3,0),0)</f>
        <v>0</v>
      </c>
      <c r="D202" s="26"/>
      <c r="E202" s="98" t="s">
        <v>1059</v>
      </c>
      <c r="F202" s="98" t="s">
        <v>31</v>
      </c>
      <c r="G202" s="335" t="s">
        <v>1105</v>
      </c>
      <c r="H202" s="93"/>
    </row>
    <row r="203" spans="1:8" ht="27.75" x14ac:dyDescent="0.65">
      <c r="A203" s="149" t="s">
        <v>287</v>
      </c>
      <c r="B203" s="149" t="s">
        <v>288</v>
      </c>
      <c r="C203" s="148">
        <f>IFERROR(VLOOKUP(A203,'งบทดลอง รพ.'!$A$2:$C$599,3,0),0)</f>
        <v>0</v>
      </c>
      <c r="D203" s="26"/>
      <c r="E203" s="98" t="s">
        <v>1059</v>
      </c>
      <c r="F203" s="98" t="s">
        <v>31</v>
      </c>
      <c r="G203" s="335" t="s">
        <v>1105</v>
      </c>
      <c r="H203" s="93"/>
    </row>
    <row r="204" spans="1:8" ht="27.75" x14ac:dyDescent="0.65">
      <c r="A204" s="149" t="s">
        <v>289</v>
      </c>
      <c r="B204" s="149" t="s">
        <v>290</v>
      </c>
      <c r="C204" s="148">
        <f>IFERROR(VLOOKUP(A204,'งบทดลอง รพ.'!$A$2:$C$599,3,0),0)</f>
        <v>308880.82666666666</v>
      </c>
      <c r="D204" s="26"/>
      <c r="E204" s="98" t="s">
        <v>1059</v>
      </c>
      <c r="F204" s="98" t="s">
        <v>31</v>
      </c>
      <c r="G204" s="335" t="s">
        <v>1105</v>
      </c>
      <c r="H204" s="93"/>
    </row>
    <row r="205" spans="1:8" ht="27.75" x14ac:dyDescent="0.65">
      <c r="A205" s="149" t="s">
        <v>291</v>
      </c>
      <c r="B205" s="149" t="s">
        <v>292</v>
      </c>
      <c r="C205" s="148">
        <f>IFERROR(VLOOKUP(A205,'งบทดลอง รพ.'!$A$2:$C$599,3,0),0)</f>
        <v>463321.2533333333</v>
      </c>
      <c r="D205" s="26"/>
      <c r="E205" s="98" t="s">
        <v>1059</v>
      </c>
      <c r="F205" s="98" t="s">
        <v>31</v>
      </c>
      <c r="G205" s="335" t="s">
        <v>1105</v>
      </c>
      <c r="H205" s="93"/>
    </row>
    <row r="206" spans="1:8" ht="27.75" x14ac:dyDescent="0.65">
      <c r="A206" s="149" t="s">
        <v>293</v>
      </c>
      <c r="B206" s="149" t="s">
        <v>294</v>
      </c>
      <c r="C206" s="148">
        <f>IFERROR(VLOOKUP(A206,'งบทดลอง รพ.'!$A$2:$C$599,3,0),0)</f>
        <v>77516.426666666666</v>
      </c>
      <c r="D206" s="26"/>
      <c r="E206" s="98" t="s">
        <v>1059</v>
      </c>
      <c r="F206" s="98" t="s">
        <v>31</v>
      </c>
      <c r="G206" s="335" t="s">
        <v>1105</v>
      </c>
      <c r="H206" s="93"/>
    </row>
    <row r="207" spans="1:8" ht="27.75" x14ac:dyDescent="0.65">
      <c r="A207" s="149" t="s">
        <v>295</v>
      </c>
      <c r="B207" s="149" t="s">
        <v>1188</v>
      </c>
      <c r="C207" s="148">
        <f>IFERROR(VLOOKUP(A207,'งบทดลอง รพ.'!$A$2:$C$599,3,0),0)</f>
        <v>516900</v>
      </c>
      <c r="D207" s="26"/>
      <c r="E207" s="98" t="s">
        <v>1059</v>
      </c>
      <c r="F207" s="98" t="s">
        <v>31</v>
      </c>
      <c r="G207" s="335" t="s">
        <v>1105</v>
      </c>
      <c r="H207" s="93"/>
    </row>
    <row r="208" spans="1:8" ht="27.75" x14ac:dyDescent="0.65">
      <c r="A208" s="149" t="s">
        <v>296</v>
      </c>
      <c r="B208" s="149" t="s">
        <v>297</v>
      </c>
      <c r="C208" s="148">
        <f>IFERROR(VLOOKUP(A208,'งบทดลอง รพ.'!$A$2:$C$599,3,0),0)</f>
        <v>0</v>
      </c>
      <c r="D208" s="26"/>
      <c r="E208" s="98" t="s">
        <v>1059</v>
      </c>
      <c r="F208" s="98" t="s">
        <v>31</v>
      </c>
      <c r="G208" s="335" t="s">
        <v>1105</v>
      </c>
      <c r="H208" s="93"/>
    </row>
    <row r="209" spans="1:8" ht="27.75" x14ac:dyDescent="0.65">
      <c r="A209" s="149" t="s">
        <v>298</v>
      </c>
      <c r="B209" s="149" t="s">
        <v>299</v>
      </c>
      <c r="C209" s="148">
        <f>IFERROR(VLOOKUP(A209,'งบทดลอง รพ.'!$A$2:$C$599,3,0),0)</f>
        <v>18258.400000000001</v>
      </c>
      <c r="D209" s="26"/>
      <c r="E209" s="98" t="s">
        <v>1059</v>
      </c>
      <c r="F209" s="98" t="s">
        <v>31</v>
      </c>
      <c r="G209" s="335" t="s">
        <v>1105</v>
      </c>
      <c r="H209" s="93"/>
    </row>
    <row r="210" spans="1:8" ht="27.75" x14ac:dyDescent="0.65">
      <c r="A210" s="149" t="s">
        <v>274</v>
      </c>
      <c r="B210" s="149" t="s">
        <v>275</v>
      </c>
      <c r="C210" s="148">
        <f>IFERROR(VLOOKUP(A210,'งบทดลอง รพ.'!$A$2:$C$599,3,0),0)</f>
        <v>1386000</v>
      </c>
      <c r="D210" s="26"/>
      <c r="E210" s="98" t="s">
        <v>1063</v>
      </c>
      <c r="F210" s="98" t="s">
        <v>29</v>
      </c>
      <c r="G210" s="335" t="s">
        <v>1105</v>
      </c>
      <c r="H210" s="93"/>
    </row>
    <row r="211" spans="1:8" ht="27.75" x14ac:dyDescent="0.65">
      <c r="A211" s="149" t="s">
        <v>277</v>
      </c>
      <c r="B211" s="149" t="s">
        <v>278</v>
      </c>
      <c r="C211" s="148">
        <f>IFERROR(VLOOKUP(A211,'งบทดลอง รพ.'!$A$2:$C$599,3,0),0)</f>
        <v>66000</v>
      </c>
      <c r="D211" s="26"/>
      <c r="E211" s="98" t="s">
        <v>1063</v>
      </c>
      <c r="F211" s="98" t="s">
        <v>29</v>
      </c>
      <c r="G211" s="335" t="s">
        <v>1105</v>
      </c>
      <c r="H211" s="93"/>
    </row>
    <row r="212" spans="1:8" ht="27.75" x14ac:dyDescent="0.65">
      <c r="A212" s="149" t="s">
        <v>279</v>
      </c>
      <c r="B212" s="149" t="s">
        <v>1230</v>
      </c>
      <c r="C212" s="148">
        <f>IFERROR(VLOOKUP(A212,'งบทดลอง รพ.'!$A$2:$C$599,3,0),0)</f>
        <v>0</v>
      </c>
      <c r="D212" s="26"/>
      <c r="E212" s="98" t="s">
        <v>1065</v>
      </c>
      <c r="F212" s="98" t="s">
        <v>29</v>
      </c>
      <c r="G212" s="335" t="s">
        <v>1105</v>
      </c>
      <c r="H212" s="93"/>
    </row>
    <row r="213" spans="1:8" ht="27.75" x14ac:dyDescent="0.65">
      <c r="A213" s="149" t="s">
        <v>280</v>
      </c>
      <c r="B213" s="149" t="s">
        <v>1231</v>
      </c>
      <c r="C213" s="148">
        <f>IFERROR(VLOOKUP(A213,'งบทดลอง รพ.'!$A$2:$C$599,3,0),0)</f>
        <v>0</v>
      </c>
      <c r="D213" s="26"/>
      <c r="E213" s="98" t="s">
        <v>1065</v>
      </c>
      <c r="F213" s="98" t="s">
        <v>29</v>
      </c>
      <c r="G213" s="335" t="s">
        <v>1105</v>
      </c>
      <c r="H213" s="93"/>
    </row>
    <row r="214" spans="1:8" ht="27.75" x14ac:dyDescent="0.65">
      <c r="A214" s="149" t="s">
        <v>281</v>
      </c>
      <c r="B214" s="149" t="s">
        <v>282</v>
      </c>
      <c r="C214" s="148">
        <f>IFERROR(VLOOKUP(A214,'งบทดลอง รพ.'!$A$2:$C$599,3,0),0)</f>
        <v>0</v>
      </c>
      <c r="D214" s="26"/>
      <c r="E214" s="98" t="s">
        <v>1065</v>
      </c>
      <c r="F214" s="98" t="s">
        <v>29</v>
      </c>
      <c r="G214" s="335" t="s">
        <v>1105</v>
      </c>
      <c r="H214" s="93"/>
    </row>
    <row r="215" spans="1:8" ht="27.75" x14ac:dyDescent="0.65">
      <c r="A215" s="149" t="s">
        <v>283</v>
      </c>
      <c r="B215" s="149" t="s">
        <v>284</v>
      </c>
      <c r="C215" s="148">
        <f>IFERROR(VLOOKUP(A215,'งบทดลอง รพ.'!$A$2:$C$599,3,0),0)</f>
        <v>0</v>
      </c>
      <c r="D215" s="26"/>
      <c r="E215" s="98" t="s">
        <v>1065</v>
      </c>
      <c r="F215" s="98" t="s">
        <v>29</v>
      </c>
      <c r="G215" s="335" t="s">
        <v>1105</v>
      </c>
      <c r="H215" s="93"/>
    </row>
    <row r="216" spans="1:8" ht="27.75" x14ac:dyDescent="0.65">
      <c r="A216" s="149" t="s">
        <v>912</v>
      </c>
      <c r="B216" s="149" t="s">
        <v>1234</v>
      </c>
      <c r="C216" s="148">
        <f>IFERROR(VLOOKUP(A216,'งบทดลอง รพ.'!$A$2:$C$599,3,0),0)</f>
        <v>5137200</v>
      </c>
      <c r="D216" s="26"/>
      <c r="E216" s="98" t="s">
        <v>1061</v>
      </c>
      <c r="F216" s="98" t="s">
        <v>29</v>
      </c>
      <c r="G216" s="335" t="s">
        <v>1105</v>
      </c>
      <c r="H216" s="93"/>
    </row>
    <row r="217" spans="1:8" ht="27.75" x14ac:dyDescent="0.65">
      <c r="A217" s="149" t="s">
        <v>913</v>
      </c>
      <c r="B217" s="149" t="s">
        <v>1233</v>
      </c>
      <c r="C217" s="148">
        <f>IFERROR(VLOOKUP(A217,'งบทดลอง รพ.'!$A$2:$C$599,3,0),0)</f>
        <v>0</v>
      </c>
      <c r="D217" s="26"/>
      <c r="E217" s="98" t="s">
        <v>1061</v>
      </c>
      <c r="F217" s="98" t="s">
        <v>29</v>
      </c>
      <c r="G217" s="335" t="s">
        <v>1105</v>
      </c>
      <c r="H217" s="93"/>
    </row>
    <row r="218" spans="1:8" ht="27.75" x14ac:dyDescent="0.65">
      <c r="A218" s="149" t="s">
        <v>914</v>
      </c>
      <c r="B218" s="149" t="s">
        <v>915</v>
      </c>
      <c r="C218" s="148">
        <f>IFERROR(VLOOKUP(A218,'งบทดลอง รพ.'!$A$2:$C$599,3,0),0)</f>
        <v>0</v>
      </c>
      <c r="D218" s="26"/>
      <c r="E218" s="98" t="s">
        <v>1065</v>
      </c>
      <c r="F218" s="98" t="s">
        <v>29</v>
      </c>
      <c r="G218" s="335" t="s">
        <v>1105</v>
      </c>
      <c r="H218" s="93"/>
    </row>
    <row r="219" spans="1:8" ht="27.75" x14ac:dyDescent="0.65">
      <c r="A219" s="149" t="s">
        <v>916</v>
      </c>
      <c r="B219" s="149" t="s">
        <v>917</v>
      </c>
      <c r="C219" s="148">
        <f>IFERROR(VLOOKUP(A219,'งบทดลอง รพ.'!$A$2:$C$599,3,0),0)</f>
        <v>0</v>
      </c>
      <c r="D219" s="26"/>
      <c r="E219" s="98" t="s">
        <v>1065</v>
      </c>
      <c r="F219" s="98" t="s">
        <v>29</v>
      </c>
      <c r="G219" s="335" t="s">
        <v>1105</v>
      </c>
      <c r="H219" s="93"/>
    </row>
    <row r="220" spans="1:8" ht="27.75" x14ac:dyDescent="0.65">
      <c r="A220" s="149" t="s">
        <v>918</v>
      </c>
      <c r="B220" s="149" t="s">
        <v>919</v>
      </c>
      <c r="C220" s="148">
        <f>IFERROR(VLOOKUP(A220,'งบทดลอง รพ.'!$A$2:$C$599,3,0),0)</f>
        <v>0</v>
      </c>
      <c r="D220" s="26"/>
      <c r="E220" s="98" t="s">
        <v>1065</v>
      </c>
      <c r="F220" s="98" t="s">
        <v>29</v>
      </c>
      <c r="G220" s="335" t="s">
        <v>1105</v>
      </c>
      <c r="H220" s="93"/>
    </row>
    <row r="221" spans="1:8" ht="27.75" x14ac:dyDescent="0.65">
      <c r="A221" s="149" t="s">
        <v>300</v>
      </c>
      <c r="B221" s="149" t="s">
        <v>301</v>
      </c>
      <c r="C221" s="148">
        <f>IFERROR(VLOOKUP(A221,'งบทดลอง รพ.'!$A$2:$C$599,3,0),0)</f>
        <v>150000</v>
      </c>
      <c r="D221" s="26"/>
      <c r="E221" s="98" t="s">
        <v>1059</v>
      </c>
      <c r="F221" s="98" t="s">
        <v>31</v>
      </c>
      <c r="G221" s="335" t="s">
        <v>1105</v>
      </c>
      <c r="H221" s="93"/>
    </row>
    <row r="222" spans="1:8" ht="27.75" x14ac:dyDescent="0.65">
      <c r="A222" s="149" t="s">
        <v>302</v>
      </c>
      <c r="B222" s="149" t="s">
        <v>303</v>
      </c>
      <c r="C222" s="148">
        <f>IFERROR(VLOOKUP(A222,'งบทดลอง รพ.'!$A$2:$C$599,3,0),0)</f>
        <v>60000</v>
      </c>
      <c r="D222" s="26"/>
      <c r="E222" s="98" t="s">
        <v>1059</v>
      </c>
      <c r="F222" s="98" t="s">
        <v>31</v>
      </c>
      <c r="G222" s="335" t="s">
        <v>1105</v>
      </c>
      <c r="H222" s="93"/>
    </row>
    <row r="223" spans="1:8" ht="27.75" x14ac:dyDescent="0.65">
      <c r="A223" s="149" t="s">
        <v>920</v>
      </c>
      <c r="B223" s="149" t="s">
        <v>921</v>
      </c>
      <c r="C223" s="148">
        <f>IFERROR(VLOOKUP(A223,'งบทดลอง รพ.'!$A$2:$C$599,3,0),0)</f>
        <v>0</v>
      </c>
      <c r="D223" s="26"/>
      <c r="E223" s="98" t="s">
        <v>1059</v>
      </c>
      <c r="F223" s="98" t="s">
        <v>31</v>
      </c>
      <c r="G223" s="335" t="s">
        <v>1105</v>
      </c>
      <c r="H223" s="93"/>
    </row>
    <row r="224" spans="1:8" ht="27.75" x14ac:dyDescent="0.65">
      <c r="A224" s="149" t="s">
        <v>304</v>
      </c>
      <c r="B224" s="149" t="s">
        <v>305</v>
      </c>
      <c r="C224" s="148">
        <f>IFERROR(VLOOKUP(A224,'งบทดลอง รพ.'!$A$2:$C$599,3,0),0)</f>
        <v>0</v>
      </c>
      <c r="D224" s="26"/>
      <c r="E224" s="98" t="s">
        <v>1059</v>
      </c>
      <c r="F224" s="98" t="s">
        <v>31</v>
      </c>
      <c r="G224" s="335" t="s">
        <v>1105</v>
      </c>
      <c r="H224" s="93"/>
    </row>
    <row r="225" spans="1:8" ht="27.75" x14ac:dyDescent="0.65">
      <c r="A225" s="149" t="s">
        <v>306</v>
      </c>
      <c r="B225" s="149" t="s">
        <v>307</v>
      </c>
      <c r="C225" s="148">
        <f>IFERROR(VLOOKUP(A225,'งบทดลอง รพ.'!$A$2:$C$599,3,0),0)</f>
        <v>0</v>
      </c>
      <c r="D225" s="26"/>
      <c r="E225" s="98" t="s">
        <v>1059</v>
      </c>
      <c r="F225" s="98" t="s">
        <v>31</v>
      </c>
      <c r="G225" s="335" t="s">
        <v>1105</v>
      </c>
      <c r="H225" s="93"/>
    </row>
    <row r="226" spans="1:8" ht="27.75" x14ac:dyDescent="0.65">
      <c r="A226" s="149" t="s">
        <v>308</v>
      </c>
      <c r="B226" s="149" t="s">
        <v>1189</v>
      </c>
      <c r="C226" s="148">
        <f>IFERROR(VLOOKUP(A226,'งบทดลอง รพ.'!$A$2:$C$599,3,0),0)</f>
        <v>0</v>
      </c>
      <c r="D226" s="26"/>
      <c r="E226" s="98" t="s">
        <v>1059</v>
      </c>
      <c r="F226" s="98" t="s">
        <v>31</v>
      </c>
      <c r="G226" s="335" t="s">
        <v>1105</v>
      </c>
      <c r="H226" s="93"/>
    </row>
    <row r="227" spans="1:8" ht="27.75" x14ac:dyDescent="0.65">
      <c r="A227" s="149" t="s">
        <v>309</v>
      </c>
      <c r="B227" s="149" t="s">
        <v>310</v>
      </c>
      <c r="C227" s="148">
        <f>IFERROR(VLOOKUP(A227,'งบทดลอง รพ.'!$A$2:$C$599,3,0),0)</f>
        <v>0</v>
      </c>
      <c r="D227" s="26"/>
      <c r="E227" s="98" t="s">
        <v>1059</v>
      </c>
      <c r="F227" s="98" t="s">
        <v>31</v>
      </c>
      <c r="G227" s="335" t="s">
        <v>1105</v>
      </c>
      <c r="H227" s="93"/>
    </row>
    <row r="228" spans="1:8" ht="27.75" x14ac:dyDescent="0.65">
      <c r="A228" s="149" t="s">
        <v>311</v>
      </c>
      <c r="B228" s="149" t="s">
        <v>312</v>
      </c>
      <c r="C228" s="148">
        <f>IFERROR(VLOOKUP(A228,'งบทดลอง รพ.'!$A$2:$C$599,3,0),0)</f>
        <v>0</v>
      </c>
      <c r="D228" s="26"/>
      <c r="E228" s="98" t="s">
        <v>1059</v>
      </c>
      <c r="F228" s="98" t="s">
        <v>31</v>
      </c>
      <c r="G228" s="335" t="s">
        <v>1105</v>
      </c>
      <c r="H228" s="93"/>
    </row>
    <row r="229" spans="1:8" ht="27.75" x14ac:dyDescent="0.65">
      <c r="A229" s="149" t="s">
        <v>313</v>
      </c>
      <c r="B229" s="149" t="s">
        <v>314</v>
      </c>
      <c r="C229" s="148">
        <f>IFERROR(VLOOKUP(A229,'งบทดลอง รพ.'!$A$2:$C$599,3,0),0)</f>
        <v>0</v>
      </c>
      <c r="D229" s="26"/>
      <c r="E229" s="98" t="s">
        <v>1059</v>
      </c>
      <c r="F229" s="98" t="s">
        <v>31</v>
      </c>
      <c r="G229" s="335" t="s">
        <v>1105</v>
      </c>
      <c r="H229" s="93"/>
    </row>
    <row r="230" spans="1:8" ht="27.75" x14ac:dyDescent="0.65">
      <c r="A230" s="149" t="s">
        <v>315</v>
      </c>
      <c r="B230" s="149" t="s">
        <v>301</v>
      </c>
      <c r="C230" s="148">
        <f>IFERROR(VLOOKUP(A230,'งบทดลอง รพ.'!$A$2:$C$599,3,0),0)</f>
        <v>0</v>
      </c>
      <c r="D230" s="26"/>
      <c r="E230" s="98" t="s">
        <v>1059</v>
      </c>
      <c r="F230" s="98" t="s">
        <v>31</v>
      </c>
      <c r="G230" s="335" t="s">
        <v>1105</v>
      </c>
      <c r="H230" s="93"/>
    </row>
    <row r="231" spans="1:8" ht="27.75" x14ac:dyDescent="0.65">
      <c r="A231" s="149" t="s">
        <v>316</v>
      </c>
      <c r="B231" s="149" t="s">
        <v>317</v>
      </c>
      <c r="C231" s="148">
        <f>IFERROR(VLOOKUP(A231,'งบทดลอง รพ.'!$A$2:$C$599,3,0),0)</f>
        <v>0</v>
      </c>
      <c r="D231" s="26"/>
      <c r="E231" s="98" t="s">
        <v>1059</v>
      </c>
      <c r="F231" s="98" t="s">
        <v>31</v>
      </c>
      <c r="G231" s="335" t="s">
        <v>1105</v>
      </c>
      <c r="H231" s="93"/>
    </row>
    <row r="232" spans="1:8" ht="27.75" x14ac:dyDescent="0.65">
      <c r="A232" s="149" t="s">
        <v>922</v>
      </c>
      <c r="B232" s="149" t="s">
        <v>923</v>
      </c>
      <c r="C232" s="148">
        <f>IFERROR(VLOOKUP(A232,'งบทดลอง รพ.'!$A$2:$C$599,3,0),0)</f>
        <v>0</v>
      </c>
      <c r="D232" s="26"/>
      <c r="E232" s="98" t="s">
        <v>1059</v>
      </c>
      <c r="F232" s="98" t="s">
        <v>31</v>
      </c>
      <c r="G232" s="335" t="s">
        <v>1105</v>
      </c>
      <c r="H232" s="93"/>
    </row>
    <row r="233" spans="1:8" ht="27.75" x14ac:dyDescent="0.65">
      <c r="A233" s="149" t="s">
        <v>318</v>
      </c>
      <c r="B233" s="149" t="s">
        <v>319</v>
      </c>
      <c r="C233" s="148">
        <f>IFERROR(VLOOKUP(A233,'งบทดลอง รพ.'!$A$2:$C$599,3,0),0)</f>
        <v>0</v>
      </c>
      <c r="D233" s="26"/>
      <c r="E233" s="98" t="s">
        <v>1059</v>
      </c>
      <c r="F233" s="98" t="s">
        <v>31</v>
      </c>
      <c r="G233" s="335" t="s">
        <v>1105</v>
      </c>
      <c r="H233" s="93"/>
    </row>
    <row r="234" spans="1:8" ht="27.75" x14ac:dyDescent="0.65">
      <c r="A234" s="149" t="s">
        <v>320</v>
      </c>
      <c r="B234" s="149" t="s">
        <v>321</v>
      </c>
      <c r="C234" s="148">
        <f>IFERROR(VLOOKUP(A234,'งบทดลอง รพ.'!$A$2:$C$599,3,0),0)</f>
        <v>0</v>
      </c>
      <c r="D234" s="26"/>
      <c r="E234" s="98" t="s">
        <v>1059</v>
      </c>
      <c r="F234" s="98" t="s">
        <v>31</v>
      </c>
      <c r="G234" s="335" t="s">
        <v>1105</v>
      </c>
      <c r="H234" s="93"/>
    </row>
    <row r="235" spans="1:8" ht="27.75" x14ac:dyDescent="0.65">
      <c r="A235" s="149" t="s">
        <v>322</v>
      </c>
      <c r="B235" s="149" t="s">
        <v>323</v>
      </c>
      <c r="C235" s="148">
        <f>IFERROR(VLOOKUP(A235,'งบทดลอง รพ.'!$A$2:$C$599,3,0),0)</f>
        <v>0</v>
      </c>
      <c r="D235" s="26"/>
      <c r="E235" s="98" t="s">
        <v>1059</v>
      </c>
      <c r="F235" s="98" t="s">
        <v>31</v>
      </c>
      <c r="G235" s="335" t="s">
        <v>1105</v>
      </c>
      <c r="H235" s="93"/>
    </row>
    <row r="236" spans="1:8" ht="27.75" x14ac:dyDescent="0.65">
      <c r="A236" s="149" t="s">
        <v>324</v>
      </c>
      <c r="B236" s="149" t="s">
        <v>325</v>
      </c>
      <c r="C236" s="148">
        <f>IFERROR(VLOOKUP(A236,'งบทดลอง รพ.'!$A$2:$C$599,3,0),0)</f>
        <v>400000</v>
      </c>
      <c r="D236" s="26"/>
      <c r="E236" s="98" t="s">
        <v>1059</v>
      </c>
      <c r="F236" s="98" t="s">
        <v>31</v>
      </c>
      <c r="G236" s="335" t="s">
        <v>1105</v>
      </c>
      <c r="H236" s="93"/>
    </row>
    <row r="237" spans="1:8" ht="27.75" x14ac:dyDescent="0.65">
      <c r="A237" s="149" t="s">
        <v>326</v>
      </c>
      <c r="B237" s="149" t="s">
        <v>327</v>
      </c>
      <c r="C237" s="148">
        <f>IFERROR(VLOOKUP(A237,'งบทดลอง รพ.'!$A$2:$C$599,3,0),0)</f>
        <v>0</v>
      </c>
      <c r="D237" s="26"/>
      <c r="E237" s="98" t="s">
        <v>1059</v>
      </c>
      <c r="F237" s="98" t="s">
        <v>31</v>
      </c>
      <c r="G237" s="335" t="s">
        <v>1105</v>
      </c>
      <c r="H237" s="93"/>
    </row>
    <row r="238" spans="1:8" ht="27.75" x14ac:dyDescent="0.65">
      <c r="A238" s="149" t="s">
        <v>328</v>
      </c>
      <c r="B238" s="149" t="s">
        <v>329</v>
      </c>
      <c r="C238" s="148">
        <f>IFERROR(VLOOKUP(A238,'งบทดลอง รพ.'!$A$2:$C$599,3,0),0)</f>
        <v>50000</v>
      </c>
      <c r="D238" s="26"/>
      <c r="E238" s="98" t="s">
        <v>1067</v>
      </c>
      <c r="F238" s="98" t="s">
        <v>33</v>
      </c>
      <c r="G238" s="335" t="s">
        <v>1105</v>
      </c>
      <c r="H238" s="93"/>
    </row>
    <row r="239" spans="1:8" ht="27.75" x14ac:dyDescent="0.65">
      <c r="A239" s="149" t="s">
        <v>330</v>
      </c>
      <c r="B239" s="149" t="s">
        <v>331</v>
      </c>
      <c r="C239" s="148">
        <f>IFERROR(VLOOKUP(A239,'งบทดลอง รพ.'!$A$2:$C$599,3,0),0)</f>
        <v>200000</v>
      </c>
      <c r="D239" s="26"/>
      <c r="E239" s="98" t="s">
        <v>1067</v>
      </c>
      <c r="F239" s="98" t="s">
        <v>33</v>
      </c>
      <c r="G239" s="335" t="s">
        <v>1105</v>
      </c>
      <c r="H239" s="93"/>
    </row>
    <row r="240" spans="1:8" ht="27.75" x14ac:dyDescent="0.65">
      <c r="A240" s="149" t="s">
        <v>332</v>
      </c>
      <c r="B240" s="149" t="s">
        <v>333</v>
      </c>
      <c r="C240" s="148">
        <f>IFERROR(VLOOKUP(A240,'งบทดลอง รพ.'!$A$2:$C$599,3,0),0)</f>
        <v>150000</v>
      </c>
      <c r="D240" s="26"/>
      <c r="E240" s="98" t="s">
        <v>1067</v>
      </c>
      <c r="F240" s="98" t="s">
        <v>33</v>
      </c>
      <c r="G240" s="335" t="s">
        <v>1105</v>
      </c>
      <c r="H240" s="93"/>
    </row>
    <row r="241" spans="1:8" ht="27.75" x14ac:dyDescent="0.65">
      <c r="A241" s="149" t="s">
        <v>924</v>
      </c>
      <c r="B241" s="149" t="s">
        <v>399</v>
      </c>
      <c r="C241" s="148">
        <f>IFERROR(VLOOKUP(A241,'งบทดลอง รพ.'!$A$2:$C$599,3,0),0)</f>
        <v>255000</v>
      </c>
      <c r="D241" s="26"/>
      <c r="E241" s="98" t="s">
        <v>1079</v>
      </c>
      <c r="F241" s="98" t="s">
        <v>37</v>
      </c>
      <c r="G241" s="335" t="s">
        <v>1105</v>
      </c>
      <c r="H241" s="93"/>
    </row>
    <row r="242" spans="1:8" ht="27.75" x14ac:dyDescent="0.65">
      <c r="A242" s="149" t="s">
        <v>925</v>
      </c>
      <c r="B242" s="149" t="s">
        <v>400</v>
      </c>
      <c r="C242" s="148">
        <f>IFERROR(VLOOKUP(A242,'งบทดลอง รพ.'!$A$2:$C$599,3,0),0)</f>
        <v>0</v>
      </c>
      <c r="D242" s="26"/>
      <c r="E242" s="98" t="s">
        <v>1079</v>
      </c>
      <c r="F242" s="98" t="s">
        <v>37</v>
      </c>
      <c r="G242" s="335" t="s">
        <v>1105</v>
      </c>
      <c r="H242" s="93"/>
    </row>
    <row r="243" spans="1:8" ht="27.75" x14ac:dyDescent="0.65">
      <c r="A243" s="149" t="s">
        <v>926</v>
      </c>
      <c r="B243" s="149" t="s">
        <v>401</v>
      </c>
      <c r="C243" s="148">
        <f>IFERROR(VLOOKUP(A243,'งบทดลอง รพ.'!$A$2:$C$599,3,0),0)</f>
        <v>0</v>
      </c>
      <c r="D243" s="26"/>
      <c r="E243" s="98" t="s">
        <v>1079</v>
      </c>
      <c r="F243" s="98" t="s">
        <v>37</v>
      </c>
      <c r="G243" s="335" t="s">
        <v>1105</v>
      </c>
      <c r="H243" s="93"/>
    </row>
    <row r="244" spans="1:8" ht="27.75" x14ac:dyDescent="0.65">
      <c r="A244" s="149" t="s">
        <v>927</v>
      </c>
      <c r="B244" s="149" t="s">
        <v>402</v>
      </c>
      <c r="C244" s="148">
        <f>IFERROR(VLOOKUP(A244,'งบทดลอง รพ.'!$A$2:$C$599,3,0),0)</f>
        <v>0</v>
      </c>
      <c r="D244" s="26"/>
      <c r="E244" s="98" t="s">
        <v>1079</v>
      </c>
      <c r="F244" s="98" t="s">
        <v>37</v>
      </c>
      <c r="G244" s="335" t="s">
        <v>1105</v>
      </c>
      <c r="H244" s="93"/>
    </row>
    <row r="245" spans="1:8" ht="27.75" x14ac:dyDescent="0.65">
      <c r="A245" s="149" t="s">
        <v>928</v>
      </c>
      <c r="B245" s="149" t="s">
        <v>403</v>
      </c>
      <c r="C245" s="148">
        <f>IFERROR(VLOOKUP(A245,'งบทดลอง รพ.'!$A$2:$C$599,3,0),0)</f>
        <v>250000</v>
      </c>
      <c r="D245" s="26"/>
      <c r="E245" s="98" t="s">
        <v>1079</v>
      </c>
      <c r="F245" s="98" t="s">
        <v>37</v>
      </c>
      <c r="G245" s="335" t="s">
        <v>1105</v>
      </c>
      <c r="H245" s="93"/>
    </row>
    <row r="246" spans="1:8" ht="27.75" x14ac:dyDescent="0.65">
      <c r="A246" s="149" t="s">
        <v>929</v>
      </c>
      <c r="B246" s="149" t="s">
        <v>404</v>
      </c>
      <c r="C246" s="148">
        <f>IFERROR(VLOOKUP(A246,'งบทดลอง รพ.'!$A$2:$C$599,3,0),0)</f>
        <v>565000</v>
      </c>
      <c r="D246" s="26"/>
      <c r="E246" s="98" t="s">
        <v>1079</v>
      </c>
      <c r="F246" s="98" t="s">
        <v>37</v>
      </c>
      <c r="G246" s="335" t="s">
        <v>1105</v>
      </c>
      <c r="H246" s="93"/>
    </row>
    <row r="247" spans="1:8" ht="27.75" x14ac:dyDescent="0.65">
      <c r="A247" s="149" t="s">
        <v>930</v>
      </c>
      <c r="B247" s="149" t="s">
        <v>409</v>
      </c>
      <c r="C247" s="148">
        <f>IFERROR(VLOOKUP(A247,'งบทดลอง รพ.'!$A$2:$C$599,3,0),0)</f>
        <v>194000</v>
      </c>
      <c r="D247" s="26"/>
      <c r="E247" s="98" t="s">
        <v>1079</v>
      </c>
      <c r="F247" s="98" t="s">
        <v>37</v>
      </c>
      <c r="G247" s="335" t="s">
        <v>1105</v>
      </c>
      <c r="H247" s="93"/>
    </row>
    <row r="248" spans="1:8" ht="27.75" x14ac:dyDescent="0.65">
      <c r="A248" s="149" t="s">
        <v>931</v>
      </c>
      <c r="B248" s="149" t="s">
        <v>410</v>
      </c>
      <c r="C248" s="148">
        <f>IFERROR(VLOOKUP(A248,'งบทดลอง รพ.'!$A$2:$C$599,3,0),0)</f>
        <v>0</v>
      </c>
      <c r="D248" s="26"/>
      <c r="E248" s="98" t="s">
        <v>1079</v>
      </c>
      <c r="F248" s="98" t="s">
        <v>37</v>
      </c>
      <c r="G248" s="335" t="s">
        <v>1105</v>
      </c>
      <c r="H248" s="93"/>
    </row>
    <row r="249" spans="1:8" ht="27.75" x14ac:dyDescent="0.65">
      <c r="A249" s="149" t="s">
        <v>932</v>
      </c>
      <c r="B249" s="149" t="s">
        <v>411</v>
      </c>
      <c r="C249" s="148">
        <f>IFERROR(VLOOKUP(A249,'งบทดลอง รพ.'!$A$2:$C$599,3,0),0)</f>
        <v>0</v>
      </c>
      <c r="D249" s="26"/>
      <c r="E249" s="98" t="s">
        <v>1079</v>
      </c>
      <c r="F249" s="98" t="s">
        <v>37</v>
      </c>
      <c r="G249" s="335" t="s">
        <v>1105</v>
      </c>
      <c r="H249" s="93"/>
    </row>
    <row r="250" spans="1:8" ht="27.75" x14ac:dyDescent="0.65">
      <c r="A250" s="149" t="s">
        <v>334</v>
      </c>
      <c r="B250" s="149" t="s">
        <v>335</v>
      </c>
      <c r="C250" s="148">
        <f>IFERROR(VLOOKUP(A250,'งบทดลอง รพ.'!$A$2:$C$599,3,0),0)</f>
        <v>0</v>
      </c>
      <c r="D250" s="26"/>
      <c r="E250" s="98" t="s">
        <v>1069</v>
      </c>
      <c r="F250" s="98" t="s">
        <v>33</v>
      </c>
      <c r="G250" s="335" t="s">
        <v>1105</v>
      </c>
      <c r="H250" s="93"/>
    </row>
    <row r="251" spans="1:8" ht="27.75" x14ac:dyDescent="0.65">
      <c r="A251" s="149" t="s">
        <v>336</v>
      </c>
      <c r="B251" s="149" t="s">
        <v>337</v>
      </c>
      <c r="C251" s="148">
        <f>IFERROR(VLOOKUP(A251,'งบทดลอง รพ.'!$A$2:$C$599,3,0),0)</f>
        <v>0</v>
      </c>
      <c r="D251" s="26"/>
      <c r="E251" s="98" t="s">
        <v>1069</v>
      </c>
      <c r="F251" s="98" t="s">
        <v>33</v>
      </c>
      <c r="G251" s="335" t="s">
        <v>1105</v>
      </c>
      <c r="H251" s="93"/>
    </row>
    <row r="252" spans="1:8" ht="27.75" x14ac:dyDescent="0.65">
      <c r="A252" s="149" t="s">
        <v>338</v>
      </c>
      <c r="B252" s="149" t="s">
        <v>339</v>
      </c>
      <c r="C252" s="148">
        <f>IFERROR(VLOOKUP(A252,'งบทดลอง รพ.'!$A$2:$C$599,3,0),0)</f>
        <v>617100</v>
      </c>
      <c r="D252" s="26"/>
      <c r="E252" s="98" t="s">
        <v>1069</v>
      </c>
      <c r="F252" s="98" t="s">
        <v>33</v>
      </c>
      <c r="G252" s="335" t="s">
        <v>1105</v>
      </c>
      <c r="H252" s="93"/>
    </row>
    <row r="253" spans="1:8" ht="27.75" x14ac:dyDescent="0.65">
      <c r="A253" s="149" t="s">
        <v>340</v>
      </c>
      <c r="B253" s="149" t="s">
        <v>341</v>
      </c>
      <c r="C253" s="148">
        <f>IFERROR(VLOOKUP(A253,'งบทดลอง รพ.'!$A$2:$C$599,3,0),0)</f>
        <v>0</v>
      </c>
      <c r="D253" s="26"/>
      <c r="E253" s="98" t="s">
        <v>1069</v>
      </c>
      <c r="F253" s="98" t="s">
        <v>33</v>
      </c>
      <c r="G253" s="335" t="s">
        <v>1105</v>
      </c>
      <c r="H253" s="93"/>
    </row>
    <row r="254" spans="1:8" ht="27.75" x14ac:dyDescent="0.65">
      <c r="A254" s="149" t="s">
        <v>342</v>
      </c>
      <c r="B254" s="149" t="s">
        <v>343</v>
      </c>
      <c r="C254" s="148">
        <f>IFERROR(VLOOKUP(A254,'งบทดลอง รพ.'!$A$2:$C$599,3,0),0)</f>
        <v>0</v>
      </c>
      <c r="D254" s="26"/>
      <c r="E254" s="98" t="s">
        <v>1069</v>
      </c>
      <c r="F254" s="98" t="s">
        <v>33</v>
      </c>
      <c r="G254" s="335" t="s">
        <v>1105</v>
      </c>
      <c r="H254" s="93"/>
    </row>
    <row r="255" spans="1:8" ht="27.75" x14ac:dyDescent="0.65">
      <c r="A255" s="149" t="s">
        <v>344</v>
      </c>
      <c r="B255" s="149" t="s">
        <v>345</v>
      </c>
      <c r="C255" s="148">
        <f>IFERROR(VLOOKUP(A255,'งบทดลอง รพ.'!$A$2:$C$599,3,0),0)</f>
        <v>501000</v>
      </c>
      <c r="D255" s="26"/>
      <c r="E255" s="98" t="s">
        <v>1069</v>
      </c>
      <c r="F255" s="98" t="s">
        <v>33</v>
      </c>
      <c r="G255" s="335" t="s">
        <v>1105</v>
      </c>
      <c r="H255" s="93"/>
    </row>
    <row r="256" spans="1:8" ht="27.75" x14ac:dyDescent="0.65">
      <c r="A256" s="149" t="s">
        <v>346</v>
      </c>
      <c r="B256" s="149" t="s">
        <v>347</v>
      </c>
      <c r="C256" s="148">
        <f>IFERROR(VLOOKUP(A256,'งบทดลอง รพ.'!$A$2:$C$599,3,0),0)</f>
        <v>35000</v>
      </c>
      <c r="D256" s="26"/>
      <c r="E256" s="98" t="s">
        <v>1069</v>
      </c>
      <c r="F256" s="98" t="s">
        <v>33</v>
      </c>
      <c r="G256" s="335" t="s">
        <v>1105</v>
      </c>
      <c r="H256" s="93"/>
    </row>
    <row r="257" spans="1:8" ht="27.75" x14ac:dyDescent="0.65">
      <c r="A257" s="149" t="s">
        <v>348</v>
      </c>
      <c r="B257" s="149" t="s">
        <v>349</v>
      </c>
      <c r="C257" s="148">
        <f>IFERROR(VLOOKUP(A257,'งบทดลอง รพ.'!$A$2:$C$599,3,0),0)</f>
        <v>44000</v>
      </c>
      <c r="D257" s="26"/>
      <c r="E257" s="98" t="s">
        <v>1069</v>
      </c>
      <c r="F257" s="98" t="s">
        <v>33</v>
      </c>
      <c r="G257" s="335" t="s">
        <v>1105</v>
      </c>
      <c r="H257" s="93"/>
    </row>
    <row r="258" spans="1:8" ht="27.75" x14ac:dyDescent="0.65">
      <c r="A258" s="149" t="s">
        <v>350</v>
      </c>
      <c r="B258" s="149" t="s">
        <v>351</v>
      </c>
      <c r="C258" s="148">
        <f>IFERROR(VLOOKUP(A258,'งบทดลอง รพ.'!$A$2:$C$599,3,0),0)</f>
        <v>0</v>
      </c>
      <c r="D258" s="26"/>
      <c r="E258" s="98" t="s">
        <v>1071</v>
      </c>
      <c r="F258" s="98" t="s">
        <v>33</v>
      </c>
      <c r="G258" s="335" t="s">
        <v>1105</v>
      </c>
      <c r="H258" s="93"/>
    </row>
    <row r="259" spans="1:8" ht="27.75" x14ac:dyDescent="0.65">
      <c r="A259" s="149" t="s">
        <v>352</v>
      </c>
      <c r="B259" s="149" t="s">
        <v>353</v>
      </c>
      <c r="C259" s="148">
        <f>IFERROR(VLOOKUP(A259,'งบทดลอง รพ.'!$A$2:$C$599,3,0),0)</f>
        <v>0</v>
      </c>
      <c r="D259" s="26"/>
      <c r="E259" s="98" t="s">
        <v>1071</v>
      </c>
      <c r="F259" s="98" t="s">
        <v>33</v>
      </c>
      <c r="G259" s="335" t="s">
        <v>1105</v>
      </c>
      <c r="H259" s="93"/>
    </row>
    <row r="260" spans="1:8" ht="27.75" x14ac:dyDescent="0.65">
      <c r="A260" s="149" t="s">
        <v>354</v>
      </c>
      <c r="B260" s="149" t="s">
        <v>1190</v>
      </c>
      <c r="C260" s="148">
        <f>IFERROR(VLOOKUP(A260,'งบทดลอง รพ.'!$A$2:$C$599,3,0),0)</f>
        <v>318400</v>
      </c>
      <c r="D260" s="26"/>
      <c r="E260" s="98" t="s">
        <v>1071</v>
      </c>
      <c r="F260" s="98" t="s">
        <v>33</v>
      </c>
      <c r="G260" s="335" t="s">
        <v>1105</v>
      </c>
      <c r="H260" s="93"/>
    </row>
    <row r="261" spans="1:8" ht="27.75" x14ac:dyDescent="0.65">
      <c r="A261" s="149" t="s">
        <v>355</v>
      </c>
      <c r="B261" s="149" t="s">
        <v>356</v>
      </c>
      <c r="C261" s="148">
        <f>IFERROR(VLOOKUP(A261,'งบทดลอง รพ.'!$A$2:$C$599,3,0),0)</f>
        <v>63960</v>
      </c>
      <c r="D261" s="26"/>
      <c r="E261" s="98" t="s">
        <v>1071</v>
      </c>
      <c r="F261" s="98" t="s">
        <v>33</v>
      </c>
      <c r="G261" s="335" t="s">
        <v>1105</v>
      </c>
      <c r="H261" s="93"/>
    </row>
    <row r="262" spans="1:8" ht="27.75" x14ac:dyDescent="0.65">
      <c r="A262" s="149" t="s">
        <v>357</v>
      </c>
      <c r="B262" s="149" t="s">
        <v>358</v>
      </c>
      <c r="C262" s="148">
        <f>IFERROR(VLOOKUP(A262,'งบทดลอง รพ.'!$A$2:$C$599,3,0),0)</f>
        <v>0</v>
      </c>
      <c r="D262" s="26"/>
      <c r="E262" s="98" t="s">
        <v>1071</v>
      </c>
      <c r="F262" s="98" t="s">
        <v>33</v>
      </c>
      <c r="G262" s="335" t="s">
        <v>1105</v>
      </c>
      <c r="H262" s="93"/>
    </row>
    <row r="263" spans="1:8" ht="27.75" x14ac:dyDescent="0.65">
      <c r="A263" s="149" t="s">
        <v>933</v>
      </c>
      <c r="B263" s="149" t="s">
        <v>934</v>
      </c>
      <c r="C263" s="148">
        <f>IFERROR(VLOOKUP(A263,'งบทดลอง รพ.'!$A$2:$C$599,3,0),0)</f>
        <v>745000</v>
      </c>
      <c r="D263" s="26"/>
      <c r="E263" s="98" t="s">
        <v>1079</v>
      </c>
      <c r="F263" s="98" t="s">
        <v>37</v>
      </c>
      <c r="G263" s="335" t="s">
        <v>1105</v>
      </c>
      <c r="H263" s="93"/>
    </row>
    <row r="264" spans="1:8" ht="27.75" x14ac:dyDescent="0.65">
      <c r="A264" s="149" t="s">
        <v>359</v>
      </c>
      <c r="B264" s="149" t="s">
        <v>360</v>
      </c>
      <c r="C264" s="148">
        <f>IFERROR(VLOOKUP(A264,'งบทดลอง รพ.'!$A$2:$C$599,3,0),0)</f>
        <v>0</v>
      </c>
      <c r="D264" s="26"/>
      <c r="E264" s="98" t="s">
        <v>1073</v>
      </c>
      <c r="F264" s="98" t="s">
        <v>33</v>
      </c>
      <c r="G264" s="335" t="s">
        <v>1105</v>
      </c>
      <c r="H264" s="93"/>
    </row>
    <row r="265" spans="1:8" ht="27.75" x14ac:dyDescent="0.65">
      <c r="A265" s="149" t="s">
        <v>361</v>
      </c>
      <c r="B265" s="149" t="s">
        <v>362</v>
      </c>
      <c r="C265" s="148">
        <f>IFERROR(VLOOKUP(A265,'งบทดลอง รพ.'!$A$2:$C$599,3,0),0)</f>
        <v>0</v>
      </c>
      <c r="D265" s="26"/>
      <c r="E265" s="98" t="s">
        <v>1073</v>
      </c>
      <c r="F265" s="98" t="s">
        <v>33</v>
      </c>
      <c r="G265" s="335" t="s">
        <v>1105</v>
      </c>
      <c r="H265" s="93"/>
    </row>
    <row r="266" spans="1:8" ht="27.75" x14ac:dyDescent="0.65">
      <c r="A266" s="149" t="s">
        <v>363</v>
      </c>
      <c r="B266" s="149" t="s">
        <v>364</v>
      </c>
      <c r="C266" s="148">
        <f>IFERROR(VLOOKUP(A266,'งบทดลอง รพ.'!$A$2:$C$599,3,0),0)</f>
        <v>0</v>
      </c>
      <c r="D266" s="26"/>
      <c r="E266" s="98" t="s">
        <v>1073</v>
      </c>
      <c r="F266" s="98" t="s">
        <v>33</v>
      </c>
      <c r="G266" s="335" t="s">
        <v>1105</v>
      </c>
      <c r="H266" s="93"/>
    </row>
    <row r="267" spans="1:8" ht="27.75" x14ac:dyDescent="0.65">
      <c r="A267" s="149" t="s">
        <v>365</v>
      </c>
      <c r="B267" s="149" t="s">
        <v>366</v>
      </c>
      <c r="C267" s="148">
        <f>IFERROR(VLOOKUP(A267,'งบทดลอง รพ.'!$A$2:$C$599,3,0),0)</f>
        <v>0</v>
      </c>
      <c r="D267" s="26"/>
      <c r="E267" s="98" t="s">
        <v>1073</v>
      </c>
      <c r="F267" s="98" t="s">
        <v>33</v>
      </c>
      <c r="G267" s="335" t="s">
        <v>1105</v>
      </c>
      <c r="H267" s="93"/>
    </row>
    <row r="268" spans="1:8" ht="27.75" x14ac:dyDescent="0.65">
      <c r="A268" s="149" t="s">
        <v>367</v>
      </c>
      <c r="B268" s="149" t="s">
        <v>368</v>
      </c>
      <c r="C268" s="148">
        <f>IFERROR(VLOOKUP(A268,'งบทดลอง รพ.'!$A$2:$C$599,3,0),0)</f>
        <v>0</v>
      </c>
      <c r="D268" s="26"/>
      <c r="E268" s="98" t="s">
        <v>1073</v>
      </c>
      <c r="F268" s="98" t="s">
        <v>33</v>
      </c>
      <c r="G268" s="335" t="s">
        <v>1105</v>
      </c>
      <c r="H268" s="93"/>
    </row>
    <row r="269" spans="1:8" ht="27.75" x14ac:dyDescent="0.65">
      <c r="A269" s="149" t="s">
        <v>369</v>
      </c>
      <c r="B269" s="149" t="s">
        <v>370</v>
      </c>
      <c r="C269" s="148">
        <f>IFERROR(VLOOKUP(A269,'งบทดลอง รพ.'!$A$2:$C$599,3,0),0)</f>
        <v>113410</v>
      </c>
      <c r="D269" s="26"/>
      <c r="E269" s="98" t="s">
        <v>1073</v>
      </c>
      <c r="F269" s="98" t="s">
        <v>33</v>
      </c>
      <c r="G269" s="335" t="s">
        <v>1105</v>
      </c>
      <c r="H269" s="93"/>
    </row>
    <row r="270" spans="1:8" ht="27.75" x14ac:dyDescent="0.65">
      <c r="A270" s="149" t="s">
        <v>371</v>
      </c>
      <c r="B270" s="149" t="s">
        <v>1191</v>
      </c>
      <c r="C270" s="148">
        <f>IFERROR(VLOOKUP(A270,'งบทดลอง รพ.'!$A$2:$C$599,3,0),0)</f>
        <v>209000</v>
      </c>
      <c r="D270" s="26"/>
      <c r="E270" s="98" t="s">
        <v>1075</v>
      </c>
      <c r="F270" s="98" t="s">
        <v>33</v>
      </c>
      <c r="G270" s="335" t="s">
        <v>1105</v>
      </c>
      <c r="H270" s="93"/>
    </row>
    <row r="271" spans="1:8" ht="27.75" x14ac:dyDescent="0.65">
      <c r="A271" s="149" t="s">
        <v>373</v>
      </c>
      <c r="B271" s="149" t="s">
        <v>1192</v>
      </c>
      <c r="C271" s="148">
        <f>IFERROR(VLOOKUP(A271,'งบทดลอง รพ.'!$A$2:$C$599,3,0),0)</f>
        <v>1417710.4</v>
      </c>
      <c r="D271" s="26"/>
      <c r="E271" s="98" t="s">
        <v>1073</v>
      </c>
      <c r="F271" s="98" t="s">
        <v>33</v>
      </c>
      <c r="G271" s="335" t="s">
        <v>1105</v>
      </c>
      <c r="H271" s="93"/>
    </row>
    <row r="272" spans="1:8" ht="27.75" x14ac:dyDescent="0.65">
      <c r="A272" s="149" t="s">
        <v>374</v>
      </c>
      <c r="B272" s="149" t="s">
        <v>375</v>
      </c>
      <c r="C272" s="148">
        <f>IFERROR(VLOOKUP(A272,'งบทดลอง รพ.'!$A$2:$C$599,3,0),0)</f>
        <v>836500</v>
      </c>
      <c r="D272" s="26"/>
      <c r="E272" s="98" t="s">
        <v>1075</v>
      </c>
      <c r="F272" s="98" t="s">
        <v>33</v>
      </c>
      <c r="G272" s="335" t="s">
        <v>1105</v>
      </c>
      <c r="H272" s="93"/>
    </row>
    <row r="273" spans="1:8" ht="27.75" x14ac:dyDescent="0.65">
      <c r="A273" s="149" t="s">
        <v>376</v>
      </c>
      <c r="B273" s="149" t="s">
        <v>377</v>
      </c>
      <c r="C273" s="148">
        <f>IFERROR(VLOOKUP(A273,'งบทดลอง รพ.'!$A$2:$C$599,3,0),0)</f>
        <v>400000</v>
      </c>
      <c r="D273" s="26"/>
      <c r="E273" s="98" t="s">
        <v>1075</v>
      </c>
      <c r="F273" s="98" t="s">
        <v>33</v>
      </c>
      <c r="G273" s="335" t="s">
        <v>1105</v>
      </c>
      <c r="H273" s="93"/>
    </row>
    <row r="274" spans="1:8" ht="27.75" x14ac:dyDescent="0.65">
      <c r="A274" s="149" t="s">
        <v>378</v>
      </c>
      <c r="B274" s="149" t="s">
        <v>379</v>
      </c>
      <c r="C274" s="148">
        <f>IFERROR(VLOOKUP(A274,'งบทดลอง รพ.'!$A$2:$C$599,3,0),0)</f>
        <v>0</v>
      </c>
      <c r="D274" s="26"/>
      <c r="E274" s="98" t="s">
        <v>1067</v>
      </c>
      <c r="F274" s="98" t="s">
        <v>33</v>
      </c>
      <c r="G274" s="335" t="s">
        <v>1105</v>
      </c>
      <c r="H274" s="93"/>
    </row>
    <row r="275" spans="1:8" ht="27.75" x14ac:dyDescent="0.65">
      <c r="A275" s="149" t="s">
        <v>380</v>
      </c>
      <c r="B275" s="149" t="s">
        <v>381</v>
      </c>
      <c r="C275" s="148">
        <f>IFERROR(VLOOKUP(A275,'งบทดลอง รพ.'!$A$2:$C$599,3,0),0)</f>
        <v>0</v>
      </c>
      <c r="D275" s="26"/>
      <c r="E275" s="98" t="s">
        <v>1067</v>
      </c>
      <c r="F275" s="98" t="s">
        <v>33</v>
      </c>
      <c r="G275" s="335" t="s">
        <v>1105</v>
      </c>
      <c r="H275" s="93"/>
    </row>
    <row r="276" spans="1:8" ht="27.75" x14ac:dyDescent="0.65">
      <c r="A276" s="149" t="s">
        <v>390</v>
      </c>
      <c r="B276" s="149" t="s">
        <v>391</v>
      </c>
      <c r="C276" s="148">
        <f>IFERROR(VLOOKUP(A276,'งบทดลอง รพ.'!$A$2:$C$599,3,0),0)</f>
        <v>1845998.4983999999</v>
      </c>
      <c r="D276" s="26"/>
      <c r="E276" s="98" t="s">
        <v>1077</v>
      </c>
      <c r="F276" s="98" t="s">
        <v>35</v>
      </c>
      <c r="G276" s="335" t="s">
        <v>1105</v>
      </c>
      <c r="H276" s="93"/>
    </row>
    <row r="277" spans="1:8" ht="27.75" x14ac:dyDescent="0.65">
      <c r="A277" s="149" t="s">
        <v>392</v>
      </c>
      <c r="B277" s="149" t="s">
        <v>1193</v>
      </c>
      <c r="C277" s="148">
        <f>IFERROR(VLOOKUP(A277,'งบทดลอง รพ.'!$A$2:$C$599,3,0),0)</f>
        <v>5000</v>
      </c>
      <c r="D277" s="26"/>
      <c r="E277" s="98" t="s">
        <v>1077</v>
      </c>
      <c r="F277" s="98" t="s">
        <v>35</v>
      </c>
      <c r="G277" s="335" t="s">
        <v>1105</v>
      </c>
      <c r="H277" s="93"/>
    </row>
    <row r="278" spans="1:8" ht="27.75" x14ac:dyDescent="0.65">
      <c r="A278" s="149" t="s">
        <v>393</v>
      </c>
      <c r="B278" s="149" t="s">
        <v>394</v>
      </c>
      <c r="C278" s="148">
        <f>IFERROR(VLOOKUP(A278,'งบทดลอง รพ.'!$A$2:$C$599,3,0),0)</f>
        <v>81282</v>
      </c>
      <c r="D278" s="26"/>
      <c r="E278" s="98" t="s">
        <v>1077</v>
      </c>
      <c r="F278" s="98" t="s">
        <v>35</v>
      </c>
      <c r="G278" s="335" t="s">
        <v>1105</v>
      </c>
      <c r="H278" s="93"/>
    </row>
    <row r="279" spans="1:8" ht="27.75" x14ac:dyDescent="0.65">
      <c r="A279" s="149" t="s">
        <v>395</v>
      </c>
      <c r="B279" s="149" t="s">
        <v>396</v>
      </c>
      <c r="C279" s="148">
        <f>IFERROR(VLOOKUP(A279,'งบทดลอง รพ.'!$A$2:$C$599,3,0),0)</f>
        <v>88596</v>
      </c>
      <c r="D279" s="26"/>
      <c r="E279" s="98" t="s">
        <v>1077</v>
      </c>
      <c r="F279" s="98" t="s">
        <v>35</v>
      </c>
      <c r="G279" s="335" t="s">
        <v>1105</v>
      </c>
      <c r="H279" s="93"/>
    </row>
    <row r="280" spans="1:8" ht="27.75" x14ac:dyDescent="0.65">
      <c r="A280" s="149" t="s">
        <v>397</v>
      </c>
      <c r="B280" s="149" t="s">
        <v>398</v>
      </c>
      <c r="C280" s="148">
        <f>IFERROR(VLOOKUP(A280,'งบทดลอง รพ.'!$A$2:$C$599,3,0),0)</f>
        <v>18000</v>
      </c>
      <c r="D280" s="26"/>
      <c r="E280" s="98" t="s">
        <v>1077</v>
      </c>
      <c r="F280" s="98" t="s">
        <v>35</v>
      </c>
      <c r="G280" s="335" t="s">
        <v>1105</v>
      </c>
      <c r="H280" s="93"/>
    </row>
    <row r="281" spans="1:8" ht="27.75" x14ac:dyDescent="0.65">
      <c r="A281" s="149" t="s">
        <v>382</v>
      </c>
      <c r="B281" s="149" t="s">
        <v>383</v>
      </c>
      <c r="C281" s="148">
        <f>IFERROR(VLOOKUP(A281,'งบทดลอง รพ.'!$A$2:$C$599,3,0),0)</f>
        <v>0</v>
      </c>
      <c r="D281" s="26"/>
      <c r="E281" s="98" t="s">
        <v>1067</v>
      </c>
      <c r="F281" s="98" t="s">
        <v>33</v>
      </c>
      <c r="G281" s="335" t="s">
        <v>1105</v>
      </c>
      <c r="H281" s="93"/>
    </row>
    <row r="282" spans="1:8" ht="27.75" x14ac:dyDescent="0.65">
      <c r="A282" s="149" t="s">
        <v>384</v>
      </c>
      <c r="B282" s="149" t="s">
        <v>385</v>
      </c>
      <c r="C282" s="148">
        <f>IFERROR(VLOOKUP(A282,'งบทดลอง รพ.'!$A$2:$C$599,3,0),0)</f>
        <v>126500.48</v>
      </c>
      <c r="D282" s="26"/>
      <c r="E282" s="98" t="s">
        <v>1067</v>
      </c>
      <c r="F282" s="98" t="s">
        <v>33</v>
      </c>
      <c r="G282" s="335" t="s">
        <v>1105</v>
      </c>
      <c r="H282" s="93"/>
    </row>
    <row r="283" spans="1:8" ht="27.75" x14ac:dyDescent="0.65">
      <c r="A283" s="149" t="s">
        <v>220</v>
      </c>
      <c r="B283" s="149" t="s">
        <v>221</v>
      </c>
      <c r="C283" s="148">
        <f>IFERROR(VLOOKUP(A283,'งบทดลอง รพ.'!$A$2:$C$599,3,0),0)</f>
        <v>8252608.1900000004</v>
      </c>
      <c r="D283" s="26"/>
      <c r="E283" s="98" t="s">
        <v>1039</v>
      </c>
      <c r="F283" s="98" t="s">
        <v>19</v>
      </c>
      <c r="G283" s="335" t="s">
        <v>1105</v>
      </c>
      <c r="H283" s="93"/>
    </row>
    <row r="284" spans="1:8" ht="27.75" x14ac:dyDescent="0.65">
      <c r="A284" s="149" t="s">
        <v>222</v>
      </c>
      <c r="B284" s="149" t="s">
        <v>1194</v>
      </c>
      <c r="C284" s="148">
        <f>IFERROR(VLOOKUP(A284,'งบทดลอง รพ.'!$A$2:$C$599,3,0),0)</f>
        <v>119000</v>
      </c>
      <c r="D284" s="26"/>
      <c r="E284" s="98" t="s">
        <v>1041</v>
      </c>
      <c r="F284" s="98" t="s">
        <v>21</v>
      </c>
      <c r="G284" s="335" t="s">
        <v>1105</v>
      </c>
      <c r="H284" s="93"/>
    </row>
    <row r="285" spans="1:8" ht="27.75" x14ac:dyDescent="0.65">
      <c r="A285" s="149" t="s">
        <v>224</v>
      </c>
      <c r="B285" s="149" t="s">
        <v>1195</v>
      </c>
      <c r="C285" s="148">
        <f>IFERROR(VLOOKUP(A285,'งบทดลอง รพ.'!$A$2:$C$599,3,0),0)</f>
        <v>2191000</v>
      </c>
      <c r="D285" s="26"/>
      <c r="E285" s="98" t="s">
        <v>1043</v>
      </c>
      <c r="F285" s="98" t="s">
        <v>21</v>
      </c>
      <c r="G285" s="335" t="s">
        <v>1105</v>
      </c>
      <c r="H285" s="93"/>
    </row>
    <row r="286" spans="1:8" ht="27.75" x14ac:dyDescent="0.65">
      <c r="A286" s="149" t="s">
        <v>227</v>
      </c>
      <c r="B286" s="149" t="s">
        <v>228</v>
      </c>
      <c r="C286" s="148">
        <f>IFERROR(VLOOKUP(A286,'งบทดลอง รพ.'!$A$2:$C$599,3,0),0)</f>
        <v>1066488.8999999999</v>
      </c>
      <c r="D286" s="26"/>
      <c r="E286" s="98" t="s">
        <v>1047</v>
      </c>
      <c r="F286" s="98" t="s">
        <v>23</v>
      </c>
      <c r="G286" s="335" t="s">
        <v>1105</v>
      </c>
      <c r="H286" s="93"/>
    </row>
    <row r="287" spans="1:8" ht="27.75" x14ac:dyDescent="0.65">
      <c r="A287" s="149" t="s">
        <v>405</v>
      </c>
      <c r="B287" s="149" t="s">
        <v>406</v>
      </c>
      <c r="C287" s="148">
        <f>IFERROR(VLOOKUP(A287,'งบทดลอง รพ.'!$A$2:$C$599,3,0),0)</f>
        <v>750000</v>
      </c>
      <c r="D287" s="26"/>
      <c r="E287" s="98" t="s">
        <v>1079</v>
      </c>
      <c r="F287" s="98" t="s">
        <v>37</v>
      </c>
      <c r="G287" s="335" t="s">
        <v>1105</v>
      </c>
      <c r="H287" s="93"/>
    </row>
    <row r="288" spans="1:8" ht="27.75" x14ac:dyDescent="0.65">
      <c r="A288" s="149" t="s">
        <v>407</v>
      </c>
      <c r="B288" s="149" t="s">
        <v>408</v>
      </c>
      <c r="C288" s="148">
        <f>IFERROR(VLOOKUP(A288,'งบทดลอง รพ.'!$A$2:$C$599,3,0),0)</f>
        <v>174000</v>
      </c>
      <c r="D288" s="26"/>
      <c r="E288" s="98" t="s">
        <v>1079</v>
      </c>
      <c r="F288" s="98" t="s">
        <v>37</v>
      </c>
      <c r="G288" s="335" t="s">
        <v>1105</v>
      </c>
      <c r="H288" s="93"/>
    </row>
    <row r="289" spans="1:8" ht="27.75" x14ac:dyDescent="0.65">
      <c r="A289" s="150" t="s">
        <v>225</v>
      </c>
      <c r="B289" s="150" t="s">
        <v>226</v>
      </c>
      <c r="C289" s="148">
        <f>IFERROR(VLOOKUP(A289,'งบทดลอง รพ.'!$A$2:$C$599,3,0),0)</f>
        <v>450000</v>
      </c>
      <c r="D289" s="26"/>
      <c r="E289" s="98" t="s">
        <v>1045</v>
      </c>
      <c r="F289" s="98" t="s">
        <v>730</v>
      </c>
      <c r="G289" s="335" t="s">
        <v>1105</v>
      </c>
      <c r="H289" s="93"/>
    </row>
    <row r="290" spans="1:8" ht="27.75" x14ac:dyDescent="0.65">
      <c r="A290" s="149" t="s">
        <v>935</v>
      </c>
      <c r="B290" s="149" t="s">
        <v>936</v>
      </c>
      <c r="C290" s="148">
        <f>IFERROR(VLOOKUP(A290,'งบทดลอง รพ.'!$A$2:$C$599,3,0),0)</f>
        <v>0</v>
      </c>
      <c r="D290" s="26"/>
      <c r="E290" s="98" t="s">
        <v>1041</v>
      </c>
      <c r="F290" s="98" t="s">
        <v>21</v>
      </c>
      <c r="G290" s="335" t="s">
        <v>1105</v>
      </c>
      <c r="H290" s="93"/>
    </row>
    <row r="291" spans="1:8" ht="27.75" x14ac:dyDescent="0.65">
      <c r="A291" s="149" t="s">
        <v>412</v>
      </c>
      <c r="B291" s="149" t="s">
        <v>1196</v>
      </c>
      <c r="C291" s="148">
        <f>IFERROR(VLOOKUP(A291,'งบทดลอง รพ.'!$A$2:$C$599,3,0),0)</f>
        <v>114400</v>
      </c>
      <c r="D291" s="26"/>
      <c r="E291" s="98" t="s">
        <v>1079</v>
      </c>
      <c r="F291" s="98" t="s">
        <v>37</v>
      </c>
      <c r="G291" s="335" t="s">
        <v>1105</v>
      </c>
      <c r="H291" s="93"/>
    </row>
    <row r="292" spans="1:8" ht="27.75" x14ac:dyDescent="0.65">
      <c r="A292" s="149" t="s">
        <v>386</v>
      </c>
      <c r="B292" s="149" t="s">
        <v>387</v>
      </c>
      <c r="C292" s="148">
        <f>IFERROR(VLOOKUP(A292,'งบทดลอง รพ.'!$A$2:$C$599,3,0),0)</f>
        <v>0</v>
      </c>
      <c r="D292" s="26"/>
      <c r="E292" s="98" t="s">
        <v>1067</v>
      </c>
      <c r="F292" s="98" t="s">
        <v>33</v>
      </c>
      <c r="G292" s="335" t="s">
        <v>1105</v>
      </c>
      <c r="H292" s="93"/>
    </row>
    <row r="293" spans="1:8" ht="27.75" x14ac:dyDescent="0.65">
      <c r="A293" s="149" t="s">
        <v>388</v>
      </c>
      <c r="B293" s="149" t="s">
        <v>389</v>
      </c>
      <c r="C293" s="148">
        <f>IFERROR(VLOOKUP(A293,'งบทดลอง รพ.'!$A$2:$C$599,3,0),0)</f>
        <v>0</v>
      </c>
      <c r="D293" s="26"/>
      <c r="E293" s="98" t="s">
        <v>1067</v>
      </c>
      <c r="F293" s="98" t="s">
        <v>33</v>
      </c>
      <c r="G293" s="335" t="s">
        <v>1105</v>
      </c>
      <c r="H293" s="93"/>
    </row>
    <row r="294" spans="1:8" ht="27.75" x14ac:dyDescent="0.65">
      <c r="A294" s="149" t="s">
        <v>503</v>
      </c>
      <c r="B294" s="149" t="s">
        <v>1197</v>
      </c>
      <c r="C294" s="148">
        <f>IFERROR(VLOOKUP(A294,'งบทดลอง รพ.'!$A$2:$C$599,3,0),0)</f>
        <v>0</v>
      </c>
      <c r="D294" s="26"/>
      <c r="E294" s="98" t="s">
        <v>1067</v>
      </c>
      <c r="F294" s="98" t="s">
        <v>33</v>
      </c>
      <c r="G294" s="335" t="s">
        <v>1105</v>
      </c>
      <c r="H294" s="93"/>
    </row>
    <row r="295" spans="1:8" ht="27.75" x14ac:dyDescent="0.65">
      <c r="A295" s="149" t="s">
        <v>937</v>
      </c>
      <c r="B295" s="149" t="s">
        <v>938</v>
      </c>
      <c r="C295" s="148">
        <f>IFERROR(VLOOKUP(A295,'งบทดลอง รพ.'!$A$2:$C$599,3,0),0)</f>
        <v>0</v>
      </c>
      <c r="D295" s="26"/>
      <c r="E295" s="98" t="s">
        <v>1067</v>
      </c>
      <c r="F295" s="98" t="s">
        <v>33</v>
      </c>
      <c r="G295" s="335" t="s">
        <v>1105</v>
      </c>
      <c r="H295" s="93"/>
    </row>
    <row r="296" spans="1:8" ht="27.75" x14ac:dyDescent="0.65">
      <c r="A296" s="149" t="s">
        <v>504</v>
      </c>
      <c r="B296" s="149" t="s">
        <v>505</v>
      </c>
      <c r="C296" s="148">
        <f>IFERROR(VLOOKUP(A296,'งบทดลอง รพ.'!$A$2:$C$599,3,0),0)</f>
        <v>0</v>
      </c>
      <c r="D296" s="26"/>
      <c r="E296" s="98" t="s">
        <v>1067</v>
      </c>
      <c r="F296" s="98" t="s">
        <v>33</v>
      </c>
      <c r="G296" s="335" t="s">
        <v>1105</v>
      </c>
      <c r="H296" s="93"/>
    </row>
    <row r="297" spans="1:8" ht="27.75" x14ac:dyDescent="0.65">
      <c r="A297" s="150" t="s">
        <v>939</v>
      </c>
      <c r="B297" s="150" t="s">
        <v>940</v>
      </c>
      <c r="C297" s="148">
        <f>IFERROR(VLOOKUP(A297,'งบทดลอง รพ.'!$A$2:$C$599,3,0),0)</f>
        <v>0</v>
      </c>
      <c r="D297" s="26"/>
      <c r="E297" s="98" t="s">
        <v>1093</v>
      </c>
      <c r="F297" s="98" t="s">
        <v>41</v>
      </c>
      <c r="G297" s="335" t="s">
        <v>1105</v>
      </c>
      <c r="H297" s="93"/>
    </row>
    <row r="298" spans="1:8" ht="27.75" x14ac:dyDescent="0.65">
      <c r="A298" s="149" t="s">
        <v>506</v>
      </c>
      <c r="B298" s="149" t="s">
        <v>507</v>
      </c>
      <c r="C298" s="148">
        <f>IFERROR(VLOOKUP(A298,'งบทดลอง รพ.'!$A$2:$C$599,3,0),0)</f>
        <v>0</v>
      </c>
      <c r="D298" s="26"/>
      <c r="E298" s="98" t="s">
        <v>1067</v>
      </c>
      <c r="F298" s="98" t="s">
        <v>33</v>
      </c>
      <c r="G298" s="335" t="s">
        <v>1105</v>
      </c>
      <c r="H298" s="93"/>
    </row>
    <row r="299" spans="1:8" ht="27.75" x14ac:dyDescent="0.65">
      <c r="A299" s="149" t="s">
        <v>508</v>
      </c>
      <c r="B299" s="149" t="s">
        <v>509</v>
      </c>
      <c r="C299" s="148">
        <f>IFERROR(VLOOKUP(A299,'งบทดลอง รพ.'!$A$2:$C$599,3,0),0)</f>
        <v>0</v>
      </c>
      <c r="D299" s="26"/>
      <c r="E299" s="98" t="s">
        <v>1067</v>
      </c>
      <c r="F299" s="98" t="s">
        <v>33</v>
      </c>
      <c r="G299" s="335" t="s">
        <v>1105</v>
      </c>
      <c r="H299" s="93"/>
    </row>
    <row r="300" spans="1:8" ht="27.75" x14ac:dyDescent="0.65">
      <c r="A300" s="149" t="s">
        <v>510</v>
      </c>
      <c r="B300" s="149" t="s">
        <v>511</v>
      </c>
      <c r="C300" s="148">
        <f>IFERROR(VLOOKUP(A300,'งบทดลอง รพ.'!$A$2:$C$599,3,0),0)</f>
        <v>0</v>
      </c>
      <c r="D300" s="26"/>
      <c r="E300" s="98" t="s">
        <v>1067</v>
      </c>
      <c r="F300" s="98" t="s">
        <v>33</v>
      </c>
      <c r="G300" s="335" t="s">
        <v>1105</v>
      </c>
      <c r="H300" s="93"/>
    </row>
    <row r="301" spans="1:8" ht="27.75" x14ac:dyDescent="0.65">
      <c r="A301" s="150" t="s">
        <v>512</v>
      </c>
      <c r="B301" s="150" t="s">
        <v>1198</v>
      </c>
      <c r="C301" s="148">
        <f>IFERROR(VLOOKUP(A301,'งบทดลอง รพ.'!$A$2:$C$599,3,0),0)</f>
        <v>722000</v>
      </c>
      <c r="D301" s="26"/>
      <c r="E301" s="98" t="s">
        <v>1087</v>
      </c>
      <c r="F301" s="98" t="s">
        <v>41</v>
      </c>
      <c r="G301" s="335" t="s">
        <v>1105</v>
      </c>
      <c r="H301" s="93"/>
    </row>
    <row r="302" spans="1:8" ht="27.75" x14ac:dyDescent="0.65">
      <c r="A302" s="150" t="s">
        <v>513</v>
      </c>
      <c r="B302" s="150" t="s">
        <v>514</v>
      </c>
      <c r="C302" s="148">
        <f>IFERROR(VLOOKUP(A302,'งบทดลอง รพ.'!$A$2:$C$599,3,0),0)</f>
        <v>268000</v>
      </c>
      <c r="D302" s="26"/>
      <c r="E302" s="98" t="s">
        <v>1089</v>
      </c>
      <c r="F302" s="98" t="s">
        <v>41</v>
      </c>
      <c r="G302" s="335" t="s">
        <v>1105</v>
      </c>
      <c r="H302" s="93"/>
    </row>
    <row r="303" spans="1:8" ht="27.75" x14ac:dyDescent="0.65">
      <c r="A303" s="149" t="s">
        <v>941</v>
      </c>
      <c r="B303" s="149" t="s">
        <v>942</v>
      </c>
      <c r="C303" s="148">
        <f>IFERROR(VLOOKUP(A303,'งบทดลอง รพ.'!$A$2:$C$599,3,0),0)</f>
        <v>0</v>
      </c>
      <c r="D303" s="26"/>
      <c r="E303" s="98" t="s">
        <v>1067</v>
      </c>
      <c r="F303" s="98" t="s">
        <v>33</v>
      </c>
      <c r="G303" s="335" t="s">
        <v>1105</v>
      </c>
      <c r="H303" s="93"/>
    </row>
    <row r="304" spans="1:8" ht="27.75" x14ac:dyDescent="0.65">
      <c r="A304" s="150" t="s">
        <v>515</v>
      </c>
      <c r="B304" s="150" t="s">
        <v>1199</v>
      </c>
      <c r="C304" s="148">
        <f>IFERROR(VLOOKUP(A304,'งบทดลอง รพ.'!$A$2:$C$599,3,0),0)</f>
        <v>4000000</v>
      </c>
      <c r="D304" s="26"/>
      <c r="E304" s="98" t="s">
        <v>1091</v>
      </c>
      <c r="F304" s="98" t="s">
        <v>41</v>
      </c>
      <c r="G304" s="335" t="s">
        <v>1105</v>
      </c>
      <c r="H304" s="93"/>
    </row>
    <row r="305" spans="1:8" ht="27.75" x14ac:dyDescent="0.65">
      <c r="A305" s="150" t="s">
        <v>516</v>
      </c>
      <c r="B305" s="150" t="s">
        <v>1200</v>
      </c>
      <c r="C305" s="148">
        <f>IFERROR(VLOOKUP(A305,'งบทดลอง รพ.'!$A$2:$C$599,3,0),0)</f>
        <v>100000</v>
      </c>
      <c r="D305" s="26"/>
      <c r="E305" s="98" t="s">
        <v>1091</v>
      </c>
      <c r="F305" s="98" t="s">
        <v>41</v>
      </c>
      <c r="G305" s="335" t="s">
        <v>1105</v>
      </c>
      <c r="H305" s="93"/>
    </row>
    <row r="306" spans="1:8" ht="27.75" x14ac:dyDescent="0.65">
      <c r="A306" s="150" t="s">
        <v>943</v>
      </c>
      <c r="B306" s="150" t="s">
        <v>944</v>
      </c>
      <c r="C306" s="148">
        <f>IFERROR(VLOOKUP(A306,'งบทดลอง รพ.'!$A$2:$C$599,3,0),0)</f>
        <v>0</v>
      </c>
      <c r="D306" s="26"/>
      <c r="E306" s="98" t="s">
        <v>1091</v>
      </c>
      <c r="F306" s="98" t="s">
        <v>41</v>
      </c>
      <c r="G306" s="335" t="s">
        <v>1105</v>
      </c>
      <c r="H306" s="93"/>
    </row>
    <row r="307" spans="1:8" ht="27.75" x14ac:dyDescent="0.65">
      <c r="A307" s="150" t="s">
        <v>517</v>
      </c>
      <c r="B307" s="150" t="s">
        <v>518</v>
      </c>
      <c r="C307" s="148">
        <f>IFERROR(VLOOKUP(A307,'งบทดลอง รพ.'!$A$2:$C$599,3,0),0)</f>
        <v>0</v>
      </c>
      <c r="D307" s="26"/>
      <c r="E307" s="98" t="s">
        <v>1087</v>
      </c>
      <c r="F307" s="98" t="s">
        <v>41</v>
      </c>
      <c r="G307" s="335" t="s">
        <v>1105</v>
      </c>
      <c r="H307" s="93"/>
    </row>
    <row r="308" spans="1:8" ht="27.75" x14ac:dyDescent="0.65">
      <c r="A308" s="150" t="s">
        <v>519</v>
      </c>
      <c r="B308" s="150" t="s">
        <v>520</v>
      </c>
      <c r="C308" s="148">
        <f>IFERROR(VLOOKUP(A308,'งบทดลอง รพ.'!$A$2:$C$599,3,0),0)</f>
        <v>0</v>
      </c>
      <c r="D308" s="26"/>
      <c r="E308" s="98" t="s">
        <v>1091</v>
      </c>
      <c r="F308" s="98" t="s">
        <v>41</v>
      </c>
      <c r="G308" s="335" t="s">
        <v>1105</v>
      </c>
      <c r="H308" s="93"/>
    </row>
    <row r="309" spans="1:8" ht="27.75" x14ac:dyDescent="0.65">
      <c r="A309" s="149" t="s">
        <v>945</v>
      </c>
      <c r="B309" s="149" t="s">
        <v>946</v>
      </c>
      <c r="C309" s="148">
        <f>IFERROR(VLOOKUP(A309,'งบทดลอง รพ.'!$A$2:$C$599,3,0),0)</f>
        <v>6120000</v>
      </c>
      <c r="D309" s="26"/>
      <c r="E309" s="98" t="s">
        <v>1051</v>
      </c>
      <c r="F309" s="98" t="s">
        <v>29</v>
      </c>
      <c r="G309" s="335" t="s">
        <v>1105</v>
      </c>
      <c r="H309" s="93"/>
    </row>
    <row r="310" spans="1:8" ht="27.75" x14ac:dyDescent="0.65">
      <c r="A310" s="149" t="s">
        <v>947</v>
      </c>
      <c r="B310" s="149" t="s">
        <v>948</v>
      </c>
      <c r="C310" s="148">
        <f>IFERROR(VLOOKUP(A310,'งบทดลอง รพ.'!$A$2:$C$599,3,0),0)</f>
        <v>1440000</v>
      </c>
      <c r="D310" s="26"/>
      <c r="E310" s="98" t="s">
        <v>1051</v>
      </c>
      <c r="F310" s="98" t="s">
        <v>29</v>
      </c>
      <c r="G310" s="335" t="s">
        <v>1105</v>
      </c>
      <c r="H310" s="93"/>
    </row>
    <row r="311" spans="1:8" ht="27.75" x14ac:dyDescent="0.65">
      <c r="A311" s="149" t="s">
        <v>949</v>
      </c>
      <c r="B311" s="149" t="s">
        <v>950</v>
      </c>
      <c r="C311" s="148">
        <f>IFERROR(VLOOKUP(A311,'งบทดลอง รพ.'!$A$2:$C$599,3,0),0)</f>
        <v>0</v>
      </c>
      <c r="D311" s="26"/>
      <c r="E311" s="98" t="s">
        <v>1051</v>
      </c>
      <c r="F311" s="98" t="s">
        <v>29</v>
      </c>
      <c r="G311" s="335" t="s">
        <v>1105</v>
      </c>
      <c r="H311" s="93"/>
    </row>
    <row r="312" spans="1:8" ht="27.75" x14ac:dyDescent="0.65">
      <c r="A312" s="149" t="s">
        <v>951</v>
      </c>
      <c r="B312" s="149" t="s">
        <v>952</v>
      </c>
      <c r="C312" s="148">
        <f>IFERROR(VLOOKUP(A312,'งบทดลอง รพ.'!$A$2:$C$599,3,0),0)</f>
        <v>30000</v>
      </c>
      <c r="D312" s="26"/>
      <c r="E312" s="98" t="s">
        <v>1051</v>
      </c>
      <c r="F312" s="98" t="s">
        <v>29</v>
      </c>
      <c r="G312" s="335" t="s">
        <v>1105</v>
      </c>
      <c r="H312" s="93"/>
    </row>
    <row r="313" spans="1:8" ht="27.75" x14ac:dyDescent="0.65">
      <c r="A313" s="149" t="s">
        <v>953</v>
      </c>
      <c r="B313" s="149" t="s">
        <v>954</v>
      </c>
      <c r="C313" s="148">
        <f>IFERROR(VLOOKUP(A313,'งบทดลอง รพ.'!$A$2:$C$599,3,0),0)</f>
        <v>0</v>
      </c>
      <c r="D313" s="26"/>
      <c r="E313" s="98" t="s">
        <v>1051</v>
      </c>
      <c r="F313" s="98" t="s">
        <v>29</v>
      </c>
      <c r="G313" s="335" t="s">
        <v>1105</v>
      </c>
      <c r="H313" s="93"/>
    </row>
    <row r="314" spans="1:8" ht="27.75" x14ac:dyDescent="0.65">
      <c r="A314" s="149" t="s">
        <v>955</v>
      </c>
      <c r="B314" s="149" t="s">
        <v>271</v>
      </c>
      <c r="C314" s="148">
        <f>IFERROR(VLOOKUP(A314,'งบทดลอง รพ.'!$A$2:$C$599,3,0),0)</f>
        <v>480000</v>
      </c>
      <c r="D314" s="26"/>
      <c r="E314" s="98" t="s">
        <v>1051</v>
      </c>
      <c r="F314" s="98" t="s">
        <v>29</v>
      </c>
      <c r="G314" s="335" t="s">
        <v>1105</v>
      </c>
      <c r="H314" s="93"/>
    </row>
    <row r="315" spans="1:8" ht="27.75" x14ac:dyDescent="0.65">
      <c r="A315" s="149" t="s">
        <v>956</v>
      </c>
      <c r="B315" s="149" t="s">
        <v>272</v>
      </c>
      <c r="C315" s="148">
        <f>IFERROR(VLOOKUP(A315,'งบทดลอง รพ.'!$A$2:$C$599,3,0),0)</f>
        <v>480000</v>
      </c>
      <c r="D315" s="26"/>
      <c r="E315" s="98" t="s">
        <v>1051</v>
      </c>
      <c r="F315" s="98" t="s">
        <v>29</v>
      </c>
      <c r="G315" s="335" t="s">
        <v>1105</v>
      </c>
      <c r="H315" s="93"/>
    </row>
    <row r="316" spans="1:8" ht="27.75" x14ac:dyDescent="0.65">
      <c r="A316" s="149" t="s">
        <v>957</v>
      </c>
      <c r="B316" s="149" t="s">
        <v>273</v>
      </c>
      <c r="C316" s="148">
        <f>IFERROR(VLOOKUP(A316,'งบทดลอง รพ.'!$A$2:$C$599,3,0),0)</f>
        <v>240000</v>
      </c>
      <c r="D316" s="26"/>
      <c r="E316" s="98" t="s">
        <v>1051</v>
      </c>
      <c r="F316" s="98" t="s">
        <v>29</v>
      </c>
      <c r="G316" s="335" t="s">
        <v>1105</v>
      </c>
      <c r="H316" s="93"/>
    </row>
    <row r="317" spans="1:8" ht="27.75" x14ac:dyDescent="0.65">
      <c r="A317" s="149" t="s">
        <v>958</v>
      </c>
      <c r="B317" s="149" t="s">
        <v>959</v>
      </c>
      <c r="C317" s="148">
        <f>IFERROR(VLOOKUP(A317,'งบทดลอง รพ.'!$A$2:$C$599,3,0),0)</f>
        <v>0</v>
      </c>
      <c r="D317" s="26"/>
      <c r="E317" s="98" t="s">
        <v>1051</v>
      </c>
      <c r="F317" s="98" t="s">
        <v>29</v>
      </c>
      <c r="G317" s="335" t="s">
        <v>1105</v>
      </c>
      <c r="H317" s="93"/>
    </row>
    <row r="318" spans="1:8" ht="27.75" x14ac:dyDescent="0.65">
      <c r="A318" s="149" t="s">
        <v>960</v>
      </c>
      <c r="B318" s="149" t="s">
        <v>276</v>
      </c>
      <c r="C318" s="148">
        <f>IFERROR(VLOOKUP(A318,'งบทดลอง รพ.'!$A$2:$C$599,3,0),0)</f>
        <v>0</v>
      </c>
      <c r="D318" s="26"/>
      <c r="E318" s="98" t="s">
        <v>1051</v>
      </c>
      <c r="F318" s="98" t="s">
        <v>29</v>
      </c>
      <c r="G318" s="335" t="s">
        <v>1105</v>
      </c>
      <c r="H318" s="93"/>
    </row>
    <row r="319" spans="1:8" ht="27.75" x14ac:dyDescent="0.65">
      <c r="A319" s="149" t="s">
        <v>413</v>
      </c>
      <c r="B319" s="149" t="s">
        <v>414</v>
      </c>
      <c r="C319" s="148">
        <f>IFERROR(VLOOKUP(A319,'งบทดลอง รพ.'!$A$2:$C$599,3,0),0)</f>
        <v>450000</v>
      </c>
      <c r="D319" s="26"/>
      <c r="E319" s="98" t="s">
        <v>1081</v>
      </c>
      <c r="F319" s="98" t="s">
        <v>39</v>
      </c>
      <c r="G319" s="335" t="s">
        <v>1105</v>
      </c>
      <c r="H319" s="93"/>
    </row>
    <row r="320" spans="1:8" ht="27.75" x14ac:dyDescent="0.65">
      <c r="A320" s="149" t="s">
        <v>415</v>
      </c>
      <c r="B320" s="149" t="s">
        <v>416</v>
      </c>
      <c r="C320" s="148">
        <f>IFERROR(VLOOKUP(A320,'งบทดลอง รพ.'!$A$2:$C$599,3,0),0)</f>
        <v>52000</v>
      </c>
      <c r="D320" s="26"/>
      <c r="E320" s="98" t="s">
        <v>1081</v>
      </c>
      <c r="F320" s="98" t="s">
        <v>39</v>
      </c>
      <c r="G320" s="335" t="s">
        <v>1105</v>
      </c>
      <c r="H320" s="93"/>
    </row>
    <row r="321" spans="1:8" ht="27.75" x14ac:dyDescent="0.65">
      <c r="A321" s="149" t="s">
        <v>417</v>
      </c>
      <c r="B321" s="149" t="s">
        <v>418</v>
      </c>
      <c r="C321" s="148">
        <f>IFERROR(VLOOKUP(A321,'งบทดลอง รพ.'!$A$2:$C$599,3,0),0)</f>
        <v>110000</v>
      </c>
      <c r="D321" s="26"/>
      <c r="E321" s="98" t="s">
        <v>1081</v>
      </c>
      <c r="F321" s="98" t="s">
        <v>39</v>
      </c>
      <c r="G321" s="335" t="s">
        <v>1105</v>
      </c>
      <c r="H321" s="93"/>
    </row>
    <row r="322" spans="1:8" ht="27.75" x14ac:dyDescent="0.65">
      <c r="A322" s="149" t="s">
        <v>419</v>
      </c>
      <c r="B322" s="149" t="s">
        <v>420</v>
      </c>
      <c r="C322" s="148">
        <f>IFERROR(VLOOKUP(A322,'งบทดลอง รพ.'!$A$2:$C$599,3,0),0)</f>
        <v>33000</v>
      </c>
      <c r="D322" s="26"/>
      <c r="E322" s="98" t="s">
        <v>1081</v>
      </c>
      <c r="F322" s="98" t="s">
        <v>39</v>
      </c>
      <c r="G322" s="335" t="s">
        <v>1105</v>
      </c>
      <c r="H322" s="93"/>
    </row>
    <row r="323" spans="1:8" ht="27.75" x14ac:dyDescent="0.65">
      <c r="A323" s="149" t="s">
        <v>421</v>
      </c>
      <c r="B323" s="149" t="s">
        <v>422</v>
      </c>
      <c r="C323" s="148">
        <f>IFERROR(VLOOKUP(A323,'งบทดลอง รพ.'!$A$2:$C$599,3,0),0)</f>
        <v>119000</v>
      </c>
      <c r="D323" s="26"/>
      <c r="E323" s="98" t="s">
        <v>1081</v>
      </c>
      <c r="F323" s="98" t="s">
        <v>39</v>
      </c>
      <c r="G323" s="335" t="s">
        <v>1105</v>
      </c>
      <c r="H323" s="93"/>
    </row>
    <row r="324" spans="1:8" ht="27.75" x14ac:dyDescent="0.65">
      <c r="A324" s="149" t="s">
        <v>423</v>
      </c>
      <c r="B324" s="149" t="s">
        <v>424</v>
      </c>
      <c r="C324" s="148">
        <f>IFERROR(VLOOKUP(A324,'งบทดลอง รพ.'!$A$2:$C$599,3,0),0)</f>
        <v>378000</v>
      </c>
      <c r="D324" s="26"/>
      <c r="E324" s="98" t="s">
        <v>1081</v>
      </c>
      <c r="F324" s="98" t="s">
        <v>39</v>
      </c>
      <c r="G324" s="335" t="s">
        <v>1105</v>
      </c>
      <c r="H324" s="93"/>
    </row>
    <row r="325" spans="1:8" ht="27.75" x14ac:dyDescent="0.65">
      <c r="A325" s="149" t="s">
        <v>425</v>
      </c>
      <c r="B325" s="149" t="s">
        <v>426</v>
      </c>
      <c r="C325" s="148">
        <f>IFERROR(VLOOKUP(A325,'งบทดลอง รพ.'!$A$2:$C$599,3,0),0)</f>
        <v>0</v>
      </c>
      <c r="D325" s="26"/>
      <c r="E325" s="98" t="s">
        <v>1081</v>
      </c>
      <c r="F325" s="98" t="s">
        <v>39</v>
      </c>
      <c r="G325" s="335" t="s">
        <v>1105</v>
      </c>
      <c r="H325" s="93"/>
    </row>
    <row r="326" spans="1:8" ht="27.75" x14ac:dyDescent="0.65">
      <c r="A326" s="149" t="s">
        <v>427</v>
      </c>
      <c r="B326" s="149" t="s">
        <v>428</v>
      </c>
      <c r="C326" s="148">
        <f>IFERROR(VLOOKUP(A326,'งบทดลอง รพ.'!$A$2:$C$599,3,0),0)</f>
        <v>0</v>
      </c>
      <c r="D326" s="26"/>
      <c r="E326" s="98" t="s">
        <v>1081</v>
      </c>
      <c r="F326" s="98" t="s">
        <v>39</v>
      </c>
      <c r="G326" s="335" t="s">
        <v>1105</v>
      </c>
      <c r="H326" s="93"/>
    </row>
    <row r="327" spans="1:8" ht="27.75" x14ac:dyDescent="0.65">
      <c r="A327" s="149" t="s">
        <v>429</v>
      </c>
      <c r="B327" s="149" t="s">
        <v>430</v>
      </c>
      <c r="C327" s="148">
        <f>IFERROR(VLOOKUP(A327,'งบทดลอง รพ.'!$A$2:$C$599,3,0),0)</f>
        <v>31100</v>
      </c>
      <c r="D327" s="26"/>
      <c r="E327" s="98" t="s">
        <v>1081</v>
      </c>
      <c r="F327" s="98" t="s">
        <v>39</v>
      </c>
      <c r="G327" s="335" t="s">
        <v>1105</v>
      </c>
      <c r="H327" s="93"/>
    </row>
    <row r="328" spans="1:8" ht="27.75" x14ac:dyDescent="0.65">
      <c r="A328" s="149" t="s">
        <v>431</v>
      </c>
      <c r="B328" s="149" t="s">
        <v>432</v>
      </c>
      <c r="C328" s="148">
        <f>IFERROR(VLOOKUP(A328,'งบทดลอง รพ.'!$A$2:$C$599,3,0),0)</f>
        <v>0</v>
      </c>
      <c r="D328" s="26"/>
      <c r="E328" s="98" t="s">
        <v>1083</v>
      </c>
      <c r="F328" s="98" t="s">
        <v>39</v>
      </c>
      <c r="G328" s="335" t="s">
        <v>1105</v>
      </c>
      <c r="H328" s="93"/>
    </row>
    <row r="329" spans="1:8" ht="27.75" x14ac:dyDescent="0.65">
      <c r="A329" s="149" t="s">
        <v>433</v>
      </c>
      <c r="B329" s="149" t="s">
        <v>434</v>
      </c>
      <c r="C329" s="148">
        <f>IFERROR(VLOOKUP(A329,'งบทดลอง รพ.'!$A$2:$C$599,3,0),0)</f>
        <v>400000</v>
      </c>
      <c r="D329" s="26"/>
      <c r="E329" s="98" t="s">
        <v>1083</v>
      </c>
      <c r="F329" s="98" t="s">
        <v>39</v>
      </c>
      <c r="G329" s="335" t="s">
        <v>1105</v>
      </c>
      <c r="H329" s="93"/>
    </row>
    <row r="330" spans="1:8" ht="27.75" x14ac:dyDescent="0.65">
      <c r="A330" s="149" t="s">
        <v>435</v>
      </c>
      <c r="B330" s="149" t="s">
        <v>436</v>
      </c>
      <c r="C330" s="148">
        <f>IFERROR(VLOOKUP(A330,'งบทดลอง รพ.'!$A$2:$C$599,3,0),0)</f>
        <v>0</v>
      </c>
      <c r="D330" s="26"/>
      <c r="E330" s="98" t="s">
        <v>1083</v>
      </c>
      <c r="F330" s="98" t="s">
        <v>39</v>
      </c>
      <c r="G330" s="335" t="s">
        <v>1105</v>
      </c>
      <c r="H330" s="93"/>
    </row>
    <row r="331" spans="1:8" ht="27.75" x14ac:dyDescent="0.65">
      <c r="A331" s="149" t="s">
        <v>437</v>
      </c>
      <c r="B331" s="149" t="s">
        <v>438</v>
      </c>
      <c r="C331" s="148">
        <f>IFERROR(VLOOKUP(A331,'งบทดลอง รพ.'!$A$2:$C$599,3,0),0)</f>
        <v>0</v>
      </c>
      <c r="D331" s="26"/>
      <c r="E331" s="98" t="s">
        <v>1083</v>
      </c>
      <c r="F331" s="98" t="s">
        <v>39</v>
      </c>
      <c r="G331" s="335" t="s">
        <v>1105</v>
      </c>
      <c r="H331" s="93"/>
    </row>
    <row r="332" spans="1:8" ht="27.75" x14ac:dyDescent="0.65">
      <c r="A332" s="149" t="s">
        <v>439</v>
      </c>
      <c r="B332" s="149" t="s">
        <v>440</v>
      </c>
      <c r="C332" s="148">
        <f>IFERROR(VLOOKUP(A332,'งบทดลอง รพ.'!$A$2:$C$599,3,0),0)</f>
        <v>0</v>
      </c>
      <c r="D332" s="26"/>
      <c r="E332" s="98" t="s">
        <v>1083</v>
      </c>
      <c r="F332" s="98" t="s">
        <v>39</v>
      </c>
      <c r="G332" s="335" t="s">
        <v>1105</v>
      </c>
      <c r="H332" s="93"/>
    </row>
    <row r="333" spans="1:8" ht="27.75" x14ac:dyDescent="0.65">
      <c r="A333" s="149" t="s">
        <v>441</v>
      </c>
      <c r="B333" s="149" t="s">
        <v>442</v>
      </c>
      <c r="C333" s="148">
        <f>IFERROR(VLOOKUP(A333,'งบทดลอง รพ.'!$A$2:$C$599,3,0),0)</f>
        <v>0</v>
      </c>
      <c r="D333" s="26"/>
      <c r="E333" s="98" t="s">
        <v>1083</v>
      </c>
      <c r="F333" s="98" t="s">
        <v>39</v>
      </c>
      <c r="G333" s="335" t="s">
        <v>1105</v>
      </c>
      <c r="H333" s="93"/>
    </row>
    <row r="334" spans="1:8" ht="27.75" x14ac:dyDescent="0.65">
      <c r="A334" s="149" t="s">
        <v>443</v>
      </c>
      <c r="B334" s="149" t="s">
        <v>444</v>
      </c>
      <c r="C334" s="148">
        <f>IFERROR(VLOOKUP(A334,'งบทดลอง รพ.'!$A$2:$C$599,3,0),0)</f>
        <v>364000</v>
      </c>
      <c r="D334" s="26"/>
      <c r="E334" s="98" t="s">
        <v>1083</v>
      </c>
      <c r="F334" s="98" t="s">
        <v>39</v>
      </c>
      <c r="G334" s="335" t="s">
        <v>1105</v>
      </c>
      <c r="H334" s="93"/>
    </row>
    <row r="335" spans="1:8" ht="27.75" x14ac:dyDescent="0.65">
      <c r="A335" s="149" t="s">
        <v>445</v>
      </c>
      <c r="B335" s="149" t="s">
        <v>446</v>
      </c>
      <c r="C335" s="148">
        <f>IFERROR(VLOOKUP(A335,'งบทดลอง รพ.'!$A$2:$C$599,3,0),0)</f>
        <v>0</v>
      </c>
      <c r="D335" s="26"/>
      <c r="E335" s="98" t="s">
        <v>1083</v>
      </c>
      <c r="F335" s="98" t="s">
        <v>39</v>
      </c>
      <c r="G335" s="335" t="s">
        <v>1105</v>
      </c>
      <c r="H335" s="93"/>
    </row>
    <row r="336" spans="1:8" ht="27.75" x14ac:dyDescent="0.65">
      <c r="A336" s="149" t="s">
        <v>961</v>
      </c>
      <c r="B336" s="149" t="s">
        <v>962</v>
      </c>
      <c r="C336" s="148">
        <f>IFERROR(VLOOKUP(A336,'งบทดลอง รพ.'!$A$2:$C$599,3,0),0)</f>
        <v>0</v>
      </c>
      <c r="D336" s="26"/>
      <c r="E336" s="98" t="s">
        <v>1083</v>
      </c>
      <c r="F336" s="98" t="s">
        <v>39</v>
      </c>
      <c r="G336" s="335" t="s">
        <v>1105</v>
      </c>
      <c r="H336" s="93"/>
    </row>
    <row r="337" spans="1:8" ht="27.75" x14ac:dyDescent="0.65">
      <c r="A337" s="149" t="s">
        <v>447</v>
      </c>
      <c r="B337" s="149" t="s">
        <v>448</v>
      </c>
      <c r="C337" s="148">
        <f>IFERROR(VLOOKUP(A337,'งบทดลอง รพ.'!$A$2:$C$599,3,0),0)</f>
        <v>0</v>
      </c>
      <c r="D337" s="26"/>
      <c r="E337" s="98" t="s">
        <v>1083</v>
      </c>
      <c r="F337" s="98" t="s">
        <v>39</v>
      </c>
      <c r="G337" s="335" t="s">
        <v>1105</v>
      </c>
      <c r="H337" s="93"/>
    </row>
    <row r="338" spans="1:8" ht="27.75" x14ac:dyDescent="0.65">
      <c r="A338" s="149" t="s">
        <v>963</v>
      </c>
      <c r="B338" s="149" t="s">
        <v>964</v>
      </c>
      <c r="C338" s="148">
        <f>IFERROR(VLOOKUP(A338,'งบทดลอง รพ.'!$A$2:$C$599,3,0),0)</f>
        <v>0</v>
      </c>
      <c r="D338" s="26"/>
      <c r="E338" s="98" t="s">
        <v>1083</v>
      </c>
      <c r="F338" s="98" t="s">
        <v>39</v>
      </c>
      <c r="G338" s="335" t="s">
        <v>1105</v>
      </c>
      <c r="H338" s="93"/>
    </row>
    <row r="339" spans="1:8" ht="27.75" x14ac:dyDescent="0.65">
      <c r="A339" s="149" t="s">
        <v>965</v>
      </c>
      <c r="B339" s="149" t="s">
        <v>966</v>
      </c>
      <c r="C339" s="148">
        <f>IFERROR(VLOOKUP(A339,'งบทดลอง รพ.'!$A$2:$C$599,3,0),0)</f>
        <v>0</v>
      </c>
      <c r="D339" s="26"/>
      <c r="E339" s="98" t="s">
        <v>1083</v>
      </c>
      <c r="F339" s="98" t="s">
        <v>39</v>
      </c>
      <c r="G339" s="335" t="s">
        <v>1105</v>
      </c>
      <c r="H339" s="93"/>
    </row>
    <row r="340" spans="1:8" ht="27.75" x14ac:dyDescent="0.65">
      <c r="A340" s="150" t="s">
        <v>967</v>
      </c>
      <c r="B340" s="150" t="s">
        <v>968</v>
      </c>
      <c r="C340" s="148">
        <f>IFERROR(VLOOKUP(A340,'งบทดลอง รพ.'!$A$2:$C$599,3,0),0)</f>
        <v>0</v>
      </c>
      <c r="E340" s="98" t="s">
        <v>1083</v>
      </c>
      <c r="F340" s="98" t="s">
        <v>39</v>
      </c>
      <c r="G340" s="335" t="s">
        <v>1105</v>
      </c>
      <c r="H340" s="93"/>
    </row>
    <row r="341" spans="1:8" ht="27.75" x14ac:dyDescent="0.65">
      <c r="A341" s="149" t="s">
        <v>449</v>
      </c>
      <c r="B341" s="149" t="s">
        <v>450</v>
      </c>
      <c r="C341" s="148">
        <f>IFERROR(VLOOKUP(A341,'งบทดลอง รพ.'!$A$2:$C$599,3,0),0)</f>
        <v>0</v>
      </c>
      <c r="E341" s="98" t="s">
        <v>1083</v>
      </c>
      <c r="F341" s="98" t="s">
        <v>39</v>
      </c>
      <c r="G341" s="335" t="s">
        <v>1105</v>
      </c>
      <c r="H341" s="93"/>
    </row>
    <row r="342" spans="1:8" ht="27.75" x14ac:dyDescent="0.65">
      <c r="A342" s="149" t="s">
        <v>451</v>
      </c>
      <c r="B342" s="149" t="s">
        <v>452</v>
      </c>
      <c r="C342" s="148">
        <f>IFERROR(VLOOKUP(A342,'งบทดลอง รพ.'!$A$2:$C$599,3,0),0)</f>
        <v>0</v>
      </c>
      <c r="E342" s="98" t="s">
        <v>1085</v>
      </c>
      <c r="F342" s="98" t="s">
        <v>39</v>
      </c>
      <c r="G342" s="335" t="s">
        <v>1105</v>
      </c>
      <c r="H342" s="93"/>
    </row>
    <row r="343" spans="1:8" ht="27.75" x14ac:dyDescent="0.65">
      <c r="A343" s="149" t="s">
        <v>453</v>
      </c>
      <c r="B343" s="149" t="s">
        <v>454</v>
      </c>
      <c r="C343" s="148">
        <f>IFERROR(VLOOKUP(A343,'งบทดลอง รพ.'!$A$2:$C$599,3,0),0)</f>
        <v>0</v>
      </c>
      <c r="E343" s="98" t="s">
        <v>1085</v>
      </c>
      <c r="F343" s="98" t="s">
        <v>39</v>
      </c>
      <c r="G343" s="335" t="s">
        <v>1105</v>
      </c>
      <c r="H343" s="93"/>
    </row>
    <row r="344" spans="1:8" ht="27.75" x14ac:dyDescent="0.65">
      <c r="A344" s="149" t="s">
        <v>455</v>
      </c>
      <c r="B344" s="149" t="s">
        <v>456</v>
      </c>
      <c r="C344" s="148">
        <f>IFERROR(VLOOKUP(A344,'งบทดลอง รพ.'!$A$2:$C$599,3,0),0)</f>
        <v>0</v>
      </c>
      <c r="E344" s="98" t="s">
        <v>1081</v>
      </c>
      <c r="F344" s="98" t="s">
        <v>39</v>
      </c>
      <c r="G344" s="335" t="s">
        <v>1105</v>
      </c>
      <c r="H344" s="93"/>
    </row>
    <row r="345" spans="1:8" ht="27.75" x14ac:dyDescent="0.65">
      <c r="A345" s="149" t="s">
        <v>457</v>
      </c>
      <c r="B345" s="149" t="s">
        <v>458</v>
      </c>
      <c r="C345" s="148">
        <f>IFERROR(VLOOKUP(A345,'งบทดลอง รพ.'!$A$2:$C$599,3,0),0)</f>
        <v>0</v>
      </c>
      <c r="E345" s="98" t="s">
        <v>1081</v>
      </c>
      <c r="F345" s="98" t="s">
        <v>39</v>
      </c>
      <c r="G345" s="335" t="s">
        <v>1105</v>
      </c>
      <c r="H345" s="93"/>
    </row>
    <row r="346" spans="1:8" ht="27.75" x14ac:dyDescent="0.65">
      <c r="A346" s="149" t="s">
        <v>459</v>
      </c>
      <c r="B346" s="149" t="s">
        <v>460</v>
      </c>
      <c r="C346" s="148">
        <f>IFERROR(VLOOKUP(A346,'งบทดลอง รพ.'!$A$2:$C$599,3,0),0)</f>
        <v>529000</v>
      </c>
      <c r="E346" s="98" t="s">
        <v>1081</v>
      </c>
      <c r="F346" s="98" t="s">
        <v>39</v>
      </c>
      <c r="G346" s="335" t="s">
        <v>1105</v>
      </c>
      <c r="H346" s="93"/>
    </row>
    <row r="347" spans="1:8" ht="27.75" x14ac:dyDescent="0.65">
      <c r="A347" s="149" t="s">
        <v>461</v>
      </c>
      <c r="B347" s="149" t="s">
        <v>462</v>
      </c>
      <c r="C347" s="148">
        <f>IFERROR(VLOOKUP(A347,'งบทดลอง รพ.'!$A$2:$C$599,3,0),0)</f>
        <v>0</v>
      </c>
      <c r="E347" s="98" t="s">
        <v>1081</v>
      </c>
      <c r="F347" s="98" t="s">
        <v>39</v>
      </c>
      <c r="G347" s="335" t="s">
        <v>1105</v>
      </c>
      <c r="H347" s="93"/>
    </row>
    <row r="348" spans="1:8" ht="27.75" x14ac:dyDescent="0.65">
      <c r="A348" s="149" t="s">
        <v>463</v>
      </c>
      <c r="B348" s="149" t="s">
        <v>464</v>
      </c>
      <c r="C348" s="148">
        <f>IFERROR(VLOOKUP(A348,'งบทดลอง รพ.'!$A$2:$C$599,3,0),0)</f>
        <v>0</v>
      </c>
      <c r="E348" s="98" t="s">
        <v>1081</v>
      </c>
      <c r="F348" s="98" t="s">
        <v>39</v>
      </c>
      <c r="G348" s="335" t="s">
        <v>1105</v>
      </c>
      <c r="H348" s="93"/>
    </row>
    <row r="349" spans="1:8" ht="27.75" x14ac:dyDescent="0.65">
      <c r="A349" s="149" t="s">
        <v>465</v>
      </c>
      <c r="B349" s="149" t="s">
        <v>466</v>
      </c>
      <c r="C349" s="148">
        <f>IFERROR(VLOOKUP(A349,'งบทดลอง รพ.'!$A$2:$C$599,3,0),0)</f>
        <v>0</v>
      </c>
      <c r="E349" s="98" t="s">
        <v>1081</v>
      </c>
      <c r="F349" s="98" t="s">
        <v>39</v>
      </c>
      <c r="G349" s="335" t="s">
        <v>1105</v>
      </c>
      <c r="H349" s="93"/>
    </row>
    <row r="350" spans="1:8" ht="27.75" x14ac:dyDescent="0.65">
      <c r="A350" s="149" t="s">
        <v>467</v>
      </c>
      <c r="B350" s="149" t="s">
        <v>468</v>
      </c>
      <c r="C350" s="148">
        <f>IFERROR(VLOOKUP(A350,'งบทดลอง รพ.'!$A$2:$C$599,3,0),0)</f>
        <v>0</v>
      </c>
      <c r="E350" s="98" t="s">
        <v>1081</v>
      </c>
      <c r="F350" s="98" t="s">
        <v>39</v>
      </c>
      <c r="G350" s="335" t="s">
        <v>1105</v>
      </c>
      <c r="H350" s="93"/>
    </row>
    <row r="351" spans="1:8" ht="27.75" x14ac:dyDescent="0.65">
      <c r="A351" s="149" t="s">
        <v>469</v>
      </c>
      <c r="B351" s="149" t="s">
        <v>470</v>
      </c>
      <c r="C351" s="148">
        <f>IFERROR(VLOOKUP(A351,'งบทดลอง รพ.'!$A$2:$C$599,3,0),0)</f>
        <v>0</v>
      </c>
      <c r="E351" s="98" t="s">
        <v>1081</v>
      </c>
      <c r="F351" s="98" t="s">
        <v>39</v>
      </c>
      <c r="G351" s="335" t="s">
        <v>1105</v>
      </c>
      <c r="H351" s="93"/>
    </row>
    <row r="352" spans="1:8" ht="27.75" x14ac:dyDescent="0.65">
      <c r="A352" s="149" t="s">
        <v>471</v>
      </c>
      <c r="B352" s="149" t="s">
        <v>472</v>
      </c>
      <c r="C352" s="148">
        <f>IFERROR(VLOOKUP(A352,'งบทดลอง รพ.'!$A$2:$C$599,3,0),0)</f>
        <v>0</v>
      </c>
      <c r="E352" s="98" t="s">
        <v>1081</v>
      </c>
      <c r="F352" s="98" t="s">
        <v>39</v>
      </c>
      <c r="G352" s="335" t="s">
        <v>1105</v>
      </c>
      <c r="H352" s="93"/>
    </row>
    <row r="353" spans="1:8" ht="27.75" x14ac:dyDescent="0.65">
      <c r="A353" s="149" t="s">
        <v>473</v>
      </c>
      <c r="B353" s="149" t="s">
        <v>474</v>
      </c>
      <c r="C353" s="148">
        <f>IFERROR(VLOOKUP(A353,'งบทดลอง รพ.'!$A$2:$C$599,3,0),0)</f>
        <v>0</v>
      </c>
      <c r="E353" s="98" t="s">
        <v>1081</v>
      </c>
      <c r="F353" s="98" t="s">
        <v>39</v>
      </c>
      <c r="G353" s="335" t="s">
        <v>1105</v>
      </c>
      <c r="H353" s="93"/>
    </row>
    <row r="354" spans="1:8" ht="27.75" x14ac:dyDescent="0.65">
      <c r="A354" s="149" t="s">
        <v>475</v>
      </c>
      <c r="B354" s="149" t="s">
        <v>476</v>
      </c>
      <c r="C354" s="148">
        <f>IFERROR(VLOOKUP(A354,'งบทดลอง รพ.'!$A$2:$C$599,3,0),0)</f>
        <v>302000</v>
      </c>
      <c r="E354" s="98" t="s">
        <v>1083</v>
      </c>
      <c r="F354" s="98" t="s">
        <v>39</v>
      </c>
      <c r="G354" s="335" t="s">
        <v>1105</v>
      </c>
      <c r="H354" s="93"/>
    </row>
    <row r="355" spans="1:8" ht="27.75" x14ac:dyDescent="0.65">
      <c r="A355" s="149" t="s">
        <v>477</v>
      </c>
      <c r="B355" s="149" t="s">
        <v>478</v>
      </c>
      <c r="C355" s="148">
        <f>IFERROR(VLOOKUP(A355,'งบทดลอง รพ.'!$A$2:$C$599,3,0),0)</f>
        <v>102000</v>
      </c>
      <c r="E355" s="98" t="s">
        <v>1083</v>
      </c>
      <c r="F355" s="98" t="s">
        <v>39</v>
      </c>
      <c r="G355" s="335" t="s">
        <v>1105</v>
      </c>
      <c r="H355" s="93"/>
    </row>
    <row r="356" spans="1:8" ht="27.75" x14ac:dyDescent="0.65">
      <c r="A356" s="149" t="s">
        <v>479</v>
      </c>
      <c r="B356" s="149" t="s">
        <v>480</v>
      </c>
      <c r="C356" s="148">
        <f>IFERROR(VLOOKUP(A356,'งบทดลอง รพ.'!$A$2:$C$599,3,0),0)</f>
        <v>280000</v>
      </c>
      <c r="E356" s="98" t="s">
        <v>1083</v>
      </c>
      <c r="F356" s="98" t="s">
        <v>39</v>
      </c>
      <c r="G356" s="335" t="s">
        <v>1105</v>
      </c>
      <c r="H356" s="93"/>
    </row>
    <row r="357" spans="1:8" ht="27.75" x14ac:dyDescent="0.65">
      <c r="A357" s="149" t="s">
        <v>481</v>
      </c>
      <c r="B357" s="149" t="s">
        <v>482</v>
      </c>
      <c r="C357" s="148">
        <f>IFERROR(VLOOKUP(A357,'งบทดลอง รพ.'!$A$2:$C$599,3,0),0)</f>
        <v>134800</v>
      </c>
      <c r="E357" s="98" t="s">
        <v>1083</v>
      </c>
      <c r="F357" s="98" t="s">
        <v>39</v>
      </c>
      <c r="G357" s="335" t="s">
        <v>1105</v>
      </c>
      <c r="H357" s="93"/>
    </row>
    <row r="358" spans="1:8" ht="27.75" x14ac:dyDescent="0.65">
      <c r="A358" s="149" t="s">
        <v>483</v>
      </c>
      <c r="B358" s="149" t="s">
        <v>484</v>
      </c>
      <c r="C358" s="148">
        <f>IFERROR(VLOOKUP(A358,'งบทดลอง รพ.'!$A$2:$C$599,3,0),0)</f>
        <v>14000</v>
      </c>
      <c r="E358" s="98" t="s">
        <v>1083</v>
      </c>
      <c r="F358" s="98" t="s">
        <v>39</v>
      </c>
      <c r="G358" s="335" t="s">
        <v>1105</v>
      </c>
      <c r="H358" s="93"/>
    </row>
    <row r="359" spans="1:8" ht="27.75" x14ac:dyDescent="0.65">
      <c r="A359" s="149" t="s">
        <v>485</v>
      </c>
      <c r="B359" s="149" t="s">
        <v>486</v>
      </c>
      <c r="C359" s="148">
        <f>IFERROR(VLOOKUP(A359,'งบทดลอง รพ.'!$A$2:$C$599,3,0),0)</f>
        <v>4547.7066666666669</v>
      </c>
      <c r="E359" s="98" t="s">
        <v>1083</v>
      </c>
      <c r="F359" s="98" t="s">
        <v>39</v>
      </c>
      <c r="G359" s="335" t="s">
        <v>1105</v>
      </c>
      <c r="H359" s="93"/>
    </row>
    <row r="360" spans="1:8" ht="27.75" x14ac:dyDescent="0.65">
      <c r="A360" s="149" t="s">
        <v>487</v>
      </c>
      <c r="B360" s="149" t="s">
        <v>488</v>
      </c>
      <c r="C360" s="148">
        <f>IFERROR(VLOOKUP(A360,'งบทดลอง รพ.'!$A$2:$C$599,3,0),0)</f>
        <v>3068553.2133333338</v>
      </c>
      <c r="E360" s="98" t="s">
        <v>1083</v>
      </c>
      <c r="F360" s="98" t="s">
        <v>39</v>
      </c>
      <c r="G360" s="335" t="s">
        <v>1105</v>
      </c>
      <c r="H360" s="93"/>
    </row>
    <row r="361" spans="1:8" ht="27.75" x14ac:dyDescent="0.65">
      <c r="A361" s="149" t="s">
        <v>489</v>
      </c>
      <c r="B361" s="149" t="s">
        <v>490</v>
      </c>
      <c r="C361" s="148">
        <f>IFERROR(VLOOKUP(A361,'งบทดลอง รพ.'!$A$2:$C$599,3,0),0)</f>
        <v>303391.88</v>
      </c>
      <c r="E361" s="98" t="s">
        <v>1083</v>
      </c>
      <c r="F361" s="98" t="s">
        <v>39</v>
      </c>
      <c r="G361" s="335" t="s">
        <v>1105</v>
      </c>
      <c r="H361" s="93"/>
    </row>
    <row r="362" spans="1:8" ht="27.75" x14ac:dyDescent="0.65">
      <c r="A362" s="149" t="s">
        <v>491</v>
      </c>
      <c r="B362" s="149" t="s">
        <v>492</v>
      </c>
      <c r="C362" s="148">
        <f>IFERROR(VLOOKUP(A362,'งบทดลอง รพ.'!$A$2:$C$599,3,0),0)</f>
        <v>308848.4266666667</v>
      </c>
      <c r="E362" s="98" t="s">
        <v>1083</v>
      </c>
      <c r="F362" s="98" t="s">
        <v>39</v>
      </c>
      <c r="G362" s="335" t="s">
        <v>1105</v>
      </c>
      <c r="H362" s="93"/>
    </row>
    <row r="363" spans="1:8" ht="27.75" x14ac:dyDescent="0.65">
      <c r="A363" s="149" t="s">
        <v>493</v>
      </c>
      <c r="B363" s="149" t="s">
        <v>494</v>
      </c>
      <c r="C363" s="148">
        <f>IFERROR(VLOOKUP(A363,'งบทดลอง รพ.'!$A$2:$C$599,3,0),0)</f>
        <v>0</v>
      </c>
      <c r="E363" s="98" t="s">
        <v>1083</v>
      </c>
      <c r="F363" s="98" t="s">
        <v>39</v>
      </c>
      <c r="G363" s="335" t="s">
        <v>1105</v>
      </c>
      <c r="H363" s="93"/>
    </row>
    <row r="364" spans="1:8" ht="27.75" x14ac:dyDescent="0.65">
      <c r="A364" s="149" t="s">
        <v>495</v>
      </c>
      <c r="B364" s="149" t="s">
        <v>496</v>
      </c>
      <c r="C364" s="148">
        <f>IFERROR(VLOOKUP(A364,'งบทดลอง รพ.'!$A$2:$C$599,3,0),0)</f>
        <v>0</v>
      </c>
      <c r="E364" s="98" t="s">
        <v>1085</v>
      </c>
      <c r="F364" s="98" t="s">
        <v>39</v>
      </c>
      <c r="G364" s="335" t="s">
        <v>1105</v>
      </c>
      <c r="H364" s="93"/>
    </row>
    <row r="365" spans="1:8" ht="27.75" x14ac:dyDescent="0.65">
      <c r="A365" s="149" t="s">
        <v>497</v>
      </c>
      <c r="B365" s="149" t="s">
        <v>498</v>
      </c>
      <c r="C365" s="148">
        <f>IFERROR(VLOOKUP(A365,'งบทดลอง รพ.'!$A$2:$C$599,3,0),0)</f>
        <v>0</v>
      </c>
      <c r="E365" s="98" t="s">
        <v>1085</v>
      </c>
      <c r="F365" s="98" t="s">
        <v>39</v>
      </c>
      <c r="G365" s="335" t="s">
        <v>1105</v>
      </c>
      <c r="H365" s="93"/>
    </row>
    <row r="366" spans="1:8" ht="27.75" x14ac:dyDescent="0.65">
      <c r="A366" s="149" t="s">
        <v>499</v>
      </c>
      <c r="B366" s="149" t="s">
        <v>500</v>
      </c>
      <c r="C366" s="148">
        <f>IFERROR(VLOOKUP(A366,'งบทดลอง รพ.'!$A$2:$C$599,3,0),0)</f>
        <v>0</v>
      </c>
      <c r="E366" s="98" t="s">
        <v>1081</v>
      </c>
      <c r="F366" s="98" t="s">
        <v>39</v>
      </c>
      <c r="G366" s="335" t="s">
        <v>1105</v>
      </c>
      <c r="H366" s="93"/>
    </row>
    <row r="367" spans="1:8" ht="27.75" x14ac:dyDescent="0.65">
      <c r="A367" s="149" t="s">
        <v>501</v>
      </c>
      <c r="B367" s="149" t="s">
        <v>502</v>
      </c>
      <c r="C367" s="148">
        <f>IFERROR(VLOOKUP(A367,'งบทดลอง รพ.'!$A$2:$C$599,3,0),0)</f>
        <v>0</v>
      </c>
      <c r="E367" s="98" t="s">
        <v>1081</v>
      </c>
      <c r="F367" s="98" t="s">
        <v>39</v>
      </c>
      <c r="G367" s="335" t="s">
        <v>1105</v>
      </c>
      <c r="H367" s="93"/>
    </row>
    <row r="368" spans="1:8" ht="27.75" x14ac:dyDescent="0.65">
      <c r="A368" s="150" t="s">
        <v>521</v>
      </c>
      <c r="B368" s="150" t="s">
        <v>522</v>
      </c>
      <c r="C368" s="148">
        <f>IFERROR(VLOOKUP(A368,'งบทดลอง รพ.'!$A$2:$C$599,3,0),0)</f>
        <v>0</v>
      </c>
      <c r="E368" s="98" t="s">
        <v>1093</v>
      </c>
      <c r="F368" s="98" t="s">
        <v>41</v>
      </c>
      <c r="G368" s="335" t="s">
        <v>1105</v>
      </c>
      <c r="H368" s="93"/>
    </row>
    <row r="369" spans="1:8" ht="27.75" x14ac:dyDescent="0.65">
      <c r="A369" s="150" t="s">
        <v>523</v>
      </c>
      <c r="B369" s="150" t="s">
        <v>524</v>
      </c>
      <c r="C369" s="148">
        <f>IFERROR(VLOOKUP(A369,'งบทดลอง รพ.'!$A$2:$C$599,3,0),0)</f>
        <v>0</v>
      </c>
      <c r="E369" s="98" t="s">
        <v>1093</v>
      </c>
      <c r="F369" s="98" t="s">
        <v>41</v>
      </c>
      <c r="G369" s="335" t="s">
        <v>1105</v>
      </c>
      <c r="H369" s="93"/>
    </row>
    <row r="370" spans="1:8" ht="27.75" x14ac:dyDescent="0.65">
      <c r="A370" s="150" t="s">
        <v>969</v>
      </c>
      <c r="B370" s="150" t="s">
        <v>970</v>
      </c>
      <c r="C370" s="148">
        <f>IFERROR(VLOOKUP(A370,'งบทดลอง รพ.'!$A$2:$C$599,3,0),0)</f>
        <v>0</v>
      </c>
      <c r="E370" s="98" t="s">
        <v>1093</v>
      </c>
      <c r="F370" s="98" t="s">
        <v>41</v>
      </c>
      <c r="G370" s="335" t="s">
        <v>1105</v>
      </c>
      <c r="H370" s="93"/>
    </row>
    <row r="371" spans="1:8" ht="27.75" x14ac:dyDescent="0.65">
      <c r="A371" s="150" t="s">
        <v>525</v>
      </c>
      <c r="B371" s="150" t="s">
        <v>1201</v>
      </c>
      <c r="C371" s="148">
        <f>IFERROR(VLOOKUP(A371,'งบทดลอง รพ.'!$A$2:$C$599,3,0),0)</f>
        <v>0</v>
      </c>
      <c r="E371" s="98" t="s">
        <v>1095</v>
      </c>
      <c r="F371" s="98" t="s">
        <v>732</v>
      </c>
      <c r="G371" s="335" t="s">
        <v>1105</v>
      </c>
      <c r="H371" s="93"/>
    </row>
    <row r="372" spans="1:8" ht="27.75" x14ac:dyDescent="0.65">
      <c r="A372" s="150" t="s">
        <v>526</v>
      </c>
      <c r="B372" s="150" t="s">
        <v>527</v>
      </c>
      <c r="C372" s="148">
        <f>IFERROR(VLOOKUP(A372,'งบทดลอง รพ.'!$A$2:$C$599,3,0),0)</f>
        <v>0</v>
      </c>
      <c r="E372" s="98" t="s">
        <v>1095</v>
      </c>
      <c r="F372" s="98" t="s">
        <v>732</v>
      </c>
      <c r="G372" s="335" t="s">
        <v>1105</v>
      </c>
      <c r="H372" s="93"/>
    </row>
    <row r="373" spans="1:8" ht="27.75" x14ac:dyDescent="0.65">
      <c r="A373" s="150" t="s">
        <v>528</v>
      </c>
      <c r="B373" s="150" t="s">
        <v>529</v>
      </c>
      <c r="C373" s="148">
        <f>IFERROR(VLOOKUP(A373,'งบทดลอง รพ.'!$A$2:$C$599,3,0),0)</f>
        <v>0</v>
      </c>
      <c r="E373" s="98" t="s">
        <v>1095</v>
      </c>
      <c r="F373" s="98" t="s">
        <v>732</v>
      </c>
      <c r="G373" s="335" t="s">
        <v>1105</v>
      </c>
      <c r="H373" s="93"/>
    </row>
    <row r="374" spans="1:8" ht="27.75" x14ac:dyDescent="0.65">
      <c r="A374" s="150" t="s">
        <v>530</v>
      </c>
      <c r="B374" s="150" t="s">
        <v>1202</v>
      </c>
      <c r="C374" s="148">
        <f>IFERROR(VLOOKUP(A374,'งบทดลอง รพ.'!$A$2:$C$599,3,0),0)</f>
        <v>250000</v>
      </c>
      <c r="E374" s="98" t="s">
        <v>1095</v>
      </c>
      <c r="F374" s="98" t="s">
        <v>732</v>
      </c>
      <c r="G374" s="335" t="s">
        <v>1105</v>
      </c>
      <c r="H374" s="93"/>
    </row>
    <row r="375" spans="1:8" ht="27.75" x14ac:dyDescent="0.65">
      <c r="A375" s="150" t="s">
        <v>531</v>
      </c>
      <c r="B375" s="150" t="s">
        <v>1203</v>
      </c>
      <c r="C375" s="148">
        <f>IFERROR(VLOOKUP(A375,'งบทดลอง รพ.'!$A$2:$C$599,3,0),0)</f>
        <v>200000</v>
      </c>
      <c r="E375" s="98" t="s">
        <v>1095</v>
      </c>
      <c r="F375" s="98" t="s">
        <v>732</v>
      </c>
      <c r="G375" s="335" t="s">
        <v>1105</v>
      </c>
      <c r="H375" s="93"/>
    </row>
    <row r="376" spans="1:8" ht="27.75" x14ac:dyDescent="0.65">
      <c r="A376" s="150" t="s">
        <v>971</v>
      </c>
      <c r="B376" s="150" t="s">
        <v>972</v>
      </c>
      <c r="C376" s="148">
        <f>IFERROR(VLOOKUP(A376,'งบทดลอง รพ.'!$A$2:$C$599,3,0),0)</f>
        <v>0</v>
      </c>
      <c r="E376" s="98" t="s">
        <v>1095</v>
      </c>
      <c r="F376" s="98" t="s">
        <v>732</v>
      </c>
      <c r="G376" s="335" t="s">
        <v>1105</v>
      </c>
      <c r="H376" s="93"/>
    </row>
    <row r="377" spans="1:8" ht="27.75" x14ac:dyDescent="0.65">
      <c r="A377" s="150" t="s">
        <v>532</v>
      </c>
      <c r="B377" s="150" t="s">
        <v>1204</v>
      </c>
      <c r="C377" s="148">
        <f>IFERROR(VLOOKUP(A377,'งบทดลอง รพ.'!$A$2:$C$599,3,0),0)</f>
        <v>0</v>
      </c>
      <c r="E377" s="98" t="s">
        <v>1095</v>
      </c>
      <c r="F377" s="98" t="s">
        <v>732</v>
      </c>
      <c r="G377" s="335" t="s">
        <v>1105</v>
      </c>
      <c r="H377" s="93"/>
    </row>
    <row r="378" spans="1:8" ht="27.75" x14ac:dyDescent="0.65">
      <c r="A378" s="150" t="s">
        <v>533</v>
      </c>
      <c r="B378" s="150" t="s">
        <v>1205</v>
      </c>
      <c r="C378" s="148">
        <f>IFERROR(VLOOKUP(A378,'งบทดลอง รพ.'!$A$2:$C$599,3,0),0)</f>
        <v>0</v>
      </c>
      <c r="E378" s="98" t="s">
        <v>1095</v>
      </c>
      <c r="F378" s="98" t="s">
        <v>732</v>
      </c>
      <c r="G378" s="335" t="s">
        <v>1105</v>
      </c>
      <c r="H378" s="93"/>
    </row>
    <row r="379" spans="1:8" ht="27.75" x14ac:dyDescent="0.65">
      <c r="A379" s="150" t="s">
        <v>534</v>
      </c>
      <c r="B379" s="150" t="s">
        <v>1206</v>
      </c>
      <c r="C379" s="148">
        <f>IFERROR(VLOOKUP(A379,'งบทดลอง รพ.'!$A$2:$C$599,3,0),0)</f>
        <v>0</v>
      </c>
      <c r="E379" s="98" t="s">
        <v>1095</v>
      </c>
      <c r="F379" s="98" t="s">
        <v>732</v>
      </c>
      <c r="G379" s="335" t="s">
        <v>1105</v>
      </c>
      <c r="H379" s="93"/>
    </row>
    <row r="380" spans="1:8" ht="27.75" x14ac:dyDescent="0.65">
      <c r="A380" s="150" t="s">
        <v>535</v>
      </c>
      <c r="B380" s="150" t="s">
        <v>1207</v>
      </c>
      <c r="C380" s="148">
        <f>IFERROR(VLOOKUP(A380,'งบทดลอง รพ.'!$A$2:$C$599,3,0),0)</f>
        <v>0</v>
      </c>
      <c r="E380" s="98" t="s">
        <v>1095</v>
      </c>
      <c r="F380" s="98" t="s">
        <v>732</v>
      </c>
      <c r="G380" s="335" t="s">
        <v>1105</v>
      </c>
      <c r="H380" s="93"/>
    </row>
    <row r="381" spans="1:8" ht="27.75" x14ac:dyDescent="0.65">
      <c r="A381" s="150" t="s">
        <v>536</v>
      </c>
      <c r="B381" s="150" t="s">
        <v>1208</v>
      </c>
      <c r="C381" s="148">
        <f>IFERROR(VLOOKUP(A381,'งบทดลอง รพ.'!$A$2:$C$599,3,0),0)</f>
        <v>0</v>
      </c>
      <c r="E381" s="98" t="s">
        <v>1095</v>
      </c>
      <c r="F381" s="98" t="s">
        <v>732</v>
      </c>
      <c r="G381" s="335" t="s">
        <v>1105</v>
      </c>
      <c r="H381" s="93"/>
    </row>
    <row r="382" spans="1:8" ht="27.75" x14ac:dyDescent="0.65">
      <c r="A382" s="150" t="s">
        <v>537</v>
      </c>
      <c r="B382" s="150" t="s">
        <v>1209</v>
      </c>
      <c r="C382" s="148">
        <f>IFERROR(VLOOKUP(A382,'งบทดลอง รพ.'!$A$2:$C$599,3,0),0)</f>
        <v>0</v>
      </c>
      <c r="E382" s="98" t="s">
        <v>1095</v>
      </c>
      <c r="F382" s="98" t="s">
        <v>732</v>
      </c>
      <c r="G382" s="335" t="s">
        <v>1105</v>
      </c>
      <c r="H382" s="93"/>
    </row>
    <row r="383" spans="1:8" ht="27.75" x14ac:dyDescent="0.65">
      <c r="A383" s="150" t="s">
        <v>538</v>
      </c>
      <c r="B383" s="150" t="s">
        <v>1210</v>
      </c>
      <c r="C383" s="148">
        <f>IFERROR(VLOOKUP(A383,'งบทดลอง รพ.'!$A$2:$C$599,3,0),0)</f>
        <v>0</v>
      </c>
      <c r="E383" s="98" t="s">
        <v>1095</v>
      </c>
      <c r="F383" s="98" t="s">
        <v>732</v>
      </c>
      <c r="G383" s="335" t="s">
        <v>1105</v>
      </c>
      <c r="H383" s="93"/>
    </row>
    <row r="384" spans="1:8" ht="27.75" x14ac:dyDescent="0.65">
      <c r="A384" s="150" t="s">
        <v>539</v>
      </c>
      <c r="B384" s="150" t="s">
        <v>1211</v>
      </c>
      <c r="C384" s="148">
        <f>IFERROR(VLOOKUP(A384,'งบทดลอง รพ.'!$A$2:$C$599,3,0),0)</f>
        <v>0</v>
      </c>
      <c r="E384" s="98" t="s">
        <v>1095</v>
      </c>
      <c r="F384" s="98" t="s">
        <v>732</v>
      </c>
      <c r="G384" s="335" t="s">
        <v>1105</v>
      </c>
      <c r="H384" s="93"/>
    </row>
    <row r="385" spans="1:8" ht="27.75" x14ac:dyDescent="0.65">
      <c r="A385" s="150" t="s">
        <v>540</v>
      </c>
      <c r="B385" s="150" t="s">
        <v>1212</v>
      </c>
      <c r="C385" s="148">
        <f>IFERROR(VLOOKUP(A385,'งบทดลอง รพ.'!$A$2:$C$599,3,0),0)</f>
        <v>0</v>
      </c>
      <c r="E385" s="98" t="s">
        <v>1095</v>
      </c>
      <c r="F385" s="98" t="s">
        <v>732</v>
      </c>
      <c r="G385" s="335" t="s">
        <v>1105</v>
      </c>
      <c r="H385" s="93"/>
    </row>
    <row r="386" spans="1:8" ht="27.75" x14ac:dyDescent="0.65">
      <c r="A386" s="150" t="s">
        <v>541</v>
      </c>
      <c r="B386" s="150" t="s">
        <v>1213</v>
      </c>
      <c r="C386" s="148">
        <f>IFERROR(VLOOKUP(A386,'งบทดลอง รพ.'!$A$2:$C$599,3,0),0)</f>
        <v>0</v>
      </c>
      <c r="E386" s="98" t="s">
        <v>1095</v>
      </c>
      <c r="F386" s="98" t="s">
        <v>732</v>
      </c>
      <c r="G386" s="335" t="s">
        <v>1105</v>
      </c>
      <c r="H386" s="93"/>
    </row>
    <row r="387" spans="1:8" ht="27.75" x14ac:dyDescent="0.65">
      <c r="A387" s="150" t="s">
        <v>542</v>
      </c>
      <c r="B387" s="150" t="s">
        <v>543</v>
      </c>
      <c r="C387" s="148">
        <f>IFERROR(VLOOKUP(A387,'งบทดลอง รพ.'!$A$2:$C$599,3,0),0)</f>
        <v>0</v>
      </c>
      <c r="E387" s="98" t="s">
        <v>1095</v>
      </c>
      <c r="F387" s="98" t="s">
        <v>732</v>
      </c>
      <c r="G387" s="335" t="s">
        <v>1105</v>
      </c>
      <c r="H387" s="93"/>
    </row>
    <row r="388" spans="1:8" ht="27.75" x14ac:dyDescent="0.65">
      <c r="A388" s="150" t="s">
        <v>544</v>
      </c>
      <c r="B388" s="150" t="s">
        <v>545</v>
      </c>
      <c r="C388" s="148">
        <f>IFERROR(VLOOKUP(A388,'งบทดลอง รพ.'!$A$2:$C$599,3,0),0)</f>
        <v>0</v>
      </c>
      <c r="E388" s="98" t="s">
        <v>1095</v>
      </c>
      <c r="F388" s="98" t="s">
        <v>732</v>
      </c>
      <c r="G388" s="335" t="s">
        <v>1105</v>
      </c>
      <c r="H388" s="93"/>
    </row>
    <row r="389" spans="1:8" ht="27.75" x14ac:dyDescent="0.65">
      <c r="A389" s="150" t="s">
        <v>546</v>
      </c>
      <c r="B389" s="150" t="s">
        <v>1214</v>
      </c>
      <c r="C389" s="148">
        <f>IFERROR(VLOOKUP(A389,'งบทดลอง รพ.'!$A$2:$C$599,3,0),0)</f>
        <v>250000</v>
      </c>
      <c r="E389" s="98" t="s">
        <v>1095</v>
      </c>
      <c r="F389" s="98" t="s">
        <v>732</v>
      </c>
      <c r="G389" s="335" t="s">
        <v>1105</v>
      </c>
      <c r="H389" s="93"/>
    </row>
    <row r="390" spans="1:8" ht="27.75" x14ac:dyDescent="0.65">
      <c r="A390" s="150" t="s">
        <v>547</v>
      </c>
      <c r="B390" s="150" t="s">
        <v>1215</v>
      </c>
      <c r="C390" s="148">
        <f>IFERROR(VLOOKUP(A390,'งบทดลอง รพ.'!$A$2:$C$599,3,0),0)</f>
        <v>200000</v>
      </c>
      <c r="E390" s="98" t="s">
        <v>1095</v>
      </c>
      <c r="F390" s="98" t="s">
        <v>732</v>
      </c>
      <c r="G390" s="335" t="s">
        <v>1105</v>
      </c>
      <c r="H390" s="93"/>
    </row>
    <row r="391" spans="1:8" ht="27.75" x14ac:dyDescent="0.65">
      <c r="A391" s="150" t="s">
        <v>973</v>
      </c>
      <c r="B391" s="150" t="s">
        <v>974</v>
      </c>
      <c r="C391" s="148">
        <f>IFERROR(VLOOKUP(A391,'งบทดลอง รพ.'!$A$2:$C$599,3,0),0)</f>
        <v>0</v>
      </c>
      <c r="E391" s="98" t="s">
        <v>1095</v>
      </c>
      <c r="F391" s="98" t="s">
        <v>732</v>
      </c>
      <c r="G391" s="335" t="s">
        <v>1105</v>
      </c>
      <c r="H391" s="93"/>
    </row>
    <row r="392" spans="1:8" ht="27.75" x14ac:dyDescent="0.65">
      <c r="A392" s="150" t="s">
        <v>548</v>
      </c>
      <c r="B392" s="150" t="s">
        <v>1216</v>
      </c>
      <c r="C392" s="148">
        <f>IFERROR(VLOOKUP(A392,'งบทดลอง รพ.'!$A$2:$C$599,3,0),0)</f>
        <v>0</v>
      </c>
      <c r="E392" s="98" t="s">
        <v>1095</v>
      </c>
      <c r="F392" s="98" t="s">
        <v>732</v>
      </c>
      <c r="G392" s="335" t="s">
        <v>1105</v>
      </c>
      <c r="H392" s="93"/>
    </row>
    <row r="393" spans="1:8" ht="27.75" x14ac:dyDescent="0.65">
      <c r="A393" s="150" t="s">
        <v>549</v>
      </c>
      <c r="B393" s="150" t="s">
        <v>1217</v>
      </c>
      <c r="C393" s="148">
        <f>IFERROR(VLOOKUP(A393,'งบทดลอง รพ.'!$A$2:$C$599,3,0),0)</f>
        <v>0</v>
      </c>
      <c r="E393" s="98" t="s">
        <v>1095</v>
      </c>
      <c r="F393" s="98" t="s">
        <v>732</v>
      </c>
      <c r="G393" s="335" t="s">
        <v>1105</v>
      </c>
      <c r="H393" s="93"/>
    </row>
    <row r="394" spans="1:8" ht="27.75" x14ac:dyDescent="0.65">
      <c r="A394" s="150" t="s">
        <v>550</v>
      </c>
      <c r="B394" s="150" t="s">
        <v>1218</v>
      </c>
      <c r="C394" s="148">
        <f>IFERROR(VLOOKUP(A394,'งบทดลอง รพ.'!$A$2:$C$599,3,0),0)</f>
        <v>0</v>
      </c>
      <c r="E394" s="98" t="s">
        <v>1095</v>
      </c>
      <c r="F394" s="98" t="s">
        <v>732</v>
      </c>
      <c r="G394" s="335" t="s">
        <v>1105</v>
      </c>
      <c r="H394" s="93"/>
    </row>
    <row r="395" spans="1:8" ht="27.75" x14ac:dyDescent="0.65">
      <c r="A395" s="150" t="s">
        <v>551</v>
      </c>
      <c r="B395" s="150" t="s">
        <v>1219</v>
      </c>
      <c r="C395" s="148">
        <f>IFERROR(VLOOKUP(A395,'งบทดลอง รพ.'!$A$2:$C$599,3,0),0)</f>
        <v>0</v>
      </c>
      <c r="E395" s="98" t="s">
        <v>1095</v>
      </c>
      <c r="F395" s="98" t="s">
        <v>732</v>
      </c>
      <c r="G395" s="335" t="s">
        <v>1105</v>
      </c>
      <c r="H395" s="93"/>
    </row>
    <row r="396" spans="1:8" ht="27.75" x14ac:dyDescent="0.65">
      <c r="A396" s="150" t="s">
        <v>552</v>
      </c>
      <c r="B396" s="150" t="s">
        <v>1220</v>
      </c>
      <c r="C396" s="148">
        <f>IFERROR(VLOOKUP(A396,'งบทดลอง รพ.'!$A$2:$C$599,3,0),0)</f>
        <v>0</v>
      </c>
      <c r="E396" s="98" t="s">
        <v>1095</v>
      </c>
      <c r="F396" s="98" t="s">
        <v>732</v>
      </c>
      <c r="G396" s="335" t="s">
        <v>1105</v>
      </c>
      <c r="H396" s="93"/>
    </row>
    <row r="397" spans="1:8" ht="27.75" x14ac:dyDescent="0.65">
      <c r="A397" s="150" t="s">
        <v>553</v>
      </c>
      <c r="B397" s="150" t="s">
        <v>1221</v>
      </c>
      <c r="C397" s="148">
        <f>IFERROR(VLOOKUP(A397,'งบทดลอง รพ.'!$A$2:$C$599,3,0),0)</f>
        <v>0</v>
      </c>
      <c r="E397" s="98" t="s">
        <v>1095</v>
      </c>
      <c r="F397" s="98" t="s">
        <v>732</v>
      </c>
      <c r="G397" s="335" t="s">
        <v>1105</v>
      </c>
      <c r="H397" s="93"/>
    </row>
    <row r="398" spans="1:8" ht="27.75" x14ac:dyDescent="0.65">
      <c r="A398" s="150" t="s">
        <v>554</v>
      </c>
      <c r="B398" s="150" t="s">
        <v>555</v>
      </c>
      <c r="C398" s="148">
        <f>IFERROR(VLOOKUP(A398,'งบทดลอง รพ.'!$A$2:$C$599,3,0),0)</f>
        <v>0</v>
      </c>
      <c r="E398" s="98" t="s">
        <v>1093</v>
      </c>
      <c r="F398" s="98" t="s">
        <v>41</v>
      </c>
      <c r="G398" s="335" t="s">
        <v>1105</v>
      </c>
      <c r="H398" s="93"/>
    </row>
    <row r="399" spans="1:8" ht="27.75" x14ac:dyDescent="0.65">
      <c r="A399" s="150" t="s">
        <v>556</v>
      </c>
      <c r="B399" s="150" t="s">
        <v>557</v>
      </c>
      <c r="C399" s="148">
        <f>IFERROR(VLOOKUP(A399,'งบทดลอง รพ.'!$A$2:$C$599,3,0),0)</f>
        <v>0</v>
      </c>
      <c r="E399" s="98" t="s">
        <v>1093</v>
      </c>
      <c r="F399" s="98" t="s">
        <v>41</v>
      </c>
      <c r="G399" s="335" t="s">
        <v>1105</v>
      </c>
      <c r="H399" s="93"/>
    </row>
    <row r="400" spans="1:8" ht="27.75" x14ac:dyDescent="0.65">
      <c r="A400" s="150" t="s">
        <v>558</v>
      </c>
      <c r="B400" s="150" t="s">
        <v>559</v>
      </c>
      <c r="C400" s="148">
        <f>IFERROR(VLOOKUP(A400,'งบทดลอง รพ.'!$A$2:$C$599,3,0),0)</f>
        <v>0</v>
      </c>
      <c r="E400" s="98" t="s">
        <v>1093</v>
      </c>
      <c r="F400" s="98" t="s">
        <v>41</v>
      </c>
      <c r="G400" s="335" t="s">
        <v>1105</v>
      </c>
      <c r="H400" s="93"/>
    </row>
    <row r="401" spans="1:8" ht="27.75" x14ac:dyDescent="0.65">
      <c r="A401" s="150" t="s">
        <v>560</v>
      </c>
      <c r="B401" s="150" t="s">
        <v>561</v>
      </c>
      <c r="C401" s="148">
        <f>IFERROR(VLOOKUP(A401,'งบทดลอง รพ.'!$A$2:$C$599,3,0),0)</f>
        <v>0</v>
      </c>
      <c r="E401" s="98" t="s">
        <v>1093</v>
      </c>
      <c r="F401" s="98" t="s">
        <v>41</v>
      </c>
      <c r="G401" s="335" t="s">
        <v>1105</v>
      </c>
      <c r="H401" s="93"/>
    </row>
    <row r="402" spans="1:8" ht="27.75" x14ac:dyDescent="0.65">
      <c r="A402" s="150" t="s">
        <v>562</v>
      </c>
      <c r="B402" s="150" t="s">
        <v>563</v>
      </c>
      <c r="C402" s="148">
        <f>IFERROR(VLOOKUP(A402,'งบทดลอง รพ.'!$A$2:$C$599,3,0),0)</f>
        <v>0</v>
      </c>
      <c r="E402" s="98" t="s">
        <v>1093</v>
      </c>
      <c r="F402" s="98" t="s">
        <v>41</v>
      </c>
      <c r="G402" s="335" t="s">
        <v>1105</v>
      </c>
      <c r="H402" s="93"/>
    </row>
    <row r="403" spans="1:8" ht="27.75" x14ac:dyDescent="0.65">
      <c r="A403" s="150" t="s">
        <v>564</v>
      </c>
      <c r="B403" s="150" t="s">
        <v>565</v>
      </c>
      <c r="C403" s="148">
        <f>IFERROR(VLOOKUP(A403,'งบทดลอง รพ.'!$A$2:$C$599,3,0),0)</f>
        <v>0</v>
      </c>
      <c r="E403" s="98" t="s">
        <v>1093</v>
      </c>
      <c r="F403" s="98" t="s">
        <v>41</v>
      </c>
      <c r="G403" s="335" t="s">
        <v>1105</v>
      </c>
      <c r="H403" s="93"/>
    </row>
    <row r="404" spans="1:8" ht="27.75" x14ac:dyDescent="0.65">
      <c r="A404" s="150" t="s">
        <v>566</v>
      </c>
      <c r="B404" s="150" t="s">
        <v>567</v>
      </c>
      <c r="C404" s="148">
        <f>IFERROR(VLOOKUP(A404,'งบทดลอง รพ.'!$A$2:$C$599,3,0),0)</f>
        <v>0</v>
      </c>
      <c r="E404" s="98" t="s">
        <v>1093</v>
      </c>
      <c r="F404" s="98" t="s">
        <v>41</v>
      </c>
      <c r="G404" s="335" t="s">
        <v>1105</v>
      </c>
      <c r="H404" s="93"/>
    </row>
    <row r="405" spans="1:8" ht="27.75" x14ac:dyDescent="0.65">
      <c r="A405" s="150" t="s">
        <v>568</v>
      </c>
      <c r="B405" s="150" t="s">
        <v>569</v>
      </c>
      <c r="C405" s="148">
        <f>IFERROR(VLOOKUP(A405,'งบทดลอง รพ.'!$A$2:$C$599,3,0),0)</f>
        <v>0</v>
      </c>
      <c r="E405" s="98" t="s">
        <v>1093</v>
      </c>
      <c r="F405" s="98" t="s">
        <v>41</v>
      </c>
      <c r="G405" s="335" t="s">
        <v>1105</v>
      </c>
      <c r="H405" s="93"/>
    </row>
    <row r="406" spans="1:8" ht="27.75" x14ac:dyDescent="0.65">
      <c r="A406" s="150" t="s">
        <v>570</v>
      </c>
      <c r="B406" s="150" t="s">
        <v>571</v>
      </c>
      <c r="C406" s="148">
        <f>IFERROR(VLOOKUP(A406,'งบทดลอง รพ.'!$A$2:$C$599,3,0),0)</f>
        <v>0</v>
      </c>
      <c r="E406" s="98" t="s">
        <v>1093</v>
      </c>
      <c r="F406" s="98" t="s">
        <v>41</v>
      </c>
      <c r="G406" s="335" t="s">
        <v>1105</v>
      </c>
      <c r="H406" s="93"/>
    </row>
    <row r="407" spans="1:8" ht="27.75" x14ac:dyDescent="0.65">
      <c r="A407" s="150" t="s">
        <v>572</v>
      </c>
      <c r="B407" s="150" t="s">
        <v>573</v>
      </c>
      <c r="C407" s="148">
        <f>IFERROR(VLOOKUP(A407,'งบทดลอง รพ.'!$A$2:$C$599,3,0),0)</f>
        <v>0</v>
      </c>
      <c r="E407" s="98" t="s">
        <v>1093</v>
      </c>
      <c r="F407" s="98" t="s">
        <v>41</v>
      </c>
      <c r="G407" s="335" t="s">
        <v>1105</v>
      </c>
      <c r="H407" s="93"/>
    </row>
    <row r="408" spans="1:8" ht="27.75" x14ac:dyDescent="0.65">
      <c r="A408" s="150" t="s">
        <v>574</v>
      </c>
      <c r="B408" s="150" t="s">
        <v>575</v>
      </c>
      <c r="C408" s="148">
        <f>IFERROR(VLOOKUP(A408,'งบทดลอง รพ.'!$A$2:$C$599,3,0),0)</f>
        <v>0</v>
      </c>
      <c r="E408" s="98" t="s">
        <v>1093</v>
      </c>
      <c r="F408" s="98" t="s">
        <v>41</v>
      </c>
      <c r="G408" s="335" t="s">
        <v>1105</v>
      </c>
      <c r="H408" s="93"/>
    </row>
    <row r="409" spans="1:8" ht="27.75" x14ac:dyDescent="0.65">
      <c r="A409" s="150" t="s">
        <v>576</v>
      </c>
      <c r="B409" s="150" t="s">
        <v>577</v>
      </c>
      <c r="C409" s="148">
        <f>IFERROR(VLOOKUP(A409,'งบทดลอง รพ.'!$A$2:$C$599,3,0),0)</f>
        <v>0</v>
      </c>
      <c r="E409" s="98" t="s">
        <v>1093</v>
      </c>
      <c r="F409" s="98" t="s">
        <v>41</v>
      </c>
      <c r="G409" s="335" t="s">
        <v>1105</v>
      </c>
      <c r="H409" s="93"/>
    </row>
    <row r="410" spans="1:8" ht="27.75" x14ac:dyDescent="0.65">
      <c r="A410" s="150" t="s">
        <v>578</v>
      </c>
      <c r="B410" s="150" t="s">
        <v>579</v>
      </c>
      <c r="C410" s="148">
        <f>IFERROR(VLOOKUP(A410,'งบทดลอง รพ.'!$A$2:$C$599,3,0),0)</f>
        <v>0</v>
      </c>
      <c r="E410" s="98" t="s">
        <v>1093</v>
      </c>
      <c r="F410" s="98" t="s">
        <v>41</v>
      </c>
      <c r="G410" s="335" t="s">
        <v>1105</v>
      </c>
      <c r="H410" s="93"/>
    </row>
    <row r="411" spans="1:8" ht="27.75" x14ac:dyDescent="0.65">
      <c r="A411" s="150" t="s">
        <v>580</v>
      </c>
      <c r="B411" s="150" t="s">
        <v>581</v>
      </c>
      <c r="C411" s="148">
        <f>IFERROR(VLOOKUP(A411,'งบทดลอง รพ.'!$A$2:$C$599,3,0),0)</f>
        <v>0</v>
      </c>
      <c r="E411" s="98" t="s">
        <v>1093</v>
      </c>
      <c r="F411" s="98" t="s">
        <v>41</v>
      </c>
      <c r="G411" s="335" t="s">
        <v>1105</v>
      </c>
      <c r="H411" s="93"/>
    </row>
    <row r="412" spans="1:8" ht="27.75" x14ac:dyDescent="0.65">
      <c r="A412" s="150" t="s">
        <v>582</v>
      </c>
      <c r="B412" s="150" t="s">
        <v>583</v>
      </c>
      <c r="C412" s="148">
        <f>IFERROR(VLOOKUP(A412,'งบทดลอง รพ.'!$A$2:$C$599,3,0),0)</f>
        <v>0</v>
      </c>
      <c r="E412" s="98" t="s">
        <v>1093</v>
      </c>
      <c r="F412" s="98" t="s">
        <v>41</v>
      </c>
      <c r="G412" s="335" t="s">
        <v>1105</v>
      </c>
      <c r="H412" s="93"/>
    </row>
    <row r="413" spans="1:8" ht="27.75" x14ac:dyDescent="0.65">
      <c r="A413" s="150" t="s">
        <v>584</v>
      </c>
      <c r="B413" s="150" t="s">
        <v>585</v>
      </c>
      <c r="C413" s="148">
        <f>IFERROR(VLOOKUP(A413,'งบทดลอง รพ.'!$A$2:$C$599,3,0),0)</f>
        <v>0</v>
      </c>
      <c r="E413" s="98" t="s">
        <v>1093</v>
      </c>
      <c r="F413" s="98" t="s">
        <v>41</v>
      </c>
      <c r="G413" s="335" t="s">
        <v>1105</v>
      </c>
      <c r="H413" s="93"/>
    </row>
    <row r="414" spans="1:8" ht="27.75" x14ac:dyDescent="0.65">
      <c r="A414" s="150" t="s">
        <v>586</v>
      </c>
      <c r="B414" s="150" t="s">
        <v>587</v>
      </c>
      <c r="C414" s="148">
        <f>IFERROR(VLOOKUP(A414,'งบทดลอง รพ.'!$A$2:$C$599,3,0),0)</f>
        <v>0</v>
      </c>
      <c r="E414" s="98" t="s">
        <v>1093</v>
      </c>
      <c r="F414" s="98" t="s">
        <v>41</v>
      </c>
      <c r="G414" s="335" t="s">
        <v>1105</v>
      </c>
      <c r="H414" s="93"/>
    </row>
    <row r="415" spans="1:8" ht="27.75" x14ac:dyDescent="0.65">
      <c r="A415" s="150" t="s">
        <v>588</v>
      </c>
      <c r="B415" s="150" t="s">
        <v>589</v>
      </c>
      <c r="C415" s="148">
        <f>IFERROR(VLOOKUP(A415,'งบทดลอง รพ.'!$A$2:$C$599,3,0),0)</f>
        <v>0</v>
      </c>
      <c r="E415" s="98" t="s">
        <v>1093</v>
      </c>
      <c r="F415" s="98" t="s">
        <v>41</v>
      </c>
      <c r="G415" s="335" t="s">
        <v>1105</v>
      </c>
      <c r="H415" s="93"/>
    </row>
    <row r="416" spans="1:8" ht="27.75" x14ac:dyDescent="0.65">
      <c r="A416" s="150" t="s">
        <v>590</v>
      </c>
      <c r="B416" s="150" t="s">
        <v>591</v>
      </c>
      <c r="C416" s="148">
        <f>IFERROR(VLOOKUP(A416,'งบทดลอง รพ.'!$A$2:$C$599,3,0),0)</f>
        <v>0</v>
      </c>
      <c r="E416" s="98" t="s">
        <v>1093</v>
      </c>
      <c r="F416" s="98" t="s">
        <v>41</v>
      </c>
      <c r="G416" s="335" t="s">
        <v>1105</v>
      </c>
      <c r="H416" s="93"/>
    </row>
    <row r="417" spans="1:8" ht="27.75" x14ac:dyDescent="0.65">
      <c r="A417" s="150" t="s">
        <v>592</v>
      </c>
      <c r="B417" s="150" t="s">
        <v>593</v>
      </c>
      <c r="C417" s="148">
        <f>IFERROR(VLOOKUP(A417,'งบทดลอง รพ.'!$A$2:$C$599,3,0),0)</f>
        <v>0</v>
      </c>
      <c r="E417" s="98" t="s">
        <v>1093</v>
      </c>
      <c r="F417" s="98" t="s">
        <v>41</v>
      </c>
      <c r="G417" s="335" t="s">
        <v>1105</v>
      </c>
      <c r="H417" s="93"/>
    </row>
    <row r="418" spans="1:8" ht="27.75" x14ac:dyDescent="0.65">
      <c r="A418" s="150" t="s">
        <v>975</v>
      </c>
      <c r="B418" s="150" t="s">
        <v>976</v>
      </c>
      <c r="C418" s="148">
        <f>IFERROR(VLOOKUP(A418,'งบทดลอง รพ.'!$A$2:$C$599,3,0),0)</f>
        <v>0</v>
      </c>
      <c r="E418" s="98" t="s">
        <v>1093</v>
      </c>
      <c r="F418" s="98" t="s">
        <v>41</v>
      </c>
      <c r="G418" s="335" t="s">
        <v>1105</v>
      </c>
      <c r="H418" s="93"/>
    </row>
    <row r="419" spans="1:8" ht="27.75" x14ac:dyDescent="0.65">
      <c r="A419" s="150" t="s">
        <v>977</v>
      </c>
      <c r="B419" s="150" t="s">
        <v>978</v>
      </c>
      <c r="C419" s="148">
        <f>IFERROR(VLOOKUP(A419,'งบทดลอง รพ.'!$A$2:$C$599,3,0),0)</f>
        <v>0</v>
      </c>
      <c r="E419" s="98" t="s">
        <v>1093</v>
      </c>
      <c r="F419" s="98" t="s">
        <v>41</v>
      </c>
      <c r="G419" s="335" t="s">
        <v>1105</v>
      </c>
      <c r="H419" s="93"/>
    </row>
    <row r="420" spans="1:8" ht="27.75" x14ac:dyDescent="0.65">
      <c r="A420" s="150" t="s">
        <v>979</v>
      </c>
      <c r="B420" s="150" t="s">
        <v>980</v>
      </c>
      <c r="C420" s="148">
        <f>IFERROR(VLOOKUP(A420,'งบทดลอง รพ.'!$A$2:$C$599,3,0),0)</f>
        <v>0</v>
      </c>
      <c r="E420" s="98" t="s">
        <v>1093</v>
      </c>
      <c r="F420" s="98" t="s">
        <v>41</v>
      </c>
      <c r="G420" s="335" t="s">
        <v>1105</v>
      </c>
      <c r="H420" s="93"/>
    </row>
    <row r="421" spans="1:8" ht="27.75" x14ac:dyDescent="0.65">
      <c r="A421" s="150" t="s">
        <v>594</v>
      </c>
      <c r="B421" s="150" t="s">
        <v>1222</v>
      </c>
      <c r="C421" s="148">
        <f>IFERROR(VLOOKUP(A421,'งบทดลอง รพ.'!$A$2:$C$599,3,0),0)</f>
        <v>0</v>
      </c>
      <c r="E421" s="98" t="s">
        <v>1093</v>
      </c>
      <c r="F421" s="98" t="s">
        <v>41</v>
      </c>
      <c r="G421" s="335" t="s">
        <v>1105</v>
      </c>
      <c r="H421" s="93"/>
    </row>
    <row r="422" spans="1:8" ht="27.75" x14ac:dyDescent="0.65">
      <c r="A422" s="150" t="s">
        <v>981</v>
      </c>
      <c r="B422" s="150" t="s">
        <v>982</v>
      </c>
      <c r="C422" s="148">
        <f>IFERROR(VLOOKUP(A422,'งบทดลอง รพ.'!$A$2:$C$599,3,0),0)</f>
        <v>0</v>
      </c>
      <c r="E422" s="98" t="s">
        <v>1093</v>
      </c>
      <c r="F422" s="98" t="s">
        <v>41</v>
      </c>
      <c r="G422" s="335" t="s">
        <v>1105</v>
      </c>
      <c r="H422" s="93"/>
    </row>
    <row r="423" spans="1:8" ht="27.75" x14ac:dyDescent="0.65">
      <c r="A423" s="150" t="s">
        <v>983</v>
      </c>
      <c r="B423" s="150" t="s">
        <v>984</v>
      </c>
      <c r="C423" s="148">
        <f>IFERROR(VLOOKUP(A423,'งบทดลอง รพ.'!$A$2:$C$599,3,0),0)</f>
        <v>0</v>
      </c>
      <c r="E423" s="98" t="s">
        <v>1093</v>
      </c>
      <c r="F423" s="98" t="s">
        <v>41</v>
      </c>
      <c r="G423" s="335" t="s">
        <v>1105</v>
      </c>
      <c r="H423" s="93"/>
    </row>
    <row r="424" spans="1:8" ht="27.75" x14ac:dyDescent="0.65">
      <c r="A424" s="150" t="s">
        <v>595</v>
      </c>
      <c r="B424" s="150" t="s">
        <v>1223</v>
      </c>
      <c r="C424" s="148">
        <f>IFERROR(VLOOKUP(A424,'งบทดลอง รพ.'!$A$2:$C$599,3,0),0)</f>
        <v>0</v>
      </c>
      <c r="E424" s="98" t="s">
        <v>1093</v>
      </c>
      <c r="F424" s="98" t="s">
        <v>41</v>
      </c>
      <c r="G424" s="335" t="s">
        <v>1105</v>
      </c>
      <c r="H424" s="93"/>
    </row>
    <row r="425" spans="1:8" ht="27.75" x14ac:dyDescent="0.65">
      <c r="A425" s="150" t="s">
        <v>985</v>
      </c>
      <c r="B425" s="150" t="s">
        <v>596</v>
      </c>
      <c r="C425" s="148">
        <f>IFERROR(VLOOKUP(A425,'งบทดลอง รพ.'!$A$2:$C$599,3,0),0)</f>
        <v>0</v>
      </c>
      <c r="E425" s="98" t="s">
        <v>1093</v>
      </c>
      <c r="F425" s="98" t="s">
        <v>41</v>
      </c>
      <c r="G425" s="335" t="s">
        <v>1105</v>
      </c>
      <c r="H425" s="93"/>
    </row>
    <row r="426" spans="1:8" ht="27.75" x14ac:dyDescent="0.65">
      <c r="A426" s="150" t="s">
        <v>597</v>
      </c>
      <c r="B426" s="150" t="s">
        <v>598</v>
      </c>
      <c r="C426" s="148">
        <f>IFERROR(VLOOKUP(A426,'งบทดลอง รพ.'!$A$2:$C$599,3,0),0)</f>
        <v>0</v>
      </c>
      <c r="E426" s="98" t="s">
        <v>1093</v>
      </c>
      <c r="F426" s="98" t="s">
        <v>41</v>
      </c>
      <c r="G426" s="335" t="s">
        <v>1105</v>
      </c>
      <c r="H426" s="93"/>
    </row>
    <row r="427" spans="1:8" ht="27.75" x14ac:dyDescent="0.65">
      <c r="A427" s="150" t="s">
        <v>599</v>
      </c>
      <c r="B427" s="150" t="s">
        <v>600</v>
      </c>
      <c r="C427" s="148">
        <f>IFERROR(VLOOKUP(A427,'งบทดลอง รพ.'!$A$2:$C$599,3,0),0)</f>
        <v>390000</v>
      </c>
      <c r="E427" s="98" t="s">
        <v>1093</v>
      </c>
      <c r="F427" s="98" t="s">
        <v>41</v>
      </c>
      <c r="G427" s="335" t="s">
        <v>1105</v>
      </c>
      <c r="H427" s="93"/>
    </row>
    <row r="428" spans="1:8" ht="27.75" x14ac:dyDescent="0.65">
      <c r="A428" s="150" t="s">
        <v>601</v>
      </c>
      <c r="B428" s="150" t="s">
        <v>602</v>
      </c>
      <c r="C428" s="148">
        <f>IFERROR(VLOOKUP(A428,'งบทดลอง รพ.'!$A$2:$C$599,3,0),0)</f>
        <v>0</v>
      </c>
      <c r="E428" s="98" t="s">
        <v>1093</v>
      </c>
      <c r="F428" s="98" t="s">
        <v>41</v>
      </c>
      <c r="G428" s="335" t="s">
        <v>1105</v>
      </c>
      <c r="H428" s="93"/>
    </row>
    <row r="429" spans="1:8" ht="27.75" x14ac:dyDescent="0.65">
      <c r="A429" s="150" t="s">
        <v>603</v>
      </c>
      <c r="B429" s="150" t="s">
        <v>604</v>
      </c>
      <c r="C429" s="148">
        <f>IFERROR(VLOOKUP(A429,'งบทดลอง รพ.'!$A$2:$C$599,3,0),0)</f>
        <v>41400</v>
      </c>
      <c r="E429" s="98" t="s">
        <v>1093</v>
      </c>
      <c r="F429" s="98" t="s">
        <v>41</v>
      </c>
      <c r="G429" s="335" t="s">
        <v>1105</v>
      </c>
      <c r="H429" s="93"/>
    </row>
    <row r="430" spans="1:8" ht="27.75" x14ac:dyDescent="0.65">
      <c r="A430" s="150" t="s">
        <v>605</v>
      </c>
      <c r="B430" s="150" t="s">
        <v>1224</v>
      </c>
      <c r="C430" s="148">
        <f>IFERROR(VLOOKUP(A430,'งบทดลอง รพ.'!$A$2:$C$599,3,0),0)</f>
        <v>0</v>
      </c>
      <c r="E430" s="98" t="s">
        <v>1093</v>
      </c>
      <c r="F430" s="98" t="s">
        <v>41</v>
      </c>
      <c r="G430" s="335" t="s">
        <v>1105</v>
      </c>
      <c r="H430" s="93"/>
    </row>
    <row r="431" spans="1:8" ht="27.75" x14ac:dyDescent="0.65">
      <c r="A431" s="150" t="s">
        <v>606</v>
      </c>
      <c r="B431" s="150" t="s">
        <v>1225</v>
      </c>
      <c r="C431" s="148">
        <f>IFERROR(VLOOKUP(A431,'งบทดลอง รพ.'!$A$2:$C$599,3,0),0)</f>
        <v>0</v>
      </c>
      <c r="E431" s="98" t="s">
        <v>1093</v>
      </c>
      <c r="F431" s="98" t="s">
        <v>41</v>
      </c>
      <c r="G431" s="335" t="s">
        <v>1105</v>
      </c>
      <c r="H431" s="93"/>
    </row>
    <row r="432" spans="1:8" ht="27.75" x14ac:dyDescent="0.65">
      <c r="A432" s="150" t="s">
        <v>607</v>
      </c>
      <c r="B432" s="150" t="s">
        <v>608</v>
      </c>
      <c r="C432" s="148">
        <f>IFERROR(VLOOKUP(A432,'งบทดลอง รพ.'!$A$2:$C$599,3,0),0)</f>
        <v>0</v>
      </c>
      <c r="E432" s="98" t="s">
        <v>1093</v>
      </c>
      <c r="F432" s="98" t="s">
        <v>41</v>
      </c>
      <c r="G432" s="335" t="s">
        <v>1105</v>
      </c>
      <c r="H432" s="93"/>
    </row>
    <row r="433" spans="1:8" ht="27.75" x14ac:dyDescent="0.65">
      <c r="A433" s="150" t="s">
        <v>609</v>
      </c>
      <c r="B433" s="150" t="s">
        <v>610</v>
      </c>
      <c r="C433" s="148">
        <f>IFERROR(VLOOKUP(A433,'งบทดลอง รพ.'!$A$2:$C$599,3,0),0)</f>
        <v>0</v>
      </c>
      <c r="E433" s="98" t="s">
        <v>1093</v>
      </c>
      <c r="F433" s="98" t="s">
        <v>41</v>
      </c>
      <c r="G433" s="335" t="s">
        <v>1105</v>
      </c>
      <c r="H433" s="93"/>
    </row>
    <row r="434" spans="1:8" ht="27.75" x14ac:dyDescent="0.65">
      <c r="A434" s="150" t="s">
        <v>611</v>
      </c>
      <c r="B434" s="150" t="s">
        <v>612</v>
      </c>
      <c r="C434" s="148">
        <f>IFERROR(VLOOKUP(A434,'งบทดลอง รพ.'!$A$2:$C$599,3,0),0)</f>
        <v>0</v>
      </c>
      <c r="E434" s="98" t="s">
        <v>1093</v>
      </c>
      <c r="F434" s="98" t="s">
        <v>41</v>
      </c>
      <c r="G434" s="335" t="s">
        <v>1105</v>
      </c>
      <c r="H434" s="93"/>
    </row>
    <row r="435" spans="1:8" ht="27.75" x14ac:dyDescent="0.65">
      <c r="A435" s="150" t="s">
        <v>613</v>
      </c>
      <c r="B435" s="150" t="s">
        <v>614</v>
      </c>
      <c r="C435" s="148">
        <f>IFERROR(VLOOKUP(A435,'งบทดลอง รพ.'!$A$2:$C$599,3,0),0)</f>
        <v>0</v>
      </c>
      <c r="E435" s="98" t="s">
        <v>1093</v>
      </c>
      <c r="F435" s="98" t="s">
        <v>41</v>
      </c>
      <c r="G435" s="335" t="s">
        <v>1105</v>
      </c>
      <c r="H435" s="93"/>
    </row>
    <row r="436" spans="1:8" ht="27.75" x14ac:dyDescent="0.65">
      <c r="A436" s="150" t="s">
        <v>615</v>
      </c>
      <c r="B436" s="150" t="s">
        <v>616</v>
      </c>
      <c r="C436" s="148">
        <f>IFERROR(VLOOKUP(A436,'งบทดลอง รพ.'!$A$2:$C$599,3,0),0)</f>
        <v>0</v>
      </c>
      <c r="E436" s="98" t="s">
        <v>1093</v>
      </c>
      <c r="F436" s="98" t="s">
        <v>41</v>
      </c>
      <c r="G436" s="335" t="s">
        <v>1105</v>
      </c>
      <c r="H436" s="93"/>
    </row>
    <row r="437" spans="1:8" ht="27.75" x14ac:dyDescent="0.65">
      <c r="A437" s="150" t="s">
        <v>617</v>
      </c>
      <c r="B437" s="150" t="s">
        <v>618</v>
      </c>
      <c r="C437" s="148">
        <f>IFERROR(VLOOKUP(A437,'งบทดลอง รพ.'!$A$2:$C$599,3,0),0)</f>
        <v>0</v>
      </c>
      <c r="E437" s="98" t="s">
        <v>1093</v>
      </c>
      <c r="F437" s="98" t="s">
        <v>41</v>
      </c>
      <c r="G437" s="335" t="s">
        <v>1105</v>
      </c>
      <c r="H437" s="93"/>
    </row>
    <row r="438" spans="1:8" ht="27.75" x14ac:dyDescent="0.65">
      <c r="A438" s="150" t="s">
        <v>619</v>
      </c>
      <c r="B438" s="150" t="s">
        <v>620</v>
      </c>
      <c r="C438" s="148">
        <f>IFERROR(VLOOKUP(A438,'งบทดลอง รพ.'!$A$2:$C$599,3,0),0)</f>
        <v>0</v>
      </c>
      <c r="E438" s="98" t="s">
        <v>1093</v>
      </c>
      <c r="F438" s="98" t="s">
        <v>41</v>
      </c>
      <c r="G438" s="335" t="s">
        <v>1105</v>
      </c>
      <c r="H438" s="93"/>
    </row>
    <row r="439" spans="1:8" ht="27.75" x14ac:dyDescent="0.65">
      <c r="A439" s="150" t="s">
        <v>621</v>
      </c>
      <c r="B439" s="150" t="s">
        <v>622</v>
      </c>
      <c r="C439" s="148">
        <f>IFERROR(VLOOKUP(A439,'งบทดลอง รพ.'!$A$2:$C$599,3,0),0)</f>
        <v>0</v>
      </c>
      <c r="E439" s="98" t="s">
        <v>1093</v>
      </c>
      <c r="F439" s="98" t="s">
        <v>41</v>
      </c>
      <c r="G439" s="335" t="s">
        <v>1105</v>
      </c>
      <c r="H439" s="93"/>
    </row>
    <row r="441" spans="1:8" x14ac:dyDescent="0.25">
      <c r="C441" s="318"/>
    </row>
  </sheetData>
  <autoFilter ref="A2:G439"/>
  <pageMargins left="0.70866141732283472" right="0.31496062992125984" top="0.55118110236220474" bottom="0.55118110236220474" header="0.31496062992125984" footer="0.31496062992125984"/>
  <pageSetup paperSize="9" scale="70" orientation="portrait" verticalDpi="300" r:id="rId1"/>
  <headerFooter>
    <oddFooter>&amp;L
Worksheet 1
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42"/>
  <sheetViews>
    <sheetView workbookViewId="0">
      <pane ySplit="1155" topLeftCell="A163" activePane="bottomLeft"/>
      <selection activeCell="D1" sqref="D1"/>
      <selection pane="bottomLeft" activeCell="C35" sqref="C35:C36"/>
    </sheetView>
  </sheetViews>
  <sheetFormatPr defaultRowHeight="21.75" x14ac:dyDescent="0.5"/>
  <cols>
    <col min="1" max="1" width="16.25" style="1" customWidth="1"/>
    <col min="2" max="2" width="72.875" style="1" customWidth="1"/>
    <col min="3" max="3" width="19.375" style="345" customWidth="1"/>
    <col min="4" max="4" width="12.875" style="431" customWidth="1"/>
    <col min="5" max="5" width="15.875" style="431" customWidth="1"/>
    <col min="6" max="9" width="19.375" style="431" customWidth="1"/>
    <col min="10" max="10" width="16.625" style="429" customWidth="1"/>
    <col min="11" max="11" width="15.75" style="431" customWidth="1"/>
    <col min="12" max="12" width="19.375" style="431" customWidth="1"/>
    <col min="13" max="13" width="19.375" style="1" customWidth="1"/>
    <col min="14" max="14" width="17.5" style="345" customWidth="1"/>
    <col min="15" max="15" width="17.75" style="345" customWidth="1"/>
    <col min="16" max="16384" width="9" style="1"/>
  </cols>
  <sheetData>
    <row r="1" spans="1:15" ht="43.5" x14ac:dyDescent="0.5">
      <c r="A1" s="389" t="s">
        <v>734</v>
      </c>
      <c r="B1" s="390" t="s">
        <v>735</v>
      </c>
      <c r="C1" s="452" t="s">
        <v>705</v>
      </c>
      <c r="D1" s="430" t="s">
        <v>1520</v>
      </c>
      <c r="E1" s="430" t="s">
        <v>1516</v>
      </c>
      <c r="F1" s="430" t="s">
        <v>1403</v>
      </c>
      <c r="G1" s="430" t="s">
        <v>1399</v>
      </c>
      <c r="H1" s="430" t="s">
        <v>1406</v>
      </c>
      <c r="I1" s="430" t="s">
        <v>1397</v>
      </c>
      <c r="J1" s="427" t="s">
        <v>1507</v>
      </c>
      <c r="K1" s="430" t="s">
        <v>1504</v>
      </c>
      <c r="L1" s="430" t="s">
        <v>1505</v>
      </c>
      <c r="M1" s="386" t="s">
        <v>1460</v>
      </c>
      <c r="N1" s="388" t="s">
        <v>1459</v>
      </c>
      <c r="O1" s="388" t="s">
        <v>1458</v>
      </c>
    </row>
    <row r="2" spans="1:15" x14ac:dyDescent="0.5">
      <c r="A2" s="349" t="s">
        <v>144</v>
      </c>
      <c r="B2" s="350" t="s">
        <v>145</v>
      </c>
      <c r="C2" s="345">
        <v>0</v>
      </c>
      <c r="J2" s="428"/>
      <c r="M2" s="44"/>
      <c r="N2" s="345">
        <v>0</v>
      </c>
      <c r="O2" s="345">
        <v>0</v>
      </c>
    </row>
    <row r="3" spans="1:15" x14ac:dyDescent="0.5">
      <c r="A3" s="349" t="s">
        <v>146</v>
      </c>
      <c r="B3" s="350" t="s">
        <v>147</v>
      </c>
      <c r="C3" s="345">
        <v>0</v>
      </c>
      <c r="J3" s="428"/>
      <c r="M3" s="44"/>
      <c r="N3" s="345">
        <v>0</v>
      </c>
      <c r="O3" s="345">
        <v>0</v>
      </c>
    </row>
    <row r="4" spans="1:15" x14ac:dyDescent="0.5">
      <c r="A4" s="349" t="s">
        <v>148</v>
      </c>
      <c r="B4" s="350" t="s">
        <v>149</v>
      </c>
      <c r="C4" s="345">
        <v>0</v>
      </c>
      <c r="J4" s="428"/>
      <c r="M4" s="44"/>
      <c r="N4" s="345">
        <v>0</v>
      </c>
      <c r="O4" s="345">
        <v>0</v>
      </c>
    </row>
    <row r="5" spans="1:15" x14ac:dyDescent="0.5">
      <c r="A5" s="349" t="s">
        <v>150</v>
      </c>
      <c r="B5" s="350" t="s">
        <v>151</v>
      </c>
      <c r="C5" s="345">
        <v>0</v>
      </c>
      <c r="J5" s="428"/>
      <c r="M5" s="44"/>
      <c r="N5" s="345">
        <v>0</v>
      </c>
      <c r="O5" s="345">
        <v>0</v>
      </c>
    </row>
    <row r="6" spans="1:15" x14ac:dyDescent="0.5">
      <c r="A6" s="349" t="s">
        <v>152</v>
      </c>
      <c r="B6" s="350" t="s">
        <v>1106</v>
      </c>
      <c r="C6" s="345">
        <v>0</v>
      </c>
      <c r="J6" s="428"/>
      <c r="M6" s="44"/>
      <c r="N6" s="345">
        <v>0</v>
      </c>
      <c r="O6" s="345">
        <v>0</v>
      </c>
    </row>
    <row r="7" spans="1:15" x14ac:dyDescent="0.5">
      <c r="A7" s="349" t="s">
        <v>153</v>
      </c>
      <c r="B7" s="350" t="s">
        <v>154</v>
      </c>
      <c r="C7" s="345">
        <v>0</v>
      </c>
      <c r="J7" s="428"/>
      <c r="M7" s="44"/>
      <c r="N7" s="345">
        <v>0</v>
      </c>
      <c r="O7" s="345">
        <v>0</v>
      </c>
    </row>
    <row r="8" spans="1:15" x14ac:dyDescent="0.5">
      <c r="A8" s="349" t="s">
        <v>155</v>
      </c>
      <c r="B8" s="350" t="s">
        <v>177</v>
      </c>
      <c r="C8" s="345">
        <v>0</v>
      </c>
      <c r="J8" s="428"/>
      <c r="M8" s="44"/>
      <c r="N8" s="345">
        <v>0</v>
      </c>
      <c r="O8" s="345">
        <v>0</v>
      </c>
    </row>
    <row r="9" spans="1:15" x14ac:dyDescent="0.5">
      <c r="A9" s="349" t="s">
        <v>156</v>
      </c>
      <c r="B9" s="350" t="s">
        <v>179</v>
      </c>
      <c r="C9" s="345">
        <v>0</v>
      </c>
      <c r="J9" s="428"/>
      <c r="M9" s="44"/>
      <c r="N9" s="345">
        <v>0</v>
      </c>
      <c r="O9" s="345">
        <v>0</v>
      </c>
    </row>
    <row r="10" spans="1:15" x14ac:dyDescent="0.5">
      <c r="A10" s="349" t="s">
        <v>157</v>
      </c>
      <c r="B10" s="350" t="s">
        <v>158</v>
      </c>
      <c r="C10" s="345">
        <v>0</v>
      </c>
      <c r="J10" s="428"/>
      <c r="M10" s="44"/>
      <c r="N10" s="345">
        <v>0</v>
      </c>
      <c r="O10" s="345">
        <v>0</v>
      </c>
    </row>
    <row r="11" spans="1:15" x14ac:dyDescent="0.5">
      <c r="A11" s="349" t="s">
        <v>159</v>
      </c>
      <c r="B11" s="350" t="s">
        <v>160</v>
      </c>
      <c r="C11" s="345">
        <v>0</v>
      </c>
      <c r="J11" s="428"/>
      <c r="M11" s="44"/>
      <c r="N11" s="345">
        <v>0</v>
      </c>
      <c r="O11" s="345">
        <v>0</v>
      </c>
    </row>
    <row r="12" spans="1:15" x14ac:dyDescent="0.5">
      <c r="A12" s="349" t="s">
        <v>117</v>
      </c>
      <c r="B12" s="350" t="s">
        <v>118</v>
      </c>
      <c r="C12" s="345">
        <v>0</v>
      </c>
      <c r="J12" s="428"/>
      <c r="M12" s="44"/>
      <c r="N12" s="345">
        <v>0</v>
      </c>
      <c r="O12" s="345">
        <v>0</v>
      </c>
    </row>
    <row r="13" spans="1:15" x14ac:dyDescent="0.5">
      <c r="A13" s="349" t="s">
        <v>119</v>
      </c>
      <c r="B13" s="350" t="s">
        <v>120</v>
      </c>
      <c r="C13" s="345">
        <v>0</v>
      </c>
      <c r="J13" s="428"/>
      <c r="M13" s="44"/>
      <c r="N13" s="345">
        <v>0</v>
      </c>
      <c r="O13" s="345">
        <v>0</v>
      </c>
    </row>
    <row r="14" spans="1:15" x14ac:dyDescent="0.5">
      <c r="A14" s="349" t="s">
        <v>829</v>
      </c>
      <c r="B14" s="350" t="s">
        <v>122</v>
      </c>
      <c r="C14" s="345">
        <v>0</v>
      </c>
      <c r="J14" s="428"/>
      <c r="M14" s="44"/>
      <c r="N14" s="345">
        <v>0</v>
      </c>
      <c r="O14" s="345">
        <v>0</v>
      </c>
    </row>
    <row r="15" spans="1:15" x14ac:dyDescent="0.5">
      <c r="A15" s="349" t="s">
        <v>830</v>
      </c>
      <c r="B15" s="350" t="s">
        <v>123</v>
      </c>
      <c r="C15" s="345">
        <v>0</v>
      </c>
      <c r="J15" s="428"/>
      <c r="M15" s="44"/>
      <c r="N15" s="345">
        <v>0</v>
      </c>
      <c r="O15" s="345">
        <v>0</v>
      </c>
    </row>
    <row r="16" spans="1:15" x14ac:dyDescent="0.5">
      <c r="A16" s="349" t="s">
        <v>831</v>
      </c>
      <c r="B16" s="350" t="s">
        <v>832</v>
      </c>
      <c r="C16" s="345">
        <v>0</v>
      </c>
      <c r="J16" s="428"/>
      <c r="M16" s="44"/>
      <c r="N16" s="345">
        <v>0</v>
      </c>
      <c r="O16" s="345">
        <v>0</v>
      </c>
    </row>
    <row r="17" spans="1:15" x14ac:dyDescent="0.5">
      <c r="A17" s="349" t="s">
        <v>124</v>
      </c>
      <c r="B17" s="350" t="s">
        <v>125</v>
      </c>
      <c r="C17" s="345">
        <v>0</v>
      </c>
      <c r="J17" s="428"/>
      <c r="M17" s="44"/>
      <c r="N17" s="345">
        <v>0</v>
      </c>
      <c r="O17" s="345">
        <v>0</v>
      </c>
    </row>
    <row r="18" spans="1:15" x14ac:dyDescent="0.5">
      <c r="A18" s="349" t="s">
        <v>126</v>
      </c>
      <c r="B18" s="350" t="s">
        <v>127</v>
      </c>
      <c r="C18" s="345">
        <v>0</v>
      </c>
      <c r="J18" s="428"/>
      <c r="M18" s="44"/>
      <c r="N18" s="345">
        <v>0</v>
      </c>
      <c r="O18" s="345">
        <v>3060</v>
      </c>
    </row>
    <row r="19" spans="1:15" x14ac:dyDescent="0.5">
      <c r="A19" s="349" t="s">
        <v>833</v>
      </c>
      <c r="B19" s="350" t="s">
        <v>121</v>
      </c>
      <c r="C19" s="345">
        <v>0</v>
      </c>
      <c r="J19" s="428"/>
      <c r="M19" s="44"/>
      <c r="N19" s="345">
        <v>0</v>
      </c>
      <c r="O19" s="345">
        <v>0</v>
      </c>
    </row>
    <row r="20" spans="1:15" x14ac:dyDescent="0.5">
      <c r="A20" s="349" t="s">
        <v>834</v>
      </c>
      <c r="B20" s="350" t="s">
        <v>84</v>
      </c>
      <c r="C20" s="345">
        <v>73000</v>
      </c>
      <c r="J20" s="428"/>
      <c r="M20" s="44"/>
      <c r="N20" s="345">
        <v>29260</v>
      </c>
      <c r="O20" s="345">
        <v>29260</v>
      </c>
    </row>
    <row r="21" spans="1:15" x14ac:dyDescent="0.5">
      <c r="A21" s="349" t="s">
        <v>835</v>
      </c>
      <c r="B21" s="350" t="s">
        <v>836</v>
      </c>
      <c r="C21" s="345">
        <v>300000</v>
      </c>
      <c r="J21" s="428"/>
      <c r="M21" s="44"/>
      <c r="N21" s="345">
        <v>300000</v>
      </c>
      <c r="O21" s="345">
        <v>300000</v>
      </c>
    </row>
    <row r="22" spans="1:15" x14ac:dyDescent="0.5">
      <c r="A22" s="349" t="s">
        <v>837</v>
      </c>
      <c r="B22" s="350" t="s">
        <v>838</v>
      </c>
      <c r="C22" s="345">
        <v>5200000</v>
      </c>
      <c r="J22" s="428"/>
      <c r="M22" s="44"/>
      <c r="N22" s="345">
        <v>5200000</v>
      </c>
      <c r="O22" s="345">
        <v>2900000</v>
      </c>
    </row>
    <row r="23" spans="1:15" x14ac:dyDescent="0.5">
      <c r="A23" s="349" t="s">
        <v>76</v>
      </c>
      <c r="B23" s="350" t="s">
        <v>1108</v>
      </c>
      <c r="C23" s="345">
        <v>20000</v>
      </c>
      <c r="J23" s="428"/>
      <c r="M23" s="44"/>
      <c r="N23" s="345">
        <v>20000</v>
      </c>
      <c r="O23" s="345">
        <v>10000</v>
      </c>
    </row>
    <row r="24" spans="1:15" x14ac:dyDescent="0.5">
      <c r="A24" s="349" t="s">
        <v>77</v>
      </c>
      <c r="B24" s="350" t="s">
        <v>1109</v>
      </c>
      <c r="C24" s="345">
        <v>0</v>
      </c>
      <c r="J24" s="428"/>
      <c r="M24" s="44"/>
      <c r="N24" s="345">
        <v>0</v>
      </c>
      <c r="O24" s="345">
        <v>150000</v>
      </c>
    </row>
    <row r="25" spans="1:15" x14ac:dyDescent="0.5">
      <c r="A25" s="349" t="s">
        <v>128</v>
      </c>
      <c r="B25" s="350" t="s">
        <v>1110</v>
      </c>
      <c r="C25" s="345">
        <v>3200000</v>
      </c>
      <c r="J25" s="428"/>
      <c r="M25" s="44"/>
      <c r="N25" s="345">
        <v>3000000</v>
      </c>
      <c r="O25" s="345">
        <v>3000000</v>
      </c>
    </row>
    <row r="26" spans="1:15" x14ac:dyDescent="0.5">
      <c r="A26" s="349" t="s">
        <v>129</v>
      </c>
      <c r="B26" s="350" t="s">
        <v>1111</v>
      </c>
      <c r="C26" s="345">
        <v>2000000</v>
      </c>
      <c r="J26" s="428"/>
      <c r="M26" s="44"/>
      <c r="N26" s="345">
        <v>3000000</v>
      </c>
      <c r="O26" s="345">
        <v>5500000</v>
      </c>
    </row>
    <row r="27" spans="1:15" x14ac:dyDescent="0.5">
      <c r="A27" s="349" t="s">
        <v>85</v>
      </c>
      <c r="B27" s="350" t="s">
        <v>1112</v>
      </c>
      <c r="C27" s="345">
        <v>3832585</v>
      </c>
      <c r="J27" s="428"/>
      <c r="M27" s="44"/>
      <c r="N27" s="345">
        <v>2640000</v>
      </c>
      <c r="O27" s="345">
        <v>2500000</v>
      </c>
    </row>
    <row r="28" spans="1:15" x14ac:dyDescent="0.5">
      <c r="A28" s="349" t="s">
        <v>86</v>
      </c>
      <c r="B28" s="350" t="s">
        <v>1113</v>
      </c>
      <c r="C28" s="345">
        <v>1625000</v>
      </c>
      <c r="J28" s="428"/>
      <c r="M28" s="44"/>
      <c r="N28" s="345">
        <v>1500000</v>
      </c>
      <c r="O28" s="345">
        <v>1500000</v>
      </c>
    </row>
    <row r="29" spans="1:15" x14ac:dyDescent="0.5">
      <c r="A29" s="349" t="s">
        <v>87</v>
      </c>
      <c r="B29" s="350" t="s">
        <v>88</v>
      </c>
      <c r="C29" s="345">
        <v>-135000</v>
      </c>
      <c r="J29" s="428"/>
      <c r="M29" s="44"/>
      <c r="N29" s="345">
        <v>-57000</v>
      </c>
      <c r="O29" s="345">
        <v>-57000</v>
      </c>
    </row>
    <row r="30" spans="1:15" x14ac:dyDescent="0.5">
      <c r="A30" s="349" t="s">
        <v>89</v>
      </c>
      <c r="B30" s="350" t="s">
        <v>90</v>
      </c>
      <c r="C30" s="345">
        <v>298000</v>
      </c>
      <c r="J30" s="428"/>
      <c r="M30" s="44"/>
      <c r="N30" s="345">
        <v>36000</v>
      </c>
      <c r="O30" s="345">
        <v>36000</v>
      </c>
    </row>
    <row r="31" spans="1:15" x14ac:dyDescent="0.5">
      <c r="A31" s="349" t="s">
        <v>130</v>
      </c>
      <c r="B31" s="350" t="s">
        <v>1114</v>
      </c>
      <c r="C31" s="345">
        <v>120000</v>
      </c>
      <c r="J31" s="428"/>
      <c r="M31" s="44"/>
      <c r="O31" s="345">
        <v>100000</v>
      </c>
    </row>
    <row r="32" spans="1:15" x14ac:dyDescent="0.5">
      <c r="A32" s="349" t="s">
        <v>131</v>
      </c>
      <c r="B32" s="350" t="s">
        <v>1115</v>
      </c>
      <c r="C32" s="345">
        <v>350000</v>
      </c>
      <c r="J32" s="428"/>
      <c r="M32" s="44"/>
      <c r="O32" s="345">
        <v>150000</v>
      </c>
    </row>
    <row r="33" spans="1:15" x14ac:dyDescent="0.5">
      <c r="A33" s="349" t="s">
        <v>78</v>
      </c>
      <c r="B33" s="350" t="s">
        <v>1116</v>
      </c>
      <c r="C33" s="345">
        <v>323000</v>
      </c>
      <c r="J33" s="428"/>
      <c r="M33" s="44"/>
      <c r="N33" s="345">
        <v>245000</v>
      </c>
      <c r="O33" s="345">
        <v>216000</v>
      </c>
    </row>
    <row r="34" spans="1:15" x14ac:dyDescent="0.5">
      <c r="A34" s="349" t="s">
        <v>79</v>
      </c>
      <c r="B34" s="350" t="s">
        <v>1117</v>
      </c>
      <c r="C34" s="345">
        <v>85000</v>
      </c>
      <c r="J34" s="428"/>
      <c r="M34" s="44"/>
      <c r="N34" s="345">
        <v>60000</v>
      </c>
      <c r="O34" s="345">
        <v>250000</v>
      </c>
    </row>
    <row r="35" spans="1:15" x14ac:dyDescent="0.5">
      <c r="A35" s="349" t="s">
        <v>80</v>
      </c>
      <c r="B35" s="350" t="s">
        <v>81</v>
      </c>
      <c r="C35" s="345">
        <v>-30000</v>
      </c>
      <c r="J35" s="428"/>
      <c r="M35" s="44"/>
      <c r="N35" s="345">
        <v>-36000</v>
      </c>
      <c r="O35" s="345">
        <v>-4000</v>
      </c>
    </row>
    <row r="36" spans="1:15" x14ac:dyDescent="0.5">
      <c r="A36" s="349" t="s">
        <v>82</v>
      </c>
      <c r="B36" s="350" t="s">
        <v>83</v>
      </c>
      <c r="C36" s="345">
        <v>9000</v>
      </c>
      <c r="J36" s="428"/>
      <c r="M36" s="44"/>
      <c r="N36" s="345">
        <v>17037</v>
      </c>
      <c r="O36" s="345">
        <v>2100</v>
      </c>
    </row>
    <row r="37" spans="1:15" x14ac:dyDescent="0.5">
      <c r="A37" s="349" t="s">
        <v>839</v>
      </c>
      <c r="B37" s="350" t="s">
        <v>840</v>
      </c>
      <c r="C37" s="345">
        <v>32000</v>
      </c>
      <c r="J37" s="428"/>
      <c r="M37" s="44"/>
      <c r="N37" s="345">
        <v>27000</v>
      </c>
      <c r="O37" s="345">
        <v>32000</v>
      </c>
    </row>
    <row r="38" spans="1:15" x14ac:dyDescent="0.5">
      <c r="A38" s="349" t="s">
        <v>841</v>
      </c>
      <c r="B38" s="350" t="s">
        <v>842</v>
      </c>
      <c r="C38" s="345">
        <v>31000</v>
      </c>
      <c r="J38" s="428"/>
      <c r="M38" s="44"/>
      <c r="N38" s="345">
        <v>20000</v>
      </c>
      <c r="O38" s="345">
        <v>45000</v>
      </c>
    </row>
    <row r="39" spans="1:15" x14ac:dyDescent="0.5">
      <c r="A39" s="349" t="s">
        <v>843</v>
      </c>
      <c r="B39" s="350" t="s">
        <v>844</v>
      </c>
      <c r="C39" s="345">
        <v>0</v>
      </c>
      <c r="J39" s="428"/>
      <c r="M39" s="44"/>
      <c r="N39" s="345">
        <v>-4500</v>
      </c>
      <c r="O39" s="345">
        <v>-4500</v>
      </c>
    </row>
    <row r="40" spans="1:15" x14ac:dyDescent="0.5">
      <c r="A40" s="349" t="s">
        <v>845</v>
      </c>
      <c r="B40" s="350" t="s">
        <v>846</v>
      </c>
      <c r="C40" s="345">
        <v>0</v>
      </c>
      <c r="J40" s="428"/>
      <c r="M40" s="44"/>
      <c r="N40" s="345">
        <v>3000</v>
      </c>
      <c r="O40" s="345">
        <v>3000</v>
      </c>
    </row>
    <row r="41" spans="1:15" x14ac:dyDescent="0.5">
      <c r="A41" s="349" t="s">
        <v>847</v>
      </c>
      <c r="B41" s="350" t="s">
        <v>848</v>
      </c>
      <c r="C41" s="345">
        <v>0</v>
      </c>
      <c r="J41" s="428"/>
      <c r="M41" s="44"/>
      <c r="N41" s="345">
        <v>0</v>
      </c>
      <c r="O41" s="345">
        <v>0</v>
      </c>
    </row>
    <row r="42" spans="1:15" x14ac:dyDescent="0.5">
      <c r="A42" s="349" t="s">
        <v>849</v>
      </c>
      <c r="B42" s="350" t="s">
        <v>850</v>
      </c>
      <c r="C42" s="345">
        <v>0</v>
      </c>
      <c r="J42" s="428"/>
      <c r="M42" s="44"/>
      <c r="N42" s="345">
        <v>0</v>
      </c>
      <c r="O42" s="345">
        <v>0</v>
      </c>
    </row>
    <row r="43" spans="1:15" x14ac:dyDescent="0.5">
      <c r="A43" s="349" t="s">
        <v>851</v>
      </c>
      <c r="B43" s="350" t="s">
        <v>852</v>
      </c>
      <c r="C43" s="345">
        <v>0</v>
      </c>
      <c r="J43" s="428"/>
      <c r="M43" s="44"/>
      <c r="N43" s="345">
        <v>0</v>
      </c>
      <c r="O43" s="345">
        <v>0</v>
      </c>
    </row>
    <row r="44" spans="1:15" x14ac:dyDescent="0.5">
      <c r="A44" s="349" t="s">
        <v>853</v>
      </c>
      <c r="B44" s="350" t="s">
        <v>854</v>
      </c>
      <c r="C44" s="345">
        <v>0</v>
      </c>
      <c r="J44" s="428"/>
      <c r="M44" s="44"/>
      <c r="N44" s="345">
        <v>0</v>
      </c>
      <c r="O44" s="345">
        <v>0</v>
      </c>
    </row>
    <row r="45" spans="1:15" x14ac:dyDescent="0.5">
      <c r="A45" s="349" t="s">
        <v>45</v>
      </c>
      <c r="B45" s="350" t="s">
        <v>1118</v>
      </c>
      <c r="C45" s="345">
        <v>25000000</v>
      </c>
      <c r="J45" s="428"/>
      <c r="M45" s="44"/>
      <c r="N45" s="345">
        <v>25000000</v>
      </c>
      <c r="O45" s="345">
        <v>25000000</v>
      </c>
    </row>
    <row r="46" spans="1:15" x14ac:dyDescent="0.5">
      <c r="A46" s="349" t="s">
        <v>46</v>
      </c>
      <c r="B46" s="350" t="s">
        <v>1119</v>
      </c>
      <c r="C46" s="345">
        <v>10378000</v>
      </c>
      <c r="J46" s="428"/>
      <c r="M46" s="44"/>
      <c r="N46" s="345">
        <v>10278035.800000001</v>
      </c>
      <c r="O46" s="345">
        <v>10278035.800000001</v>
      </c>
    </row>
    <row r="47" spans="1:15" x14ac:dyDescent="0.5">
      <c r="A47" s="349" t="s">
        <v>47</v>
      </c>
      <c r="B47" s="350" t="s">
        <v>1120</v>
      </c>
      <c r="C47" s="345">
        <v>120000</v>
      </c>
      <c r="J47" s="428"/>
      <c r="M47" s="44"/>
      <c r="N47" s="345">
        <v>85000</v>
      </c>
      <c r="O47" s="345">
        <v>85000</v>
      </c>
    </row>
    <row r="48" spans="1:15" x14ac:dyDescent="0.5">
      <c r="A48" s="349" t="s">
        <v>48</v>
      </c>
      <c r="B48" s="350" t="s">
        <v>1121</v>
      </c>
      <c r="C48" s="345">
        <v>0</v>
      </c>
      <c r="J48" s="428"/>
      <c r="M48" s="44"/>
      <c r="N48" s="345">
        <v>0</v>
      </c>
      <c r="O48" s="345">
        <v>0</v>
      </c>
    </row>
    <row r="49" spans="1:15" ht="22.5" thickBot="1" x14ac:dyDescent="0.55000000000000004">
      <c r="A49" s="349" t="s">
        <v>49</v>
      </c>
      <c r="B49" s="350" t="s">
        <v>1122</v>
      </c>
      <c r="C49" s="345">
        <v>0</v>
      </c>
      <c r="J49" s="428"/>
      <c r="M49" s="44"/>
      <c r="N49" s="345">
        <v>6000</v>
      </c>
      <c r="O49" s="345">
        <v>6000</v>
      </c>
    </row>
    <row r="50" spans="1:15" x14ac:dyDescent="0.5">
      <c r="A50" s="349" t="s">
        <v>215</v>
      </c>
      <c r="B50" s="350" t="s">
        <v>216</v>
      </c>
      <c r="C50" s="345">
        <v>3556759.27</v>
      </c>
      <c r="D50" s="431">
        <v>3556759.27</v>
      </c>
      <c r="F50" s="454" t="s">
        <v>1513</v>
      </c>
      <c r="J50" s="428"/>
      <c r="M50" s="44"/>
      <c r="N50" s="345">
        <v>3040556.04</v>
      </c>
      <c r="O50" s="345">
        <v>3040556.04</v>
      </c>
    </row>
    <row r="51" spans="1:15" ht="22.5" thickBot="1" x14ac:dyDescent="0.55000000000000004">
      <c r="A51" s="349" t="s">
        <v>50</v>
      </c>
      <c r="B51" s="350" t="s">
        <v>1123</v>
      </c>
      <c r="C51" s="453">
        <f>36693195.83-F51</f>
        <v>19808691.157499999</v>
      </c>
      <c r="F51" s="455">
        <v>16884504.672499999</v>
      </c>
      <c r="J51" s="428"/>
      <c r="M51" s="44"/>
      <c r="N51" s="345">
        <v>28767562.129999999</v>
      </c>
      <c r="O51" s="345">
        <v>28767562.129999999</v>
      </c>
    </row>
    <row r="52" spans="1:15" x14ac:dyDescent="0.5">
      <c r="A52" s="349" t="s">
        <v>51</v>
      </c>
      <c r="B52" s="350" t="s">
        <v>1124</v>
      </c>
      <c r="C52" s="453">
        <v>0</v>
      </c>
      <c r="J52" s="428"/>
      <c r="M52" s="44"/>
      <c r="N52" s="345">
        <v>46226.01</v>
      </c>
      <c r="O52" s="345">
        <v>46226.01</v>
      </c>
    </row>
    <row r="53" spans="1:15" x14ac:dyDescent="0.5">
      <c r="A53" s="349" t="s">
        <v>52</v>
      </c>
      <c r="B53" s="350" t="s">
        <v>1125</v>
      </c>
      <c r="C53" s="345">
        <v>7449021.6299999999</v>
      </c>
      <c r="J53" s="428"/>
      <c r="M53" s="44"/>
      <c r="N53" s="345">
        <v>8529167.2799999993</v>
      </c>
      <c r="O53" s="345">
        <v>7868086.75</v>
      </c>
    </row>
    <row r="54" spans="1:15" x14ac:dyDescent="0.5">
      <c r="A54" s="349" t="s">
        <v>53</v>
      </c>
      <c r="B54" s="350" t="s">
        <v>54</v>
      </c>
      <c r="C54" s="345">
        <v>1083815.5</v>
      </c>
      <c r="J54" s="428"/>
      <c r="M54" s="44"/>
      <c r="N54" s="345">
        <v>440000</v>
      </c>
      <c r="O54" s="345">
        <v>440000</v>
      </c>
    </row>
    <row r="55" spans="1:15" x14ac:dyDescent="0.5">
      <c r="A55" s="349" t="s">
        <v>55</v>
      </c>
      <c r="B55" s="350" t="s">
        <v>1126</v>
      </c>
      <c r="C55" s="345">
        <v>0</v>
      </c>
      <c r="J55" s="428"/>
      <c r="M55" s="44"/>
      <c r="N55" s="345">
        <v>788088.55</v>
      </c>
      <c r="O55" s="345">
        <v>788088.55</v>
      </c>
    </row>
    <row r="56" spans="1:15" x14ac:dyDescent="0.5">
      <c r="A56" s="349" t="s">
        <v>56</v>
      </c>
      <c r="B56" s="350" t="s">
        <v>57</v>
      </c>
      <c r="C56" s="345">
        <v>504008.61</v>
      </c>
      <c r="J56" s="428"/>
      <c r="M56" s="44"/>
      <c r="N56" s="345">
        <v>635858.61</v>
      </c>
      <c r="O56" s="345">
        <v>300000</v>
      </c>
    </row>
    <row r="57" spans="1:15" x14ac:dyDescent="0.5">
      <c r="A57" s="349" t="s">
        <v>58</v>
      </c>
      <c r="B57" s="350" t="s">
        <v>1127</v>
      </c>
      <c r="C57" s="345">
        <v>0</v>
      </c>
      <c r="J57" s="428"/>
      <c r="M57" s="44"/>
      <c r="N57" s="345">
        <v>0</v>
      </c>
      <c r="O57" s="345">
        <v>0</v>
      </c>
    </row>
    <row r="58" spans="1:15" x14ac:dyDescent="0.5">
      <c r="A58" s="349" t="s">
        <v>59</v>
      </c>
      <c r="B58" s="350" t="s">
        <v>1128</v>
      </c>
      <c r="C58" s="345">
        <v>-282174.12</v>
      </c>
      <c r="J58" s="428"/>
      <c r="M58" s="44"/>
      <c r="N58" s="345">
        <v>-1600000</v>
      </c>
      <c r="O58" s="345">
        <v>-1600000</v>
      </c>
    </row>
    <row r="59" spans="1:15" x14ac:dyDescent="0.5">
      <c r="A59" s="349" t="s">
        <v>60</v>
      </c>
      <c r="B59" s="350" t="s">
        <v>1129</v>
      </c>
      <c r="C59" s="345">
        <v>1363220.11</v>
      </c>
      <c r="J59" s="428"/>
      <c r="M59" s="44"/>
      <c r="N59" s="345">
        <v>800000</v>
      </c>
      <c r="O59" s="345">
        <v>800000</v>
      </c>
    </row>
    <row r="60" spans="1:15" x14ac:dyDescent="0.5">
      <c r="A60" s="349" t="s">
        <v>61</v>
      </c>
      <c r="B60" s="350" t="s">
        <v>1130</v>
      </c>
      <c r="C60" s="345">
        <v>-37844</v>
      </c>
      <c r="J60" s="428"/>
      <c r="M60" s="44"/>
      <c r="N60" s="345">
        <v>-10000</v>
      </c>
      <c r="O60" s="345">
        <v>-10000</v>
      </c>
    </row>
    <row r="61" spans="1:15" x14ac:dyDescent="0.5">
      <c r="A61" s="349" t="s">
        <v>62</v>
      </c>
      <c r="B61" s="350" t="s">
        <v>1131</v>
      </c>
      <c r="C61" s="345">
        <v>363082.67</v>
      </c>
      <c r="J61" s="428"/>
      <c r="M61" s="44"/>
      <c r="N61" s="345">
        <v>500000</v>
      </c>
      <c r="O61" s="345">
        <v>500000</v>
      </c>
    </row>
    <row r="62" spans="1:15" x14ac:dyDescent="0.5">
      <c r="A62" s="349" t="s">
        <v>63</v>
      </c>
      <c r="B62" s="350" t="s">
        <v>1132</v>
      </c>
      <c r="C62" s="345">
        <v>94036</v>
      </c>
      <c r="J62" s="428"/>
      <c r="M62" s="44"/>
      <c r="N62" s="345">
        <v>105000</v>
      </c>
      <c r="O62" s="345">
        <v>105000</v>
      </c>
    </row>
    <row r="63" spans="1:15" x14ac:dyDescent="0.5">
      <c r="A63" s="349" t="s">
        <v>64</v>
      </c>
      <c r="B63" s="350" t="s">
        <v>65</v>
      </c>
      <c r="C63" s="453">
        <v>0</v>
      </c>
      <c r="J63" s="428"/>
      <c r="M63" s="44"/>
      <c r="N63" s="345">
        <v>5656697.0999999996</v>
      </c>
      <c r="O63" s="345">
        <v>5656697.0999999996</v>
      </c>
    </row>
    <row r="64" spans="1:15" x14ac:dyDescent="0.5">
      <c r="A64" s="349" t="s">
        <v>66</v>
      </c>
      <c r="B64" s="350" t="s">
        <v>67</v>
      </c>
      <c r="C64" s="453">
        <v>0</v>
      </c>
      <c r="J64" s="428"/>
      <c r="M64" s="44"/>
      <c r="N64" s="345">
        <v>1350529.18</v>
      </c>
      <c r="O64" s="345">
        <v>0</v>
      </c>
    </row>
    <row r="65" spans="1:15" x14ac:dyDescent="0.5">
      <c r="A65" s="349" t="s">
        <v>68</v>
      </c>
      <c r="B65" s="350" t="s">
        <v>1133</v>
      </c>
      <c r="C65" s="345">
        <v>565330</v>
      </c>
      <c r="J65" s="428"/>
      <c r="M65" s="44"/>
      <c r="N65" s="345">
        <v>242000</v>
      </c>
      <c r="O65" s="345">
        <v>375000</v>
      </c>
    </row>
    <row r="66" spans="1:15" x14ac:dyDescent="0.5">
      <c r="A66" s="349" t="s">
        <v>69</v>
      </c>
      <c r="B66" s="350" t="s">
        <v>1134</v>
      </c>
      <c r="C66" s="345">
        <v>650000</v>
      </c>
      <c r="J66" s="428"/>
      <c r="M66" s="44"/>
      <c r="N66" s="345">
        <v>772000</v>
      </c>
      <c r="O66" s="345">
        <v>1315000</v>
      </c>
    </row>
    <row r="67" spans="1:15" x14ac:dyDescent="0.5">
      <c r="A67" s="349" t="s">
        <v>70</v>
      </c>
      <c r="B67" s="350" t="s">
        <v>1135</v>
      </c>
      <c r="C67" s="345">
        <v>0</v>
      </c>
      <c r="J67" s="428"/>
      <c r="M67" s="44"/>
      <c r="N67" s="345">
        <v>323000</v>
      </c>
      <c r="O67" s="345">
        <v>188000</v>
      </c>
    </row>
    <row r="68" spans="1:15" x14ac:dyDescent="0.5">
      <c r="A68" s="349" t="s">
        <v>71</v>
      </c>
      <c r="B68" s="350" t="s">
        <v>1136</v>
      </c>
      <c r="C68" s="345">
        <v>0</v>
      </c>
      <c r="J68" s="428"/>
      <c r="M68" s="44"/>
      <c r="N68" s="345">
        <v>0</v>
      </c>
      <c r="O68" s="345">
        <v>0</v>
      </c>
    </row>
    <row r="69" spans="1:15" x14ac:dyDescent="0.5">
      <c r="A69" s="349" t="s">
        <v>72</v>
      </c>
      <c r="B69" s="350" t="s">
        <v>1137</v>
      </c>
      <c r="C69" s="345">
        <v>0</v>
      </c>
      <c r="J69" s="428"/>
      <c r="M69" s="44"/>
      <c r="N69" s="345">
        <v>0</v>
      </c>
      <c r="O69" s="345">
        <v>0</v>
      </c>
    </row>
    <row r="70" spans="1:15" x14ac:dyDescent="0.5">
      <c r="A70" s="349" t="s">
        <v>73</v>
      </c>
      <c r="B70" s="350" t="s">
        <v>1138</v>
      </c>
      <c r="C70" s="345">
        <v>0</v>
      </c>
      <c r="J70" s="428"/>
      <c r="M70" s="44"/>
      <c r="N70" s="345">
        <v>0</v>
      </c>
      <c r="O70" s="345">
        <v>0</v>
      </c>
    </row>
    <row r="71" spans="1:15" x14ac:dyDescent="0.5">
      <c r="A71" s="349" t="s">
        <v>74</v>
      </c>
      <c r="B71" s="350" t="s">
        <v>1139</v>
      </c>
      <c r="C71" s="345">
        <v>-10000</v>
      </c>
      <c r="J71" s="428"/>
      <c r="M71" s="44"/>
      <c r="N71" s="345">
        <v>-6000</v>
      </c>
      <c r="O71" s="345">
        <v>-6000</v>
      </c>
    </row>
    <row r="72" spans="1:15" x14ac:dyDescent="0.5">
      <c r="A72" s="349" t="s">
        <v>75</v>
      </c>
      <c r="B72" s="350" t="s">
        <v>1140</v>
      </c>
      <c r="C72" s="345">
        <v>8700</v>
      </c>
      <c r="J72" s="428"/>
      <c r="M72" s="44"/>
      <c r="N72" s="345">
        <v>8700</v>
      </c>
      <c r="O72" s="345">
        <v>8700</v>
      </c>
    </row>
    <row r="73" spans="1:15" x14ac:dyDescent="0.5">
      <c r="A73" s="349" t="s">
        <v>855</v>
      </c>
      <c r="B73" s="350" t="s">
        <v>856</v>
      </c>
      <c r="C73" s="345">
        <v>0</v>
      </c>
      <c r="J73" s="428"/>
      <c r="M73" s="44"/>
      <c r="N73" s="345">
        <v>0</v>
      </c>
      <c r="O73" s="345">
        <v>0</v>
      </c>
    </row>
    <row r="74" spans="1:15" x14ac:dyDescent="0.5">
      <c r="A74" s="349" t="s">
        <v>857</v>
      </c>
      <c r="B74" s="350" t="s">
        <v>858</v>
      </c>
      <c r="C74" s="345">
        <v>0</v>
      </c>
      <c r="J74" s="428"/>
      <c r="M74" s="44"/>
      <c r="N74" s="345">
        <v>0</v>
      </c>
      <c r="O74" s="345">
        <v>0</v>
      </c>
    </row>
    <row r="75" spans="1:15" x14ac:dyDescent="0.5">
      <c r="A75" s="349" t="s">
        <v>859</v>
      </c>
      <c r="B75" s="350" t="s">
        <v>860</v>
      </c>
      <c r="C75" s="345">
        <v>0</v>
      </c>
      <c r="J75" s="428"/>
      <c r="M75" s="44"/>
      <c r="N75" s="345">
        <v>0</v>
      </c>
      <c r="O75" s="345">
        <v>0</v>
      </c>
    </row>
    <row r="76" spans="1:15" x14ac:dyDescent="0.5">
      <c r="A76" s="349" t="s">
        <v>861</v>
      </c>
      <c r="B76" s="350" t="s">
        <v>862</v>
      </c>
      <c r="C76" s="345">
        <v>0</v>
      </c>
      <c r="J76" s="428"/>
      <c r="M76" s="44"/>
      <c r="N76" s="345">
        <v>0</v>
      </c>
      <c r="O76" s="345">
        <v>0</v>
      </c>
    </row>
    <row r="77" spans="1:15" x14ac:dyDescent="0.5">
      <c r="A77" s="349" t="s">
        <v>863</v>
      </c>
      <c r="B77" s="350" t="s">
        <v>864</v>
      </c>
      <c r="C77" s="345">
        <v>0</v>
      </c>
      <c r="J77" s="428"/>
      <c r="M77" s="44"/>
      <c r="N77" s="345">
        <v>0</v>
      </c>
      <c r="O77" s="345">
        <v>0</v>
      </c>
    </row>
    <row r="78" spans="1:15" x14ac:dyDescent="0.5">
      <c r="A78" s="349" t="s">
        <v>865</v>
      </c>
      <c r="B78" s="350" t="s">
        <v>1351</v>
      </c>
      <c r="C78" s="345">
        <v>0</v>
      </c>
      <c r="J78" s="428"/>
      <c r="M78" s="44"/>
      <c r="N78" s="345">
        <v>0</v>
      </c>
      <c r="O78" s="345">
        <v>0</v>
      </c>
    </row>
    <row r="79" spans="1:15" x14ac:dyDescent="0.5">
      <c r="A79" s="349" t="s">
        <v>867</v>
      </c>
      <c r="B79" s="350" t="s">
        <v>1352</v>
      </c>
      <c r="C79" s="345">
        <v>0</v>
      </c>
      <c r="J79" s="428"/>
      <c r="M79" s="44"/>
      <c r="N79" s="345">
        <v>0</v>
      </c>
      <c r="O79" s="345">
        <v>0</v>
      </c>
    </row>
    <row r="80" spans="1:15" x14ac:dyDescent="0.5">
      <c r="A80" s="349" t="s">
        <v>816</v>
      </c>
      <c r="B80" s="350" t="s">
        <v>1353</v>
      </c>
      <c r="C80" s="345">
        <v>0</v>
      </c>
      <c r="J80" s="428"/>
      <c r="M80" s="44"/>
      <c r="N80" s="345">
        <v>0</v>
      </c>
      <c r="O80" s="345">
        <v>0</v>
      </c>
    </row>
    <row r="81" spans="1:15" x14ac:dyDescent="0.5">
      <c r="A81" s="349" t="s">
        <v>817</v>
      </c>
      <c r="B81" s="350" t="s">
        <v>818</v>
      </c>
      <c r="C81" s="345">
        <v>0</v>
      </c>
      <c r="J81" s="428"/>
      <c r="M81" s="44"/>
      <c r="N81" s="345">
        <v>0</v>
      </c>
      <c r="O81" s="345">
        <v>0</v>
      </c>
    </row>
    <row r="82" spans="1:15" x14ac:dyDescent="0.5">
      <c r="A82" s="349" t="s">
        <v>819</v>
      </c>
      <c r="B82" s="350" t="s">
        <v>820</v>
      </c>
      <c r="C82" s="345">
        <v>0</v>
      </c>
      <c r="J82" s="428"/>
      <c r="M82" s="44"/>
      <c r="N82" s="345">
        <v>0</v>
      </c>
      <c r="O82" s="345">
        <v>0</v>
      </c>
    </row>
    <row r="83" spans="1:15" x14ac:dyDescent="0.5">
      <c r="A83" s="349" t="s">
        <v>821</v>
      </c>
      <c r="B83" s="350" t="s">
        <v>822</v>
      </c>
      <c r="C83" s="345">
        <v>0</v>
      </c>
      <c r="J83" s="428"/>
      <c r="M83" s="44"/>
      <c r="N83" s="345">
        <v>0</v>
      </c>
      <c r="O83" s="345">
        <v>0</v>
      </c>
    </row>
    <row r="84" spans="1:15" x14ac:dyDescent="0.5">
      <c r="A84" s="349" t="s">
        <v>823</v>
      </c>
      <c r="B84" s="350" t="s">
        <v>824</v>
      </c>
      <c r="C84" s="345">
        <v>-16056871.26</v>
      </c>
      <c r="J84" s="428"/>
      <c r="M84" s="44"/>
      <c r="N84" s="345">
        <v>-16056871.26</v>
      </c>
      <c r="O84" s="345">
        <v>-15900681.119999999</v>
      </c>
    </row>
    <row r="85" spans="1:15" x14ac:dyDescent="0.5">
      <c r="A85" s="349" t="s">
        <v>825</v>
      </c>
      <c r="B85" s="350" t="s">
        <v>826</v>
      </c>
      <c r="C85" s="345">
        <v>-4138077</v>
      </c>
      <c r="J85" s="428"/>
      <c r="M85" s="44"/>
      <c r="N85" s="345">
        <v>-4138077</v>
      </c>
      <c r="O85" s="345">
        <v>-3436818.65</v>
      </c>
    </row>
    <row r="86" spans="1:15" x14ac:dyDescent="0.5">
      <c r="A86" s="349" t="s">
        <v>827</v>
      </c>
      <c r="B86" s="350" t="s">
        <v>828</v>
      </c>
      <c r="C86" s="345">
        <v>-3397281.02</v>
      </c>
      <c r="J86" s="428"/>
      <c r="M86" s="44"/>
      <c r="N86" s="345">
        <v>-3397281.02</v>
      </c>
      <c r="O86" s="345">
        <v>-3377758.97</v>
      </c>
    </row>
    <row r="87" spans="1:15" x14ac:dyDescent="0.5">
      <c r="A87" s="349" t="s">
        <v>91</v>
      </c>
      <c r="B87" s="350" t="s">
        <v>92</v>
      </c>
      <c r="C87" s="345">
        <v>0</v>
      </c>
      <c r="J87" s="428"/>
      <c r="M87" s="44"/>
      <c r="N87" s="345">
        <v>0</v>
      </c>
      <c r="O87" s="345">
        <v>0</v>
      </c>
    </row>
    <row r="88" spans="1:15" x14ac:dyDescent="0.5">
      <c r="A88" s="349" t="s">
        <v>93</v>
      </c>
      <c r="B88" s="350" t="s">
        <v>1142</v>
      </c>
      <c r="C88" s="345">
        <v>750000</v>
      </c>
      <c r="J88" s="428"/>
      <c r="M88" s="44"/>
      <c r="N88" s="345">
        <v>737400</v>
      </c>
      <c r="O88" s="345">
        <v>470000</v>
      </c>
    </row>
    <row r="89" spans="1:15" x14ac:dyDescent="0.5">
      <c r="A89" s="349" t="s">
        <v>94</v>
      </c>
      <c r="B89" s="350" t="s">
        <v>1143</v>
      </c>
      <c r="C89" s="345">
        <v>368810</v>
      </c>
      <c r="J89" s="428"/>
      <c r="M89" s="44"/>
      <c r="N89" s="345">
        <v>306000</v>
      </c>
      <c r="O89" s="345">
        <v>200000</v>
      </c>
    </row>
    <row r="90" spans="1:15" x14ac:dyDescent="0.5">
      <c r="A90" s="349" t="s">
        <v>95</v>
      </c>
      <c r="B90" s="350" t="s">
        <v>1144</v>
      </c>
      <c r="C90" s="345">
        <v>59554</v>
      </c>
      <c r="J90" s="428"/>
      <c r="M90" s="44"/>
      <c r="N90" s="345">
        <v>40000</v>
      </c>
      <c r="O90" s="345">
        <v>40000</v>
      </c>
    </row>
    <row r="91" spans="1:15" x14ac:dyDescent="0.5">
      <c r="A91" s="349" t="s">
        <v>96</v>
      </c>
      <c r="B91" s="350" t="s">
        <v>1145</v>
      </c>
      <c r="C91" s="345">
        <v>25286</v>
      </c>
      <c r="J91" s="428"/>
      <c r="M91" s="44"/>
      <c r="N91" s="345">
        <v>0</v>
      </c>
      <c r="O91" s="345">
        <v>15000</v>
      </c>
    </row>
    <row r="92" spans="1:15" x14ac:dyDescent="0.5">
      <c r="A92" s="349" t="s">
        <v>97</v>
      </c>
      <c r="B92" s="350" t="s">
        <v>98</v>
      </c>
      <c r="C92" s="345">
        <v>182850</v>
      </c>
      <c r="J92" s="428"/>
      <c r="M92" s="44"/>
      <c r="N92" s="345">
        <v>93000</v>
      </c>
      <c r="O92" s="345">
        <v>81180</v>
      </c>
    </row>
    <row r="93" spans="1:15" x14ac:dyDescent="0.5">
      <c r="A93" s="349" t="s">
        <v>99</v>
      </c>
      <c r="B93" s="350" t="s">
        <v>100</v>
      </c>
      <c r="C93" s="345">
        <v>0</v>
      </c>
      <c r="J93" s="428"/>
      <c r="M93" s="44"/>
      <c r="N93" s="345">
        <v>0</v>
      </c>
      <c r="O93" s="345">
        <v>0</v>
      </c>
    </row>
    <row r="94" spans="1:15" x14ac:dyDescent="0.5">
      <c r="A94" s="349" t="s">
        <v>101</v>
      </c>
      <c r="B94" s="350" t="s">
        <v>1146</v>
      </c>
      <c r="C94" s="345">
        <v>40600</v>
      </c>
      <c r="J94" s="428"/>
      <c r="M94" s="44"/>
      <c r="N94" s="345">
        <v>49000</v>
      </c>
      <c r="O94" s="345">
        <v>60000</v>
      </c>
    </row>
    <row r="95" spans="1:15" x14ac:dyDescent="0.5">
      <c r="A95" s="349" t="s">
        <v>102</v>
      </c>
      <c r="B95" s="350" t="s">
        <v>1147</v>
      </c>
      <c r="C95" s="345">
        <v>104050</v>
      </c>
      <c r="J95" s="428"/>
      <c r="M95" s="44"/>
      <c r="N95" s="345">
        <v>40000</v>
      </c>
      <c r="O95" s="345">
        <v>140000</v>
      </c>
    </row>
    <row r="96" spans="1:15" x14ac:dyDescent="0.5">
      <c r="A96" s="349" t="s">
        <v>103</v>
      </c>
      <c r="B96" s="350" t="s">
        <v>1148</v>
      </c>
      <c r="C96" s="345">
        <v>-40450</v>
      </c>
      <c r="J96" s="428"/>
      <c r="M96" s="44"/>
      <c r="N96" s="345">
        <v>-106000</v>
      </c>
      <c r="O96" s="345">
        <v>-106000</v>
      </c>
    </row>
    <row r="97" spans="1:15" x14ac:dyDescent="0.5">
      <c r="A97" s="349" t="s">
        <v>104</v>
      </c>
      <c r="B97" s="350" t="s">
        <v>1149</v>
      </c>
      <c r="C97" s="345">
        <v>0</v>
      </c>
      <c r="J97" s="428"/>
      <c r="M97" s="44"/>
      <c r="N97" s="345">
        <v>-50000</v>
      </c>
      <c r="O97" s="345">
        <v>-50000</v>
      </c>
    </row>
    <row r="98" spans="1:15" x14ac:dyDescent="0.5">
      <c r="A98" s="349" t="s">
        <v>105</v>
      </c>
      <c r="B98" s="350" t="s">
        <v>1150</v>
      </c>
      <c r="C98" s="345">
        <v>0</v>
      </c>
      <c r="J98" s="428"/>
      <c r="M98" s="44"/>
      <c r="N98" s="345">
        <v>0</v>
      </c>
      <c r="O98" s="345">
        <v>0</v>
      </c>
    </row>
    <row r="99" spans="1:15" x14ac:dyDescent="0.5">
      <c r="A99" s="349" t="s">
        <v>106</v>
      </c>
      <c r="B99" s="350" t="s">
        <v>1151</v>
      </c>
      <c r="C99" s="345">
        <v>0</v>
      </c>
      <c r="J99" s="428"/>
      <c r="M99" s="44"/>
      <c r="N99" s="345">
        <v>0</v>
      </c>
      <c r="O99" s="345">
        <v>0</v>
      </c>
    </row>
    <row r="100" spans="1:15" x14ac:dyDescent="0.5">
      <c r="A100" s="349" t="s">
        <v>869</v>
      </c>
      <c r="B100" s="350" t="s">
        <v>107</v>
      </c>
      <c r="C100" s="345">
        <v>0</v>
      </c>
      <c r="J100" s="428"/>
      <c r="M100" s="44"/>
      <c r="N100" s="345">
        <v>0</v>
      </c>
      <c r="O100" s="345">
        <v>0</v>
      </c>
    </row>
    <row r="101" spans="1:15" x14ac:dyDescent="0.5">
      <c r="A101" s="349" t="s">
        <v>870</v>
      </c>
      <c r="B101" s="350" t="s">
        <v>108</v>
      </c>
      <c r="C101" s="345">
        <v>0</v>
      </c>
      <c r="J101" s="428"/>
      <c r="M101" s="44"/>
      <c r="N101" s="345">
        <v>0</v>
      </c>
      <c r="O101" s="345">
        <v>0</v>
      </c>
    </row>
    <row r="102" spans="1:15" x14ac:dyDescent="0.5">
      <c r="A102" s="349" t="s">
        <v>109</v>
      </c>
      <c r="B102" s="350" t="s">
        <v>1152</v>
      </c>
      <c r="C102" s="345">
        <v>210000</v>
      </c>
      <c r="J102" s="428"/>
      <c r="M102" s="44"/>
      <c r="N102" s="345">
        <v>198000</v>
      </c>
      <c r="O102" s="345">
        <v>75000</v>
      </c>
    </row>
    <row r="103" spans="1:15" x14ac:dyDescent="0.5">
      <c r="A103" s="349" t="s">
        <v>110</v>
      </c>
      <c r="B103" s="350" t="s">
        <v>1153</v>
      </c>
      <c r="C103" s="345">
        <v>90000</v>
      </c>
      <c r="J103" s="428"/>
      <c r="M103" s="44"/>
      <c r="N103" s="345">
        <v>142800</v>
      </c>
      <c r="O103" s="345">
        <v>50000</v>
      </c>
    </row>
    <row r="104" spans="1:15" x14ac:dyDescent="0.5">
      <c r="A104" s="349" t="s">
        <v>111</v>
      </c>
      <c r="B104" s="350" t="s">
        <v>1154</v>
      </c>
      <c r="C104" s="345">
        <v>0</v>
      </c>
      <c r="J104" s="428"/>
      <c r="M104" s="44"/>
      <c r="N104" s="345">
        <v>0</v>
      </c>
      <c r="O104" s="345">
        <v>0</v>
      </c>
    </row>
    <row r="105" spans="1:15" x14ac:dyDescent="0.5">
      <c r="A105" s="349" t="s">
        <v>112</v>
      </c>
      <c r="B105" s="350" t="s">
        <v>1155</v>
      </c>
      <c r="C105" s="345">
        <v>0</v>
      </c>
      <c r="J105" s="428"/>
      <c r="M105" s="44"/>
      <c r="N105" s="345">
        <v>0</v>
      </c>
      <c r="O105" s="345">
        <v>0</v>
      </c>
    </row>
    <row r="106" spans="1:15" x14ac:dyDescent="0.5">
      <c r="A106" s="349" t="s">
        <v>113</v>
      </c>
      <c r="B106" s="350" t="s">
        <v>1156</v>
      </c>
      <c r="C106" s="345">
        <v>0</v>
      </c>
      <c r="J106" s="428"/>
      <c r="M106" s="44"/>
      <c r="N106" s="345">
        <v>0</v>
      </c>
      <c r="O106" s="345">
        <v>0</v>
      </c>
    </row>
    <row r="107" spans="1:15" x14ac:dyDescent="0.5">
      <c r="A107" s="349" t="s">
        <v>114</v>
      </c>
      <c r="B107" s="350" t="s">
        <v>1157</v>
      </c>
      <c r="C107" s="345">
        <v>0</v>
      </c>
      <c r="J107" s="428"/>
      <c r="M107" s="44"/>
      <c r="N107" s="345">
        <v>0</v>
      </c>
      <c r="O107" s="345">
        <v>0</v>
      </c>
    </row>
    <row r="108" spans="1:15" x14ac:dyDescent="0.5">
      <c r="A108" s="349" t="s">
        <v>115</v>
      </c>
      <c r="B108" s="350" t="s">
        <v>1158</v>
      </c>
      <c r="C108" s="345">
        <v>0</v>
      </c>
      <c r="J108" s="428"/>
      <c r="M108" s="44"/>
      <c r="N108" s="345">
        <v>0</v>
      </c>
      <c r="O108" s="345">
        <v>0</v>
      </c>
    </row>
    <row r="109" spans="1:15" x14ac:dyDescent="0.5">
      <c r="A109" s="349" t="s">
        <v>871</v>
      </c>
      <c r="B109" s="350" t="s">
        <v>872</v>
      </c>
      <c r="C109" s="345">
        <v>0</v>
      </c>
      <c r="J109" s="428"/>
      <c r="M109" s="44"/>
      <c r="N109" s="345">
        <v>0</v>
      </c>
      <c r="O109" s="345">
        <v>0</v>
      </c>
    </row>
    <row r="110" spans="1:15" x14ac:dyDescent="0.5">
      <c r="A110" s="349" t="s">
        <v>873</v>
      </c>
      <c r="B110" s="350" t="s">
        <v>874</v>
      </c>
      <c r="C110" s="345">
        <v>0</v>
      </c>
      <c r="J110" s="428"/>
      <c r="M110" s="44"/>
      <c r="N110" s="345">
        <v>0</v>
      </c>
      <c r="O110" s="345">
        <v>0</v>
      </c>
    </row>
    <row r="111" spans="1:15" x14ac:dyDescent="0.5">
      <c r="A111" s="349" t="s">
        <v>875</v>
      </c>
      <c r="B111" s="350" t="s">
        <v>876</v>
      </c>
      <c r="C111" s="345">
        <v>0</v>
      </c>
      <c r="J111" s="428"/>
      <c r="M111" s="44"/>
      <c r="N111" s="345">
        <v>0</v>
      </c>
      <c r="O111" s="345">
        <v>0</v>
      </c>
    </row>
    <row r="112" spans="1:15" x14ac:dyDescent="0.5">
      <c r="A112" s="349" t="s">
        <v>877</v>
      </c>
      <c r="B112" s="350" t="s">
        <v>878</v>
      </c>
      <c r="C112" s="345">
        <v>0</v>
      </c>
      <c r="J112" s="428"/>
      <c r="M112" s="44"/>
      <c r="N112" s="345">
        <v>0</v>
      </c>
      <c r="O112" s="345">
        <v>0</v>
      </c>
    </row>
    <row r="113" spans="1:15" x14ac:dyDescent="0.5">
      <c r="A113" s="349" t="s">
        <v>879</v>
      </c>
      <c r="B113" s="350" t="s">
        <v>880</v>
      </c>
      <c r="C113" s="345">
        <v>350000</v>
      </c>
      <c r="J113" s="428"/>
      <c r="M113" s="44"/>
      <c r="N113" s="345">
        <v>646500</v>
      </c>
      <c r="O113" s="345">
        <v>200000</v>
      </c>
    </row>
    <row r="114" spans="1:15" x14ac:dyDescent="0.5">
      <c r="A114" s="349" t="s">
        <v>881</v>
      </c>
      <c r="B114" s="350" t="s">
        <v>116</v>
      </c>
      <c r="C114" s="345">
        <v>0</v>
      </c>
      <c r="J114" s="428"/>
      <c r="M114" s="44"/>
      <c r="O114" s="345">
        <v>105000</v>
      </c>
    </row>
    <row r="115" spans="1:15" x14ac:dyDescent="0.5">
      <c r="A115" s="349" t="s">
        <v>882</v>
      </c>
      <c r="B115" s="350" t="s">
        <v>883</v>
      </c>
      <c r="C115" s="345">
        <v>0</v>
      </c>
      <c r="J115" s="428"/>
      <c r="M115" s="44"/>
      <c r="N115" s="345">
        <v>0</v>
      </c>
      <c r="O115" s="345">
        <v>0</v>
      </c>
    </row>
    <row r="116" spans="1:15" x14ac:dyDescent="0.5">
      <c r="A116" s="349" t="s">
        <v>132</v>
      </c>
      <c r="B116" s="350" t="s">
        <v>1159</v>
      </c>
      <c r="C116" s="345">
        <v>0</v>
      </c>
      <c r="J116" s="428"/>
      <c r="M116" s="44"/>
      <c r="N116" s="345">
        <v>0</v>
      </c>
      <c r="O116" s="345">
        <v>0</v>
      </c>
    </row>
    <row r="117" spans="1:15" x14ac:dyDescent="0.5">
      <c r="A117" s="349" t="s">
        <v>133</v>
      </c>
      <c r="B117" s="350" t="s">
        <v>1160</v>
      </c>
      <c r="C117" s="345">
        <v>85000</v>
      </c>
      <c r="J117" s="428"/>
      <c r="M117" s="44"/>
      <c r="N117" s="345">
        <v>86000</v>
      </c>
      <c r="O117" s="345">
        <v>45000</v>
      </c>
    </row>
    <row r="118" spans="1:15" x14ac:dyDescent="0.5">
      <c r="A118" s="349" t="s">
        <v>134</v>
      </c>
      <c r="B118" s="350" t="s">
        <v>1161</v>
      </c>
      <c r="C118" s="345">
        <v>0</v>
      </c>
      <c r="J118" s="428"/>
      <c r="M118" s="44"/>
      <c r="N118" s="345">
        <v>0</v>
      </c>
      <c r="O118" s="345">
        <v>0</v>
      </c>
    </row>
    <row r="119" spans="1:15" x14ac:dyDescent="0.5">
      <c r="A119" s="349" t="s">
        <v>135</v>
      </c>
      <c r="B119" s="350" t="s">
        <v>136</v>
      </c>
      <c r="C119" s="345">
        <v>0</v>
      </c>
      <c r="J119" s="428"/>
      <c r="M119" s="44"/>
      <c r="N119" s="345">
        <v>0</v>
      </c>
      <c r="O119" s="345">
        <v>0</v>
      </c>
    </row>
    <row r="120" spans="1:15" x14ac:dyDescent="0.5">
      <c r="A120" s="349" t="s">
        <v>137</v>
      </c>
      <c r="B120" s="350" t="s">
        <v>138</v>
      </c>
      <c r="C120" s="345">
        <v>0</v>
      </c>
      <c r="J120" s="428"/>
      <c r="M120" s="44"/>
      <c r="N120" s="345">
        <v>0</v>
      </c>
      <c r="O120" s="345">
        <v>0</v>
      </c>
    </row>
    <row r="121" spans="1:15" x14ac:dyDescent="0.5">
      <c r="A121" s="349" t="s">
        <v>884</v>
      </c>
      <c r="B121" s="350" t="s">
        <v>885</v>
      </c>
      <c r="C121" s="345">
        <v>0</v>
      </c>
      <c r="J121" s="428"/>
      <c r="M121" s="44"/>
      <c r="N121" s="345">
        <v>0</v>
      </c>
      <c r="O121" s="345">
        <v>0</v>
      </c>
    </row>
    <row r="122" spans="1:15" x14ac:dyDescent="0.5">
      <c r="A122" s="349" t="s">
        <v>886</v>
      </c>
      <c r="B122" s="350" t="s">
        <v>887</v>
      </c>
      <c r="C122" s="345">
        <v>52000</v>
      </c>
      <c r="J122" s="428"/>
      <c r="M122" s="44"/>
      <c r="N122" s="345">
        <v>11100</v>
      </c>
      <c r="O122" s="345">
        <v>22000</v>
      </c>
    </row>
    <row r="123" spans="1:15" x14ac:dyDescent="0.5">
      <c r="A123" s="349" t="s">
        <v>888</v>
      </c>
      <c r="B123" s="350" t="s">
        <v>889</v>
      </c>
      <c r="C123" s="345">
        <v>0</v>
      </c>
      <c r="J123" s="428"/>
      <c r="M123" s="44"/>
      <c r="N123" s="345">
        <v>0</v>
      </c>
      <c r="O123" s="345">
        <v>0</v>
      </c>
    </row>
    <row r="124" spans="1:15" x14ac:dyDescent="0.5">
      <c r="A124" s="349" t="s">
        <v>890</v>
      </c>
      <c r="B124" s="350" t="s">
        <v>891</v>
      </c>
      <c r="C124" s="345">
        <v>0</v>
      </c>
      <c r="J124" s="428"/>
      <c r="M124" s="44"/>
      <c r="N124" s="345">
        <v>0</v>
      </c>
      <c r="O124" s="345">
        <v>0</v>
      </c>
    </row>
    <row r="125" spans="1:15" x14ac:dyDescent="0.5">
      <c r="A125" s="349" t="s">
        <v>161</v>
      </c>
      <c r="B125" s="350" t="s">
        <v>162</v>
      </c>
      <c r="C125" s="345">
        <v>0</v>
      </c>
      <c r="J125" s="428"/>
      <c r="M125" s="44"/>
      <c r="N125" s="345">
        <v>0</v>
      </c>
      <c r="O125" s="345">
        <v>0</v>
      </c>
    </row>
    <row r="126" spans="1:15" x14ac:dyDescent="0.5">
      <c r="A126" s="349" t="s">
        <v>163</v>
      </c>
      <c r="B126" s="350" t="s">
        <v>1162</v>
      </c>
      <c r="C126" s="345">
        <v>0</v>
      </c>
      <c r="J126" s="428"/>
      <c r="M126" s="44"/>
      <c r="N126" s="345">
        <v>0</v>
      </c>
      <c r="O126" s="345">
        <v>0</v>
      </c>
    </row>
    <row r="127" spans="1:15" x14ac:dyDescent="0.5">
      <c r="A127" s="349" t="s">
        <v>164</v>
      </c>
      <c r="B127" s="350" t="s">
        <v>1163</v>
      </c>
      <c r="C127" s="345">
        <v>0</v>
      </c>
      <c r="J127" s="428"/>
      <c r="M127" s="44"/>
      <c r="N127" s="345">
        <v>0</v>
      </c>
      <c r="O127" s="345">
        <v>0</v>
      </c>
    </row>
    <row r="128" spans="1:15" x14ac:dyDescent="0.5">
      <c r="A128" s="349" t="s">
        <v>166</v>
      </c>
      <c r="B128" s="350" t="s">
        <v>167</v>
      </c>
      <c r="C128" s="345">
        <v>0</v>
      </c>
      <c r="J128" s="428"/>
      <c r="M128" s="44"/>
      <c r="N128" s="345">
        <v>242000</v>
      </c>
      <c r="O128" s="345">
        <v>242000</v>
      </c>
    </row>
    <row r="129" spans="1:15" x14ac:dyDescent="0.5">
      <c r="A129" s="349" t="s">
        <v>168</v>
      </c>
      <c r="B129" s="350" t="s">
        <v>169</v>
      </c>
      <c r="C129" s="345">
        <v>0</v>
      </c>
      <c r="J129" s="428"/>
      <c r="M129" s="44"/>
      <c r="N129" s="345">
        <v>0</v>
      </c>
      <c r="O129" s="345">
        <v>0</v>
      </c>
    </row>
    <row r="130" spans="1:15" x14ac:dyDescent="0.5">
      <c r="A130" s="349" t="s">
        <v>170</v>
      </c>
      <c r="B130" s="350" t="s">
        <v>171</v>
      </c>
      <c r="C130" s="345">
        <v>0</v>
      </c>
      <c r="J130" s="428"/>
      <c r="M130" s="44"/>
      <c r="N130" s="345">
        <v>0</v>
      </c>
      <c r="O130" s="345">
        <v>0</v>
      </c>
    </row>
    <row r="131" spans="1:15" x14ac:dyDescent="0.5">
      <c r="A131" s="349" t="s">
        <v>172</v>
      </c>
      <c r="B131" s="350" t="s">
        <v>173</v>
      </c>
      <c r="C131" s="345">
        <v>0</v>
      </c>
      <c r="J131" s="428"/>
      <c r="M131" s="44"/>
      <c r="N131" s="345">
        <v>0</v>
      </c>
      <c r="O131" s="345">
        <v>0</v>
      </c>
    </row>
    <row r="132" spans="1:15" x14ac:dyDescent="0.5">
      <c r="A132" s="349" t="s">
        <v>892</v>
      </c>
      <c r="B132" s="350" t="s">
        <v>165</v>
      </c>
      <c r="C132" s="345">
        <v>0</v>
      </c>
      <c r="J132" s="428"/>
      <c r="M132" s="44"/>
      <c r="N132" s="345">
        <v>0</v>
      </c>
      <c r="O132" s="345">
        <v>0</v>
      </c>
    </row>
    <row r="133" spans="1:15" x14ac:dyDescent="0.5">
      <c r="A133" s="349" t="s">
        <v>174</v>
      </c>
      <c r="B133" s="350" t="s">
        <v>1164</v>
      </c>
      <c r="C133" s="345">
        <v>11200</v>
      </c>
      <c r="J133" s="428"/>
      <c r="M133" s="44"/>
      <c r="N133" s="345">
        <v>0</v>
      </c>
      <c r="O133" s="345">
        <v>5000</v>
      </c>
    </row>
    <row r="134" spans="1:15" x14ac:dyDescent="0.5">
      <c r="A134" s="349" t="s">
        <v>893</v>
      </c>
      <c r="B134" s="350" t="s">
        <v>894</v>
      </c>
      <c r="C134" s="345">
        <v>1989600</v>
      </c>
      <c r="J134" s="428"/>
      <c r="M134" s="44"/>
      <c r="N134" s="345">
        <v>62000</v>
      </c>
      <c r="O134" s="345">
        <v>600000</v>
      </c>
    </row>
    <row r="135" spans="1:15" x14ac:dyDescent="0.5">
      <c r="A135" s="349" t="s">
        <v>895</v>
      </c>
      <c r="B135" s="350" t="s">
        <v>896</v>
      </c>
      <c r="C135" s="345">
        <v>0</v>
      </c>
      <c r="J135" s="428"/>
      <c r="M135" s="44"/>
      <c r="N135" s="345">
        <v>0</v>
      </c>
      <c r="O135" s="345">
        <v>0</v>
      </c>
    </row>
    <row r="136" spans="1:15" x14ac:dyDescent="0.5">
      <c r="A136" s="349" t="s">
        <v>175</v>
      </c>
      <c r="B136" s="350" t="s">
        <v>1165</v>
      </c>
      <c r="C136" s="345">
        <v>73335.53</v>
      </c>
      <c r="J136" s="428"/>
      <c r="M136" s="44"/>
      <c r="N136" s="345">
        <v>10000</v>
      </c>
      <c r="O136" s="345">
        <v>90000</v>
      </c>
    </row>
    <row r="137" spans="1:15" x14ac:dyDescent="0.5">
      <c r="A137" s="349" t="s">
        <v>176</v>
      </c>
      <c r="B137" s="350" t="s">
        <v>177</v>
      </c>
      <c r="C137" s="345">
        <v>0</v>
      </c>
      <c r="J137" s="428"/>
      <c r="M137" s="44"/>
      <c r="N137" s="345">
        <v>0</v>
      </c>
      <c r="O137" s="345">
        <v>0</v>
      </c>
    </row>
    <row r="138" spans="1:15" x14ac:dyDescent="0.5">
      <c r="A138" s="349" t="s">
        <v>178</v>
      </c>
      <c r="B138" s="350" t="s">
        <v>179</v>
      </c>
      <c r="C138" s="345">
        <v>29300</v>
      </c>
      <c r="J138" s="428"/>
      <c r="M138" s="44"/>
      <c r="N138" s="345">
        <v>29300</v>
      </c>
      <c r="O138" s="345">
        <v>0</v>
      </c>
    </row>
    <row r="139" spans="1:15" x14ac:dyDescent="0.5">
      <c r="A139" s="349" t="s">
        <v>897</v>
      </c>
      <c r="B139" s="350" t="s">
        <v>898</v>
      </c>
      <c r="C139" s="345">
        <v>0</v>
      </c>
      <c r="J139" s="428"/>
      <c r="M139" s="44"/>
      <c r="N139" s="345">
        <v>0</v>
      </c>
      <c r="O139" s="345">
        <v>0</v>
      </c>
    </row>
    <row r="140" spans="1:15" x14ac:dyDescent="0.5">
      <c r="A140" s="349" t="s">
        <v>143</v>
      </c>
      <c r="B140" s="350" t="s">
        <v>1166</v>
      </c>
      <c r="C140" s="345">
        <v>28378920</v>
      </c>
      <c r="J140" s="428"/>
      <c r="M140" s="44"/>
      <c r="N140" s="345">
        <v>26126194.620000001</v>
      </c>
      <c r="O140" s="345">
        <v>25426560</v>
      </c>
    </row>
    <row r="141" spans="1:15" x14ac:dyDescent="0.5">
      <c r="A141" s="349" t="s">
        <v>217</v>
      </c>
      <c r="B141" s="350" t="s">
        <v>1167</v>
      </c>
      <c r="C141" s="345">
        <v>0</v>
      </c>
      <c r="J141" s="428"/>
      <c r="M141" s="44"/>
      <c r="N141" s="345">
        <v>0</v>
      </c>
      <c r="O141" s="345">
        <v>0</v>
      </c>
    </row>
    <row r="142" spans="1:15" x14ac:dyDescent="0.5">
      <c r="A142" s="349" t="s">
        <v>180</v>
      </c>
      <c r="B142" s="350" t="s">
        <v>1168</v>
      </c>
      <c r="C142" s="345">
        <v>0</v>
      </c>
      <c r="J142" s="428"/>
      <c r="M142" s="44"/>
      <c r="N142" s="345">
        <v>0</v>
      </c>
      <c r="O142" s="345">
        <v>0</v>
      </c>
    </row>
    <row r="143" spans="1:15" x14ac:dyDescent="0.5">
      <c r="A143" s="349" t="s">
        <v>181</v>
      </c>
      <c r="B143" s="350" t="s">
        <v>1169</v>
      </c>
      <c r="C143" s="345">
        <v>0</v>
      </c>
      <c r="J143" s="428"/>
      <c r="M143" s="44"/>
      <c r="N143" s="345">
        <v>0</v>
      </c>
      <c r="O143" s="345">
        <v>0</v>
      </c>
    </row>
    <row r="144" spans="1:15" x14ac:dyDescent="0.5">
      <c r="A144" s="349" t="s">
        <v>182</v>
      </c>
      <c r="B144" s="350" t="s">
        <v>1170</v>
      </c>
      <c r="C144" s="345">
        <v>0</v>
      </c>
      <c r="J144" s="428"/>
      <c r="M144" s="44"/>
      <c r="N144" s="345">
        <v>0</v>
      </c>
      <c r="O144" s="345">
        <v>0</v>
      </c>
    </row>
    <row r="145" spans="1:15" x14ac:dyDescent="0.5">
      <c r="A145" s="349" t="s">
        <v>183</v>
      </c>
      <c r="B145" s="350" t="s">
        <v>1171</v>
      </c>
      <c r="C145" s="345">
        <v>849718.5066666666</v>
      </c>
      <c r="J145" s="428"/>
      <c r="M145" s="44"/>
      <c r="N145" s="345">
        <v>865844.1</v>
      </c>
      <c r="O145" s="345">
        <v>865844.1</v>
      </c>
    </row>
    <row r="146" spans="1:15" x14ac:dyDescent="0.5">
      <c r="A146" s="349" t="s">
        <v>184</v>
      </c>
      <c r="B146" s="350" t="s">
        <v>1172</v>
      </c>
      <c r="C146" s="345">
        <v>0</v>
      </c>
      <c r="J146" s="428"/>
      <c r="M146" s="44"/>
      <c r="N146" s="345">
        <v>0</v>
      </c>
      <c r="O146" s="345">
        <v>0</v>
      </c>
    </row>
    <row r="147" spans="1:15" x14ac:dyDescent="0.5">
      <c r="A147" s="349" t="s">
        <v>899</v>
      </c>
      <c r="B147" s="350" t="s">
        <v>900</v>
      </c>
      <c r="C147" s="345">
        <v>0</v>
      </c>
      <c r="J147" s="428"/>
      <c r="M147" s="44"/>
      <c r="N147" s="345">
        <v>0</v>
      </c>
      <c r="O147" s="345">
        <v>0</v>
      </c>
    </row>
    <row r="148" spans="1:15" x14ac:dyDescent="0.5">
      <c r="A148" s="349" t="s">
        <v>901</v>
      </c>
      <c r="B148" s="350" t="s">
        <v>902</v>
      </c>
      <c r="C148" s="345">
        <v>0</v>
      </c>
      <c r="J148" s="428"/>
      <c r="M148" s="44"/>
      <c r="N148" s="345">
        <v>0</v>
      </c>
      <c r="O148" s="345">
        <v>0</v>
      </c>
    </row>
    <row r="149" spans="1:15" x14ac:dyDescent="0.5">
      <c r="A149" s="349" t="s">
        <v>903</v>
      </c>
      <c r="B149" s="350" t="s">
        <v>904</v>
      </c>
      <c r="C149" s="345">
        <v>0</v>
      </c>
      <c r="J149" s="428"/>
      <c r="M149" s="44"/>
      <c r="N149" s="345">
        <v>0</v>
      </c>
      <c r="O149" s="345">
        <v>0</v>
      </c>
    </row>
    <row r="150" spans="1:15" x14ac:dyDescent="0.5">
      <c r="A150" s="349" t="s">
        <v>185</v>
      </c>
      <c r="B150" s="350" t="s">
        <v>1173</v>
      </c>
      <c r="C150" s="345">
        <v>0</v>
      </c>
      <c r="J150" s="428"/>
      <c r="M150" s="44"/>
      <c r="N150" s="345">
        <v>0</v>
      </c>
      <c r="O150" s="345">
        <v>0</v>
      </c>
    </row>
    <row r="151" spans="1:15" x14ac:dyDescent="0.5">
      <c r="A151" s="349" t="s">
        <v>905</v>
      </c>
      <c r="B151" s="350" t="s">
        <v>906</v>
      </c>
      <c r="C151" s="345">
        <v>0</v>
      </c>
      <c r="J151" s="428"/>
      <c r="M151" s="44"/>
      <c r="N151" s="345">
        <v>0</v>
      </c>
      <c r="O151" s="345">
        <v>0</v>
      </c>
    </row>
    <row r="152" spans="1:15" x14ac:dyDescent="0.5">
      <c r="A152" s="349" t="s">
        <v>186</v>
      </c>
      <c r="B152" s="350" t="s">
        <v>1174</v>
      </c>
      <c r="C152" s="345">
        <v>0</v>
      </c>
      <c r="J152" s="428"/>
      <c r="M152" s="44"/>
      <c r="N152" s="345">
        <v>0</v>
      </c>
      <c r="O152" s="345">
        <v>0</v>
      </c>
    </row>
    <row r="153" spans="1:15" x14ac:dyDescent="0.5">
      <c r="A153" s="349" t="s">
        <v>187</v>
      </c>
      <c r="B153" s="350" t="s">
        <v>188</v>
      </c>
      <c r="C153" s="345">
        <v>75000</v>
      </c>
      <c r="J153" s="428"/>
      <c r="M153" s="44"/>
      <c r="N153" s="345">
        <v>105000</v>
      </c>
      <c r="O153" s="345">
        <v>0</v>
      </c>
    </row>
    <row r="154" spans="1:15" x14ac:dyDescent="0.5">
      <c r="A154" s="349" t="s">
        <v>189</v>
      </c>
      <c r="B154" s="350" t="s">
        <v>190</v>
      </c>
      <c r="C154" s="345">
        <v>0</v>
      </c>
      <c r="J154" s="428"/>
      <c r="M154" s="44"/>
      <c r="N154" s="345">
        <v>0</v>
      </c>
      <c r="O154" s="345">
        <v>0</v>
      </c>
    </row>
    <row r="155" spans="1:15" x14ac:dyDescent="0.5">
      <c r="A155" s="349" t="s">
        <v>139</v>
      </c>
      <c r="B155" s="350" t="s">
        <v>140</v>
      </c>
      <c r="C155" s="345">
        <v>0</v>
      </c>
      <c r="J155" s="428"/>
      <c r="M155" s="44"/>
      <c r="N155" s="345">
        <v>0</v>
      </c>
      <c r="O155" s="345">
        <v>0</v>
      </c>
    </row>
    <row r="156" spans="1:15" x14ac:dyDescent="0.5">
      <c r="A156" s="349" t="s">
        <v>141</v>
      </c>
      <c r="B156" s="350" t="s">
        <v>142</v>
      </c>
      <c r="C156" s="345">
        <v>0</v>
      </c>
      <c r="J156" s="428"/>
      <c r="M156" s="44"/>
      <c r="N156" s="345">
        <v>0</v>
      </c>
      <c r="O156" s="345">
        <v>0</v>
      </c>
    </row>
    <row r="157" spans="1:15" x14ac:dyDescent="0.5">
      <c r="A157" s="349" t="s">
        <v>191</v>
      </c>
      <c r="B157" s="350" t="s">
        <v>192</v>
      </c>
      <c r="C157" s="345">
        <v>0</v>
      </c>
      <c r="J157" s="428"/>
      <c r="M157" s="44"/>
      <c r="N157" s="345">
        <v>0</v>
      </c>
      <c r="O157" s="345">
        <v>0</v>
      </c>
    </row>
    <row r="158" spans="1:15" x14ac:dyDescent="0.5">
      <c r="A158" s="349" t="s">
        <v>193</v>
      </c>
      <c r="B158" s="350" t="s">
        <v>194</v>
      </c>
      <c r="C158" s="345">
        <v>0</v>
      </c>
      <c r="J158" s="428"/>
      <c r="M158" s="44"/>
      <c r="N158" s="345">
        <v>0</v>
      </c>
      <c r="O158" s="345">
        <v>0</v>
      </c>
    </row>
    <row r="159" spans="1:15" x14ac:dyDescent="0.5">
      <c r="A159" s="349" t="s">
        <v>195</v>
      </c>
      <c r="B159" s="350" t="s">
        <v>196</v>
      </c>
      <c r="C159" s="345">
        <v>0</v>
      </c>
      <c r="J159" s="428"/>
      <c r="M159" s="44"/>
      <c r="N159" s="345">
        <v>0</v>
      </c>
      <c r="O159" s="345">
        <v>0</v>
      </c>
    </row>
    <row r="160" spans="1:15" x14ac:dyDescent="0.5">
      <c r="A160" s="349" t="s">
        <v>197</v>
      </c>
      <c r="B160" s="350" t="s">
        <v>198</v>
      </c>
      <c r="C160" s="345">
        <v>30000</v>
      </c>
      <c r="J160" s="428"/>
      <c r="M160" s="44"/>
      <c r="N160" s="345">
        <v>31300</v>
      </c>
      <c r="O160" s="345">
        <v>44000</v>
      </c>
    </row>
    <row r="161" spans="1:15" x14ac:dyDescent="0.5">
      <c r="A161" s="349" t="s">
        <v>199</v>
      </c>
      <c r="B161" s="350" t="s">
        <v>200</v>
      </c>
      <c r="C161" s="345">
        <v>16500</v>
      </c>
      <c r="J161" s="428"/>
      <c r="M161" s="44"/>
      <c r="N161" s="345">
        <v>16740</v>
      </c>
      <c r="O161" s="345">
        <v>7500</v>
      </c>
    </row>
    <row r="162" spans="1:15" x14ac:dyDescent="0.5">
      <c r="A162" s="349" t="s">
        <v>201</v>
      </c>
      <c r="B162" s="350" t="s">
        <v>1175</v>
      </c>
      <c r="C162" s="345">
        <v>0</v>
      </c>
      <c r="J162" s="428"/>
      <c r="M162" s="44"/>
      <c r="N162" s="345">
        <v>0</v>
      </c>
      <c r="O162" s="345">
        <v>0</v>
      </c>
    </row>
    <row r="163" spans="1:15" x14ac:dyDescent="0.5">
      <c r="A163" s="349" t="s">
        <v>202</v>
      </c>
      <c r="B163" s="350" t="s">
        <v>1176</v>
      </c>
      <c r="C163" s="345">
        <v>0</v>
      </c>
      <c r="J163" s="428"/>
      <c r="M163" s="44"/>
      <c r="N163" s="345">
        <v>0</v>
      </c>
      <c r="O163" s="345">
        <v>0</v>
      </c>
    </row>
    <row r="164" spans="1:15" x14ac:dyDescent="0.5">
      <c r="A164" s="349" t="s">
        <v>203</v>
      </c>
      <c r="B164" s="350" t="s">
        <v>204</v>
      </c>
      <c r="C164" s="345">
        <v>0</v>
      </c>
      <c r="J164" s="428"/>
      <c r="M164" s="44"/>
      <c r="N164" s="345">
        <v>0</v>
      </c>
      <c r="O164" s="345">
        <v>0</v>
      </c>
    </row>
    <row r="165" spans="1:15" x14ac:dyDescent="0.5">
      <c r="A165" s="349" t="s">
        <v>205</v>
      </c>
      <c r="B165" s="1" t="s">
        <v>206</v>
      </c>
      <c r="C165" s="345">
        <v>13120</v>
      </c>
      <c r="N165" s="345">
        <v>12000</v>
      </c>
      <c r="O165" s="345">
        <v>12000</v>
      </c>
    </row>
    <row r="166" spans="1:15" x14ac:dyDescent="0.5">
      <c r="A166" s="349" t="s">
        <v>218</v>
      </c>
      <c r="B166" s="1" t="s">
        <v>219</v>
      </c>
      <c r="C166" s="345">
        <v>0</v>
      </c>
      <c r="O166" s="345">
        <v>0</v>
      </c>
    </row>
    <row r="167" spans="1:15" x14ac:dyDescent="0.5">
      <c r="A167" s="349" t="s">
        <v>207</v>
      </c>
      <c r="B167" s="1" t="s">
        <v>1177</v>
      </c>
      <c r="C167" s="345">
        <v>2942800</v>
      </c>
      <c r="N167" s="345">
        <v>2606165.89</v>
      </c>
      <c r="O167" s="345">
        <v>2606165.8899999997</v>
      </c>
    </row>
    <row r="168" spans="1:15" x14ac:dyDescent="0.5">
      <c r="A168" s="349" t="s">
        <v>208</v>
      </c>
      <c r="B168" s="1" t="s">
        <v>209</v>
      </c>
      <c r="C168" s="345">
        <v>0</v>
      </c>
      <c r="O168" s="345">
        <v>0</v>
      </c>
    </row>
    <row r="169" spans="1:15" x14ac:dyDescent="0.5">
      <c r="A169" s="349" t="s">
        <v>210</v>
      </c>
      <c r="B169" s="1" t="s">
        <v>1178</v>
      </c>
      <c r="C169" s="345">
        <v>0</v>
      </c>
      <c r="O169" s="345">
        <v>0</v>
      </c>
    </row>
    <row r="170" spans="1:15" x14ac:dyDescent="0.5">
      <c r="A170" s="349" t="s">
        <v>211</v>
      </c>
      <c r="B170" s="1" t="s">
        <v>212</v>
      </c>
      <c r="C170" s="345">
        <v>210000</v>
      </c>
      <c r="N170" s="345">
        <v>210000</v>
      </c>
      <c r="O170" s="345">
        <v>210000</v>
      </c>
    </row>
    <row r="171" spans="1:15" x14ac:dyDescent="0.5">
      <c r="A171" s="349" t="s">
        <v>213</v>
      </c>
      <c r="B171" s="1" t="s">
        <v>214</v>
      </c>
      <c r="C171" s="345">
        <v>538050</v>
      </c>
      <c r="N171" s="345">
        <v>531990</v>
      </c>
      <c r="O171" s="345">
        <v>525000</v>
      </c>
    </row>
    <row r="172" spans="1:15" x14ac:dyDescent="0.5">
      <c r="A172" s="349" t="s">
        <v>229</v>
      </c>
      <c r="B172" s="1" t="s">
        <v>230</v>
      </c>
      <c r="C172" s="345">
        <v>11677560</v>
      </c>
      <c r="N172" s="345">
        <v>18329463.27</v>
      </c>
      <c r="O172" s="345">
        <v>9507540</v>
      </c>
    </row>
    <row r="173" spans="1:15" x14ac:dyDescent="0.5">
      <c r="A173" s="349" t="s">
        <v>231</v>
      </c>
      <c r="B173" s="1" t="s">
        <v>232</v>
      </c>
      <c r="C173" s="345">
        <v>11950260</v>
      </c>
      <c r="N173" s="345">
        <v>2377500</v>
      </c>
      <c r="O173" s="345">
        <v>9783240</v>
      </c>
    </row>
    <row r="174" spans="1:15" x14ac:dyDescent="0.5">
      <c r="A174" s="349" t="s">
        <v>233</v>
      </c>
      <c r="B174" s="1" t="s">
        <v>234</v>
      </c>
      <c r="C174" s="345">
        <v>0</v>
      </c>
      <c r="N174" s="345">
        <v>0</v>
      </c>
      <c r="O174" s="345">
        <v>0</v>
      </c>
    </row>
    <row r="175" spans="1:15" x14ac:dyDescent="0.5">
      <c r="A175" s="349" t="s">
        <v>235</v>
      </c>
      <c r="B175" s="1" t="s">
        <v>236</v>
      </c>
      <c r="C175" s="345">
        <v>1083600</v>
      </c>
      <c r="N175" s="345">
        <v>1192800</v>
      </c>
      <c r="O175" s="345">
        <v>1192800</v>
      </c>
    </row>
    <row r="176" spans="1:15" x14ac:dyDescent="0.5">
      <c r="A176" s="349" t="s">
        <v>237</v>
      </c>
      <c r="B176" s="1" t="s">
        <v>238</v>
      </c>
      <c r="C176" s="345">
        <v>0</v>
      </c>
      <c r="N176" s="345">
        <v>0</v>
      </c>
      <c r="O176" s="345">
        <v>0</v>
      </c>
    </row>
    <row r="177" spans="1:15" x14ac:dyDescent="0.5">
      <c r="A177" s="349" t="s">
        <v>239</v>
      </c>
      <c r="B177" s="1" t="s">
        <v>240</v>
      </c>
      <c r="C177" s="345">
        <v>0</v>
      </c>
      <c r="N177" s="345">
        <v>0</v>
      </c>
      <c r="O177" s="345">
        <v>0</v>
      </c>
    </row>
    <row r="178" spans="1:15" x14ac:dyDescent="0.5">
      <c r="A178" s="349" t="s">
        <v>241</v>
      </c>
      <c r="B178" s="1" t="s">
        <v>242</v>
      </c>
      <c r="C178" s="345">
        <v>0</v>
      </c>
      <c r="N178" s="345">
        <v>0</v>
      </c>
      <c r="O178" s="345">
        <v>0</v>
      </c>
    </row>
    <row r="179" spans="1:15" x14ac:dyDescent="0.5">
      <c r="A179" s="349" t="s">
        <v>243</v>
      </c>
      <c r="B179" s="1" t="s">
        <v>244</v>
      </c>
      <c r="C179" s="345">
        <v>0</v>
      </c>
      <c r="N179" s="345">
        <v>0</v>
      </c>
      <c r="O179" s="345">
        <v>0</v>
      </c>
    </row>
    <row r="180" spans="1:15" x14ac:dyDescent="0.5">
      <c r="A180" s="349" t="s">
        <v>245</v>
      </c>
      <c r="B180" s="1" t="s">
        <v>246</v>
      </c>
      <c r="C180" s="345">
        <v>0</v>
      </c>
      <c r="N180" s="345">
        <v>0</v>
      </c>
      <c r="O180" s="345">
        <v>0</v>
      </c>
    </row>
    <row r="181" spans="1:15" x14ac:dyDescent="0.5">
      <c r="A181" s="349" t="s">
        <v>247</v>
      </c>
      <c r="B181" s="1" t="s">
        <v>248</v>
      </c>
      <c r="C181" s="345">
        <v>0</v>
      </c>
      <c r="N181" s="345">
        <v>0</v>
      </c>
      <c r="O181" s="345">
        <v>0</v>
      </c>
    </row>
    <row r="182" spans="1:15" x14ac:dyDescent="0.5">
      <c r="A182" s="349" t="s">
        <v>249</v>
      </c>
      <c r="B182" s="1" t="s">
        <v>250</v>
      </c>
      <c r="C182" s="345">
        <v>1456920</v>
      </c>
      <c r="N182" s="345">
        <v>1479601.95</v>
      </c>
      <c r="O182" s="345">
        <v>1972380</v>
      </c>
    </row>
    <row r="183" spans="1:15" x14ac:dyDescent="0.5">
      <c r="A183" s="349" t="s">
        <v>251</v>
      </c>
      <c r="B183" s="1" t="s">
        <v>252</v>
      </c>
      <c r="C183" s="345">
        <v>1484580</v>
      </c>
      <c r="N183" s="345">
        <v>1780109.4</v>
      </c>
      <c r="O183" s="345">
        <v>2003880</v>
      </c>
    </row>
    <row r="184" spans="1:15" x14ac:dyDescent="0.5">
      <c r="A184" s="349" t="s">
        <v>261</v>
      </c>
      <c r="B184" s="1" t="s">
        <v>262</v>
      </c>
      <c r="C184" s="345">
        <v>5726400</v>
      </c>
      <c r="N184" s="345">
        <v>5927880</v>
      </c>
      <c r="O184" s="345">
        <v>5927880</v>
      </c>
    </row>
    <row r="185" spans="1:15" x14ac:dyDescent="0.5">
      <c r="A185" s="349" t="s">
        <v>263</v>
      </c>
      <c r="B185" s="1" t="s">
        <v>264</v>
      </c>
      <c r="C185" s="345">
        <v>1950240</v>
      </c>
      <c r="N185" s="345">
        <v>1324800</v>
      </c>
      <c r="O185" s="345">
        <v>1324800</v>
      </c>
    </row>
    <row r="186" spans="1:15" x14ac:dyDescent="0.5">
      <c r="A186" s="349" t="s">
        <v>265</v>
      </c>
      <c r="B186" s="1" t="s">
        <v>1179</v>
      </c>
      <c r="C186" s="345">
        <v>3021360</v>
      </c>
      <c r="N186" s="345">
        <v>2063556</v>
      </c>
      <c r="O186" s="345">
        <v>3084840</v>
      </c>
    </row>
    <row r="187" spans="1:15" x14ac:dyDescent="0.5">
      <c r="A187" s="349" t="s">
        <v>266</v>
      </c>
      <c r="B187" s="1" t="s">
        <v>267</v>
      </c>
      <c r="C187" s="345">
        <v>0</v>
      </c>
      <c r="N187" s="345">
        <v>1021284</v>
      </c>
      <c r="O187" s="345">
        <v>0</v>
      </c>
    </row>
    <row r="188" spans="1:15" x14ac:dyDescent="0.5">
      <c r="A188" s="349" t="s">
        <v>268</v>
      </c>
      <c r="B188" s="1" t="s">
        <v>269</v>
      </c>
      <c r="C188" s="345">
        <v>0</v>
      </c>
      <c r="N188" s="345">
        <v>0</v>
      </c>
      <c r="O188" s="345">
        <v>0</v>
      </c>
    </row>
    <row r="189" spans="1:15" x14ac:dyDescent="0.5">
      <c r="A189" s="349" t="s">
        <v>270</v>
      </c>
      <c r="B189" s="1" t="s">
        <v>636</v>
      </c>
      <c r="C189" s="345">
        <v>0</v>
      </c>
      <c r="N189" s="345">
        <v>0</v>
      </c>
      <c r="O189" s="345">
        <v>0</v>
      </c>
    </row>
    <row r="190" spans="1:15" x14ac:dyDescent="0.5">
      <c r="A190" s="349" t="s">
        <v>253</v>
      </c>
      <c r="B190" s="1" t="s">
        <v>1180</v>
      </c>
      <c r="C190" s="345">
        <v>0</v>
      </c>
      <c r="N190" s="345">
        <v>0</v>
      </c>
      <c r="O190" s="345">
        <v>0</v>
      </c>
    </row>
    <row r="191" spans="1:15" x14ac:dyDescent="0.5">
      <c r="A191" s="349" t="s">
        <v>254</v>
      </c>
      <c r="B191" s="1" t="s">
        <v>1181</v>
      </c>
      <c r="C191" s="345">
        <v>524400</v>
      </c>
      <c r="N191" s="345">
        <v>697920</v>
      </c>
      <c r="O191" s="345">
        <v>697920</v>
      </c>
    </row>
    <row r="192" spans="1:15" x14ac:dyDescent="0.5">
      <c r="A192" s="349" t="s">
        <v>255</v>
      </c>
      <c r="B192" s="1" t="s">
        <v>1182</v>
      </c>
      <c r="C192" s="345">
        <v>0</v>
      </c>
      <c r="N192" s="345">
        <v>0</v>
      </c>
      <c r="O192" s="345">
        <v>0</v>
      </c>
    </row>
    <row r="193" spans="1:15" x14ac:dyDescent="0.5">
      <c r="A193" s="349" t="s">
        <v>256</v>
      </c>
      <c r="B193" s="1" t="s">
        <v>1183</v>
      </c>
      <c r="C193" s="345">
        <v>0</v>
      </c>
      <c r="N193" s="345">
        <v>0</v>
      </c>
      <c r="O193" s="345">
        <v>0</v>
      </c>
    </row>
    <row r="194" spans="1:15" x14ac:dyDescent="0.5">
      <c r="A194" s="349" t="s">
        <v>257</v>
      </c>
      <c r="B194" s="1" t="s">
        <v>1184</v>
      </c>
      <c r="C194" s="345">
        <v>0</v>
      </c>
      <c r="N194" s="345">
        <v>0</v>
      </c>
      <c r="O194" s="345">
        <v>0</v>
      </c>
    </row>
    <row r="195" spans="1:15" x14ac:dyDescent="0.5">
      <c r="A195" s="349" t="s">
        <v>258</v>
      </c>
      <c r="B195" s="1" t="s">
        <v>1185</v>
      </c>
      <c r="C195" s="345">
        <v>0</v>
      </c>
      <c r="N195" s="345">
        <v>0</v>
      </c>
      <c r="O195" s="345">
        <v>0</v>
      </c>
    </row>
    <row r="196" spans="1:15" x14ac:dyDescent="0.5">
      <c r="A196" s="349" t="s">
        <v>259</v>
      </c>
      <c r="B196" s="1" t="s">
        <v>1186</v>
      </c>
      <c r="C196" s="345">
        <v>0</v>
      </c>
      <c r="N196" s="345">
        <v>0</v>
      </c>
      <c r="O196" s="345">
        <v>0</v>
      </c>
    </row>
    <row r="197" spans="1:15" x14ac:dyDescent="0.5">
      <c r="A197" s="349" t="s">
        <v>260</v>
      </c>
      <c r="B197" s="1" t="s">
        <v>1187</v>
      </c>
      <c r="C197" s="345">
        <v>0</v>
      </c>
      <c r="N197" s="345">
        <v>0</v>
      </c>
      <c r="O197" s="345">
        <v>0</v>
      </c>
    </row>
    <row r="198" spans="1:15" x14ac:dyDescent="0.5">
      <c r="A198" s="349" t="s">
        <v>907</v>
      </c>
      <c r="B198" s="1" t="s">
        <v>908</v>
      </c>
      <c r="C198" s="345">
        <v>201600</v>
      </c>
      <c r="N198" s="345">
        <v>268800</v>
      </c>
      <c r="O198" s="345">
        <v>268800</v>
      </c>
    </row>
    <row r="199" spans="1:15" x14ac:dyDescent="0.5">
      <c r="A199" s="349" t="s">
        <v>909</v>
      </c>
      <c r="B199" s="1" t="s">
        <v>910</v>
      </c>
      <c r="C199" s="345">
        <v>0</v>
      </c>
      <c r="N199" s="345">
        <v>0</v>
      </c>
      <c r="O199" s="345">
        <v>0</v>
      </c>
    </row>
    <row r="200" spans="1:15" x14ac:dyDescent="0.5">
      <c r="A200" s="349" t="s">
        <v>911</v>
      </c>
      <c r="B200" s="1" t="s">
        <v>1354</v>
      </c>
      <c r="C200" s="345">
        <v>780160</v>
      </c>
      <c r="N200" s="345">
        <v>777600</v>
      </c>
      <c r="O200" s="345">
        <v>777600</v>
      </c>
    </row>
    <row r="201" spans="1:15" x14ac:dyDescent="0.5">
      <c r="A201" s="349" t="s">
        <v>285</v>
      </c>
      <c r="B201" s="1" t="s">
        <v>286</v>
      </c>
      <c r="C201" s="345">
        <v>0</v>
      </c>
      <c r="N201" s="345">
        <v>0</v>
      </c>
      <c r="O201" s="345">
        <v>0</v>
      </c>
    </row>
    <row r="202" spans="1:15" x14ac:dyDescent="0.5">
      <c r="A202" s="349" t="s">
        <v>287</v>
      </c>
      <c r="B202" s="1" t="s">
        <v>288</v>
      </c>
      <c r="C202" s="345">
        <v>0</v>
      </c>
      <c r="N202" s="345">
        <v>0</v>
      </c>
      <c r="O202" s="345">
        <v>0</v>
      </c>
    </row>
    <row r="203" spans="1:15" x14ac:dyDescent="0.5">
      <c r="A203" s="349" t="s">
        <v>289</v>
      </c>
      <c r="B203" s="1" t="s">
        <v>290</v>
      </c>
      <c r="C203" s="345">
        <v>308880.82666666666</v>
      </c>
      <c r="N203" s="345">
        <v>304258.92</v>
      </c>
      <c r="O203" s="345">
        <v>304258.92</v>
      </c>
    </row>
    <row r="204" spans="1:15" x14ac:dyDescent="0.5">
      <c r="A204" s="349" t="s">
        <v>291</v>
      </c>
      <c r="B204" s="1" t="s">
        <v>292</v>
      </c>
      <c r="C204" s="345">
        <v>463321.2533333333</v>
      </c>
      <c r="N204" s="345">
        <v>456388.38</v>
      </c>
      <c r="O204" s="345">
        <v>456388.38</v>
      </c>
    </row>
    <row r="205" spans="1:15" x14ac:dyDescent="0.5">
      <c r="A205" s="349" t="s">
        <v>293</v>
      </c>
      <c r="B205" s="1" t="s">
        <v>294</v>
      </c>
      <c r="C205" s="345">
        <v>77516.426666666666</v>
      </c>
      <c r="N205" s="345">
        <v>105196.8</v>
      </c>
      <c r="O205" s="345">
        <v>105196.8</v>
      </c>
    </row>
    <row r="206" spans="1:15" x14ac:dyDescent="0.5">
      <c r="A206" s="349" t="s">
        <v>295</v>
      </c>
      <c r="B206" s="1" t="s">
        <v>1188</v>
      </c>
      <c r="C206" s="345">
        <v>516900</v>
      </c>
      <c r="N206" s="345">
        <v>516876</v>
      </c>
      <c r="O206" s="345">
        <v>516876</v>
      </c>
    </row>
    <row r="207" spans="1:15" x14ac:dyDescent="0.5">
      <c r="A207" s="349" t="s">
        <v>296</v>
      </c>
      <c r="B207" s="1" t="s">
        <v>297</v>
      </c>
      <c r="C207" s="345">
        <v>0</v>
      </c>
      <c r="N207" s="345">
        <v>0</v>
      </c>
      <c r="O207" s="345">
        <v>0</v>
      </c>
    </row>
    <row r="208" spans="1:15" x14ac:dyDescent="0.5">
      <c r="A208" s="349" t="s">
        <v>298</v>
      </c>
      <c r="B208" s="1" t="s">
        <v>299</v>
      </c>
      <c r="C208" s="345">
        <v>18258.400000000001</v>
      </c>
      <c r="N208" s="345">
        <v>21149.82</v>
      </c>
      <c r="O208" s="345">
        <v>21149.82</v>
      </c>
    </row>
    <row r="209" spans="1:15" x14ac:dyDescent="0.5">
      <c r="A209" s="349" t="s">
        <v>274</v>
      </c>
      <c r="B209" s="1" t="s">
        <v>275</v>
      </c>
      <c r="C209" s="345">
        <v>1386000</v>
      </c>
      <c r="N209" s="345">
        <v>1398000</v>
      </c>
      <c r="O209" s="345">
        <v>1398000</v>
      </c>
    </row>
    <row r="210" spans="1:15" x14ac:dyDescent="0.5">
      <c r="A210" s="349" t="s">
        <v>277</v>
      </c>
      <c r="B210" s="1" t="s">
        <v>278</v>
      </c>
      <c r="C210" s="345">
        <v>66000</v>
      </c>
      <c r="N210" s="345">
        <v>138000</v>
      </c>
      <c r="O210" s="345">
        <v>138000</v>
      </c>
    </row>
    <row r="211" spans="1:15" x14ac:dyDescent="0.5">
      <c r="A211" s="349" t="s">
        <v>279</v>
      </c>
      <c r="B211" s="1" t="s">
        <v>1355</v>
      </c>
      <c r="C211" s="345">
        <v>0</v>
      </c>
      <c r="N211" s="345">
        <v>0</v>
      </c>
      <c r="O211" s="345">
        <v>0</v>
      </c>
    </row>
    <row r="212" spans="1:15" x14ac:dyDescent="0.5">
      <c r="A212" s="349" t="s">
        <v>280</v>
      </c>
      <c r="B212" s="1" t="s">
        <v>1356</v>
      </c>
      <c r="C212" s="345">
        <v>0</v>
      </c>
      <c r="N212" s="345">
        <v>0</v>
      </c>
      <c r="O212" s="345">
        <v>0</v>
      </c>
    </row>
    <row r="213" spans="1:15" x14ac:dyDescent="0.5">
      <c r="A213" s="349" t="s">
        <v>281</v>
      </c>
      <c r="B213" s="1" t="s">
        <v>282</v>
      </c>
      <c r="C213" s="345">
        <v>0</v>
      </c>
      <c r="N213" s="345">
        <v>0</v>
      </c>
      <c r="O213" s="345">
        <v>0</v>
      </c>
    </row>
    <row r="214" spans="1:15" x14ac:dyDescent="0.5">
      <c r="A214" s="349" t="s">
        <v>283</v>
      </c>
      <c r="B214" s="1" t="s">
        <v>284</v>
      </c>
      <c r="C214" s="345">
        <v>0</v>
      </c>
      <c r="N214" s="345">
        <v>0</v>
      </c>
      <c r="O214" s="345">
        <v>0</v>
      </c>
    </row>
    <row r="215" spans="1:15" x14ac:dyDescent="0.5">
      <c r="A215" s="349" t="s">
        <v>912</v>
      </c>
      <c r="B215" s="1" t="s">
        <v>1357</v>
      </c>
      <c r="C215" s="345">
        <v>5137200</v>
      </c>
      <c r="N215" s="345">
        <v>5578700</v>
      </c>
      <c r="O215" s="345">
        <v>5578700</v>
      </c>
    </row>
    <row r="216" spans="1:15" x14ac:dyDescent="0.5">
      <c r="A216" s="349" t="s">
        <v>913</v>
      </c>
      <c r="B216" s="1" t="s">
        <v>1358</v>
      </c>
      <c r="C216" s="345">
        <v>0</v>
      </c>
      <c r="N216" s="345">
        <v>0</v>
      </c>
      <c r="O216" s="345">
        <v>0</v>
      </c>
    </row>
    <row r="217" spans="1:15" x14ac:dyDescent="0.5">
      <c r="A217" s="349" t="s">
        <v>914</v>
      </c>
      <c r="B217" s="1" t="s">
        <v>915</v>
      </c>
      <c r="C217" s="345">
        <v>0</v>
      </c>
      <c r="N217" s="345">
        <v>0</v>
      </c>
      <c r="O217" s="345">
        <v>0</v>
      </c>
    </row>
    <row r="218" spans="1:15" x14ac:dyDescent="0.5">
      <c r="A218" s="349" t="s">
        <v>916</v>
      </c>
      <c r="B218" s="1" t="s">
        <v>917</v>
      </c>
      <c r="C218" s="345">
        <v>0</v>
      </c>
      <c r="N218" s="345">
        <v>0</v>
      </c>
      <c r="O218" s="345">
        <v>0</v>
      </c>
    </row>
    <row r="219" spans="1:15" x14ac:dyDescent="0.5">
      <c r="A219" s="349" t="s">
        <v>918</v>
      </c>
      <c r="B219" s="1" t="s">
        <v>919</v>
      </c>
      <c r="C219" s="345">
        <v>0</v>
      </c>
      <c r="N219" s="345">
        <v>0</v>
      </c>
      <c r="O219" s="345">
        <v>0</v>
      </c>
    </row>
    <row r="220" spans="1:15" x14ac:dyDescent="0.5">
      <c r="A220" s="349" t="s">
        <v>300</v>
      </c>
      <c r="B220" s="1" t="s">
        <v>301</v>
      </c>
      <c r="C220" s="345">
        <v>150000</v>
      </c>
      <c r="N220" s="345">
        <v>150000</v>
      </c>
      <c r="O220" s="345">
        <v>150000</v>
      </c>
    </row>
    <row r="221" spans="1:15" x14ac:dyDescent="0.5">
      <c r="A221" s="349" t="s">
        <v>302</v>
      </c>
      <c r="B221" s="1" t="s">
        <v>303</v>
      </c>
      <c r="C221" s="345">
        <v>60000</v>
      </c>
      <c r="N221" s="345">
        <v>60000</v>
      </c>
      <c r="O221" s="345">
        <v>60000</v>
      </c>
    </row>
    <row r="222" spans="1:15" x14ac:dyDescent="0.5">
      <c r="A222" s="349" t="s">
        <v>920</v>
      </c>
      <c r="B222" s="1" t="s">
        <v>921</v>
      </c>
      <c r="C222" s="345">
        <v>0</v>
      </c>
      <c r="N222" s="345">
        <v>0</v>
      </c>
      <c r="O222" s="345">
        <v>0</v>
      </c>
    </row>
    <row r="223" spans="1:15" x14ac:dyDescent="0.5">
      <c r="A223" s="349" t="s">
        <v>304</v>
      </c>
      <c r="B223" s="1" t="s">
        <v>305</v>
      </c>
      <c r="C223" s="345">
        <v>0</v>
      </c>
      <c r="N223" s="345">
        <v>0</v>
      </c>
      <c r="O223" s="345">
        <v>0</v>
      </c>
    </row>
    <row r="224" spans="1:15" x14ac:dyDescent="0.5">
      <c r="A224" s="349" t="s">
        <v>306</v>
      </c>
      <c r="B224" s="1" t="s">
        <v>307</v>
      </c>
      <c r="C224" s="345">
        <v>0</v>
      </c>
      <c r="N224" s="345">
        <v>0</v>
      </c>
      <c r="O224" s="345">
        <v>0</v>
      </c>
    </row>
    <row r="225" spans="1:15" x14ac:dyDescent="0.5">
      <c r="A225" s="349" t="s">
        <v>308</v>
      </c>
      <c r="B225" s="1" t="s">
        <v>1189</v>
      </c>
      <c r="C225" s="345">
        <v>0</v>
      </c>
      <c r="N225" s="345">
        <v>0</v>
      </c>
      <c r="O225" s="345">
        <v>0</v>
      </c>
    </row>
    <row r="226" spans="1:15" x14ac:dyDescent="0.5">
      <c r="A226" s="349" t="s">
        <v>311</v>
      </c>
      <c r="B226" s="1" t="s">
        <v>312</v>
      </c>
      <c r="C226" s="345">
        <v>0</v>
      </c>
      <c r="N226" s="345">
        <v>0</v>
      </c>
      <c r="O226" s="345">
        <v>0</v>
      </c>
    </row>
    <row r="227" spans="1:15" x14ac:dyDescent="0.5">
      <c r="A227" s="349" t="s">
        <v>315</v>
      </c>
      <c r="B227" s="1" t="s">
        <v>301</v>
      </c>
      <c r="C227" s="345">
        <v>0</v>
      </c>
      <c r="N227" s="345">
        <v>0</v>
      </c>
      <c r="O227" s="345">
        <v>0</v>
      </c>
    </row>
    <row r="228" spans="1:15" x14ac:dyDescent="0.5">
      <c r="A228" s="349" t="s">
        <v>316</v>
      </c>
      <c r="B228" s="1" t="s">
        <v>317</v>
      </c>
      <c r="C228" s="345">
        <v>0</v>
      </c>
      <c r="N228" s="345">
        <v>0</v>
      </c>
      <c r="O228" s="345">
        <v>0</v>
      </c>
    </row>
    <row r="229" spans="1:15" x14ac:dyDescent="0.5">
      <c r="A229" s="349" t="s">
        <v>922</v>
      </c>
      <c r="B229" s="1" t="s">
        <v>923</v>
      </c>
      <c r="C229" s="345">
        <v>0</v>
      </c>
      <c r="N229" s="345">
        <v>0</v>
      </c>
      <c r="O229" s="345">
        <v>0</v>
      </c>
    </row>
    <row r="230" spans="1:15" x14ac:dyDescent="0.5">
      <c r="A230" s="349" t="s">
        <v>318</v>
      </c>
      <c r="B230" s="1" t="s">
        <v>319</v>
      </c>
      <c r="C230" s="345">
        <v>0</v>
      </c>
      <c r="N230" s="345">
        <v>0</v>
      </c>
      <c r="O230" s="345">
        <v>0</v>
      </c>
    </row>
    <row r="231" spans="1:15" x14ac:dyDescent="0.5">
      <c r="A231" s="349" t="s">
        <v>320</v>
      </c>
      <c r="B231" s="1" t="s">
        <v>321</v>
      </c>
      <c r="C231" s="345">
        <v>0</v>
      </c>
      <c r="N231" s="345">
        <v>0</v>
      </c>
      <c r="O231" s="345">
        <v>0</v>
      </c>
    </row>
    <row r="232" spans="1:15" x14ac:dyDescent="0.5">
      <c r="A232" s="349" t="s">
        <v>322</v>
      </c>
      <c r="B232" s="1" t="s">
        <v>323</v>
      </c>
      <c r="C232" s="345">
        <v>0</v>
      </c>
      <c r="N232" s="345">
        <v>0</v>
      </c>
      <c r="O232" s="345">
        <v>0</v>
      </c>
    </row>
    <row r="233" spans="1:15" x14ac:dyDescent="0.5">
      <c r="A233" s="349" t="s">
        <v>324</v>
      </c>
      <c r="B233" s="1" t="s">
        <v>325</v>
      </c>
      <c r="C233" s="345">
        <v>400000</v>
      </c>
      <c r="G233" s="431">
        <v>24000</v>
      </c>
      <c r="N233" s="345">
        <v>0</v>
      </c>
      <c r="O233" s="345">
        <v>0</v>
      </c>
    </row>
    <row r="234" spans="1:15" x14ac:dyDescent="0.5">
      <c r="A234" s="349" t="s">
        <v>326</v>
      </c>
      <c r="B234" s="1" t="s">
        <v>327</v>
      </c>
      <c r="C234" s="345">
        <v>0</v>
      </c>
      <c r="N234" s="345">
        <v>0</v>
      </c>
      <c r="O234" s="345">
        <v>0</v>
      </c>
    </row>
    <row r="235" spans="1:15" x14ac:dyDescent="0.5">
      <c r="A235" s="349" t="s">
        <v>328</v>
      </c>
      <c r="B235" s="1" t="s">
        <v>329</v>
      </c>
      <c r="C235" s="345">
        <v>50000</v>
      </c>
      <c r="N235" s="345">
        <v>400000</v>
      </c>
      <c r="O235" s="345">
        <v>400000</v>
      </c>
    </row>
    <row r="236" spans="1:15" x14ac:dyDescent="0.5">
      <c r="A236" s="349" t="s">
        <v>330</v>
      </c>
      <c r="B236" s="1" t="s">
        <v>331</v>
      </c>
      <c r="C236" s="345">
        <v>200000</v>
      </c>
      <c r="N236" s="345">
        <v>0</v>
      </c>
      <c r="O236" s="345">
        <v>0</v>
      </c>
    </row>
    <row r="237" spans="1:15" x14ac:dyDescent="0.5">
      <c r="A237" s="349" t="s">
        <v>332</v>
      </c>
      <c r="B237" s="1" t="s">
        <v>333</v>
      </c>
      <c r="C237" s="345">
        <v>150000</v>
      </c>
      <c r="N237" s="345">
        <v>50000</v>
      </c>
      <c r="O237" s="345">
        <v>50000</v>
      </c>
    </row>
    <row r="238" spans="1:15" x14ac:dyDescent="0.5">
      <c r="A238" s="349" t="s">
        <v>924</v>
      </c>
      <c r="B238" s="1" t="s">
        <v>399</v>
      </c>
      <c r="C238" s="345">
        <v>255000</v>
      </c>
      <c r="N238" s="345">
        <v>200000</v>
      </c>
      <c r="O238" s="345">
        <v>200000</v>
      </c>
    </row>
    <row r="239" spans="1:15" x14ac:dyDescent="0.5">
      <c r="A239" s="349" t="s">
        <v>925</v>
      </c>
      <c r="B239" s="1" t="s">
        <v>400</v>
      </c>
      <c r="C239" s="345">
        <v>0</v>
      </c>
      <c r="N239" s="345">
        <v>150000</v>
      </c>
      <c r="O239" s="345">
        <v>150000</v>
      </c>
    </row>
    <row r="240" spans="1:15" x14ac:dyDescent="0.5">
      <c r="A240" s="349" t="s">
        <v>926</v>
      </c>
      <c r="B240" s="1" t="s">
        <v>401</v>
      </c>
      <c r="C240" s="345">
        <v>0</v>
      </c>
      <c r="N240" s="345">
        <v>131207</v>
      </c>
      <c r="O240" s="345">
        <v>243858.2</v>
      </c>
    </row>
    <row r="241" spans="1:15" x14ac:dyDescent="0.5">
      <c r="A241" s="349" t="s">
        <v>927</v>
      </c>
      <c r="B241" s="1" t="s">
        <v>402</v>
      </c>
      <c r="C241" s="345">
        <v>0</v>
      </c>
      <c r="N241" s="345">
        <v>0</v>
      </c>
      <c r="O241" s="345">
        <v>0</v>
      </c>
    </row>
    <row r="242" spans="1:15" x14ac:dyDescent="0.5">
      <c r="A242" s="349" t="s">
        <v>928</v>
      </c>
      <c r="B242" s="1" t="s">
        <v>403</v>
      </c>
      <c r="C242" s="345">
        <v>250000</v>
      </c>
      <c r="N242" s="345">
        <v>0</v>
      </c>
      <c r="O242" s="345">
        <v>0</v>
      </c>
    </row>
    <row r="243" spans="1:15" x14ac:dyDescent="0.5">
      <c r="A243" s="349" t="s">
        <v>929</v>
      </c>
      <c r="B243" s="1" t="s">
        <v>404</v>
      </c>
      <c r="C243" s="345">
        <v>565000</v>
      </c>
      <c r="N243" s="345">
        <v>0</v>
      </c>
      <c r="O243" s="345">
        <v>0</v>
      </c>
    </row>
    <row r="244" spans="1:15" x14ac:dyDescent="0.5">
      <c r="A244" s="349" t="s">
        <v>930</v>
      </c>
      <c r="B244" s="1" t="s">
        <v>409</v>
      </c>
      <c r="C244" s="345">
        <v>194000</v>
      </c>
      <c r="N244" s="345">
        <v>250000</v>
      </c>
      <c r="O244" s="345">
        <v>488091.5</v>
      </c>
    </row>
    <row r="245" spans="1:15" x14ac:dyDescent="0.5">
      <c r="A245" s="349" t="s">
        <v>931</v>
      </c>
      <c r="B245" s="1" t="s">
        <v>410</v>
      </c>
      <c r="C245" s="345">
        <v>0</v>
      </c>
      <c r="N245" s="345">
        <v>687000</v>
      </c>
      <c r="O245" s="345">
        <v>733759.58</v>
      </c>
    </row>
    <row r="246" spans="1:15" x14ac:dyDescent="0.5">
      <c r="A246" s="349" t="s">
        <v>932</v>
      </c>
      <c r="B246" s="1" t="s">
        <v>411</v>
      </c>
      <c r="C246" s="345">
        <v>0</v>
      </c>
      <c r="N246" s="345">
        <v>194000</v>
      </c>
      <c r="O246" s="345">
        <v>247115</v>
      </c>
    </row>
    <row r="247" spans="1:15" x14ac:dyDescent="0.5">
      <c r="A247" s="349" t="s">
        <v>334</v>
      </c>
      <c r="B247" s="1" t="s">
        <v>335</v>
      </c>
      <c r="C247" s="345">
        <v>0</v>
      </c>
      <c r="N247" s="345">
        <v>0</v>
      </c>
      <c r="O247" s="345">
        <v>43400</v>
      </c>
    </row>
    <row r="248" spans="1:15" x14ac:dyDescent="0.5">
      <c r="A248" s="349" t="s">
        <v>336</v>
      </c>
      <c r="B248" s="1" t="s">
        <v>337</v>
      </c>
      <c r="C248" s="345">
        <v>0</v>
      </c>
      <c r="N248" s="345">
        <v>0</v>
      </c>
      <c r="O248" s="345">
        <v>0</v>
      </c>
    </row>
    <row r="249" spans="1:15" x14ac:dyDescent="0.5">
      <c r="A249" s="349" t="s">
        <v>338</v>
      </c>
      <c r="B249" s="1" t="s">
        <v>339</v>
      </c>
      <c r="C249" s="345">
        <v>617100</v>
      </c>
      <c r="D249" s="431">
        <v>617100</v>
      </c>
      <c r="N249" s="345">
        <v>18640</v>
      </c>
      <c r="O249" s="345">
        <v>27960</v>
      </c>
    </row>
    <row r="250" spans="1:15" x14ac:dyDescent="0.5">
      <c r="A250" s="349" t="s">
        <v>340</v>
      </c>
      <c r="B250" s="1" t="s">
        <v>341</v>
      </c>
      <c r="C250" s="345">
        <v>0</v>
      </c>
      <c r="N250" s="345">
        <v>5600</v>
      </c>
      <c r="O250" s="345">
        <v>8400</v>
      </c>
    </row>
    <row r="251" spans="1:15" x14ac:dyDescent="0.5">
      <c r="A251" s="349" t="s">
        <v>342</v>
      </c>
      <c r="B251" s="1" t="s">
        <v>343</v>
      </c>
      <c r="C251" s="345">
        <v>0</v>
      </c>
      <c r="N251" s="345">
        <v>580800</v>
      </c>
      <c r="O251" s="345">
        <v>580903</v>
      </c>
    </row>
    <row r="252" spans="1:15" x14ac:dyDescent="0.5">
      <c r="A252" s="349" t="s">
        <v>344</v>
      </c>
      <c r="B252" s="1" t="s">
        <v>345</v>
      </c>
      <c r="C252" s="345">
        <v>501000</v>
      </c>
      <c r="F252" s="431">
        <v>60000</v>
      </c>
      <c r="I252" s="431">
        <v>500000</v>
      </c>
      <c r="L252" s="431">
        <v>242000</v>
      </c>
      <c r="N252" s="345">
        <v>0</v>
      </c>
      <c r="O252" s="345">
        <v>0</v>
      </c>
    </row>
    <row r="253" spans="1:15" x14ac:dyDescent="0.5">
      <c r="A253" s="349" t="s">
        <v>346</v>
      </c>
      <c r="B253" s="1" t="s">
        <v>347</v>
      </c>
      <c r="C253" s="345">
        <v>35000</v>
      </c>
      <c r="H253" s="431">
        <v>35000</v>
      </c>
      <c r="N253" s="345">
        <v>0</v>
      </c>
      <c r="O253" s="345">
        <v>0</v>
      </c>
    </row>
    <row r="254" spans="1:15" x14ac:dyDescent="0.5">
      <c r="A254" s="349" t="s">
        <v>348</v>
      </c>
      <c r="B254" s="1" t="s">
        <v>349</v>
      </c>
      <c r="C254" s="345">
        <v>44000</v>
      </c>
      <c r="N254" s="345">
        <v>501000</v>
      </c>
      <c r="O254" s="345">
        <v>752000</v>
      </c>
    </row>
    <row r="255" spans="1:15" x14ac:dyDescent="0.5">
      <c r="A255" s="349" t="s">
        <v>350</v>
      </c>
      <c r="B255" s="1" t="s">
        <v>351</v>
      </c>
      <c r="C255" s="345">
        <v>0</v>
      </c>
      <c r="N255" s="345">
        <v>0</v>
      </c>
      <c r="O255" s="345">
        <v>1550</v>
      </c>
    </row>
    <row r="256" spans="1:15" x14ac:dyDescent="0.5">
      <c r="A256" s="349" t="s">
        <v>352</v>
      </c>
      <c r="B256" s="1" t="s">
        <v>353</v>
      </c>
      <c r="C256" s="345">
        <v>0</v>
      </c>
      <c r="N256" s="345">
        <v>0</v>
      </c>
      <c r="O256" s="345">
        <v>0</v>
      </c>
    </row>
    <row r="257" spans="1:15" x14ac:dyDescent="0.5">
      <c r="A257" s="349" t="s">
        <v>354</v>
      </c>
      <c r="B257" s="1" t="s">
        <v>1190</v>
      </c>
      <c r="C257" s="345">
        <v>318400</v>
      </c>
      <c r="F257" s="431">
        <v>90000</v>
      </c>
      <c r="I257" s="431">
        <v>506000</v>
      </c>
      <c r="K257" s="431">
        <v>12500</v>
      </c>
      <c r="L257" s="431">
        <v>5000</v>
      </c>
      <c r="N257" s="345">
        <v>0</v>
      </c>
      <c r="O257" s="345">
        <v>0</v>
      </c>
    </row>
    <row r="258" spans="1:15" x14ac:dyDescent="0.5">
      <c r="A258" s="349" t="s">
        <v>355</v>
      </c>
      <c r="B258" s="1" t="s">
        <v>356</v>
      </c>
      <c r="C258" s="345">
        <v>63960</v>
      </c>
      <c r="D258" s="431">
        <v>48000</v>
      </c>
      <c r="J258" s="429">
        <v>7560</v>
      </c>
      <c r="L258" s="431">
        <v>8400</v>
      </c>
      <c r="N258" s="345">
        <v>0</v>
      </c>
      <c r="O258" s="345">
        <v>0</v>
      </c>
    </row>
    <row r="259" spans="1:15" x14ac:dyDescent="0.5">
      <c r="A259" s="349" t="s">
        <v>357</v>
      </c>
      <c r="B259" s="1" t="s">
        <v>358</v>
      </c>
      <c r="C259" s="345">
        <v>0</v>
      </c>
      <c r="N259" s="345">
        <v>318400</v>
      </c>
      <c r="O259" s="345">
        <v>477590</v>
      </c>
    </row>
    <row r="260" spans="1:15" x14ac:dyDescent="0.5">
      <c r="A260" s="349" t="s">
        <v>933</v>
      </c>
      <c r="B260" s="1" t="s">
        <v>934</v>
      </c>
      <c r="C260" s="345">
        <v>745000</v>
      </c>
      <c r="N260" s="345">
        <v>96000</v>
      </c>
      <c r="O260" s="345">
        <v>223200</v>
      </c>
    </row>
    <row r="261" spans="1:15" x14ac:dyDescent="0.5">
      <c r="A261" s="349" t="s">
        <v>359</v>
      </c>
      <c r="B261" s="1" t="s">
        <v>360</v>
      </c>
      <c r="C261" s="345">
        <v>0</v>
      </c>
      <c r="N261" s="345">
        <v>0</v>
      </c>
      <c r="O261" s="345">
        <v>0</v>
      </c>
    </row>
    <row r="262" spans="1:15" x14ac:dyDescent="0.5">
      <c r="A262" s="349" t="s">
        <v>361</v>
      </c>
      <c r="B262" s="1" t="s">
        <v>362</v>
      </c>
      <c r="C262" s="345">
        <v>0</v>
      </c>
      <c r="N262" s="345">
        <v>610850</v>
      </c>
      <c r="O262" s="345">
        <v>677730</v>
      </c>
    </row>
    <row r="263" spans="1:15" x14ac:dyDescent="0.5">
      <c r="A263" s="349" t="s">
        <v>363</v>
      </c>
      <c r="B263" s="1" t="s">
        <v>364</v>
      </c>
      <c r="C263" s="345">
        <v>0</v>
      </c>
      <c r="N263" s="345">
        <v>0</v>
      </c>
      <c r="O263" s="345">
        <v>0</v>
      </c>
    </row>
    <row r="264" spans="1:15" x14ac:dyDescent="0.5">
      <c r="A264" s="349" t="s">
        <v>365</v>
      </c>
      <c r="B264" s="1" t="s">
        <v>366</v>
      </c>
      <c r="C264" s="345">
        <v>0</v>
      </c>
      <c r="N264" s="345">
        <v>0</v>
      </c>
      <c r="O264" s="345">
        <v>0</v>
      </c>
    </row>
    <row r="265" spans="1:15" x14ac:dyDescent="0.5">
      <c r="A265" s="349" t="s">
        <v>367</v>
      </c>
      <c r="B265" s="1" t="s">
        <v>368</v>
      </c>
      <c r="C265" s="345">
        <v>0</v>
      </c>
      <c r="N265" s="345">
        <v>0</v>
      </c>
      <c r="O265" s="345">
        <v>0</v>
      </c>
    </row>
    <row r="266" spans="1:15" x14ac:dyDescent="0.5">
      <c r="A266" s="349" t="s">
        <v>369</v>
      </c>
      <c r="B266" s="1" t="s">
        <v>370</v>
      </c>
      <c r="C266" s="345">
        <v>113410</v>
      </c>
      <c r="D266" s="431">
        <v>113410</v>
      </c>
      <c r="N266" s="345">
        <v>0</v>
      </c>
      <c r="O266" s="345">
        <v>0</v>
      </c>
    </row>
    <row r="267" spans="1:15" x14ac:dyDescent="0.5">
      <c r="A267" s="349" t="s">
        <v>371</v>
      </c>
      <c r="B267" s="1" t="s">
        <v>1506</v>
      </c>
      <c r="C267" s="345">
        <v>209000</v>
      </c>
      <c r="L267" s="431">
        <v>209000</v>
      </c>
      <c r="N267" s="345">
        <v>0</v>
      </c>
      <c r="O267" s="345">
        <v>0</v>
      </c>
    </row>
    <row r="268" spans="1:15" x14ac:dyDescent="0.5">
      <c r="A268" s="349" t="s">
        <v>373</v>
      </c>
      <c r="B268" s="1" t="s">
        <v>1192</v>
      </c>
      <c r="C268" s="345">
        <f>SUM(D268:L268)</f>
        <v>1417710.4</v>
      </c>
      <c r="D268" s="431">
        <v>628330.39999999991</v>
      </c>
      <c r="E268" s="431">
        <v>272000</v>
      </c>
      <c r="F268" s="431">
        <v>31390</v>
      </c>
      <c r="H268" s="431">
        <v>20330</v>
      </c>
      <c r="I268" s="431">
        <v>452960</v>
      </c>
      <c r="K268" s="431">
        <v>12700</v>
      </c>
      <c r="N268" s="345">
        <v>113410</v>
      </c>
      <c r="O268" s="345">
        <v>113595</v>
      </c>
    </row>
    <row r="269" spans="1:15" x14ac:dyDescent="0.5">
      <c r="A269" s="349" t="s">
        <v>374</v>
      </c>
      <c r="B269" s="1" t="s">
        <v>375</v>
      </c>
      <c r="C269" s="345">
        <v>836500</v>
      </c>
      <c r="F269" s="431">
        <f>136500+700000</f>
        <v>836500</v>
      </c>
      <c r="N269" s="345">
        <v>0</v>
      </c>
      <c r="O269" s="345">
        <v>0</v>
      </c>
    </row>
    <row r="270" spans="1:15" x14ac:dyDescent="0.5">
      <c r="A270" s="349" t="s">
        <v>376</v>
      </c>
      <c r="B270" s="1" t="s">
        <v>377</v>
      </c>
      <c r="C270" s="345">
        <v>400000</v>
      </c>
      <c r="J270" s="431">
        <v>915000</v>
      </c>
      <c r="N270" s="345">
        <v>890000</v>
      </c>
      <c r="O270" s="345">
        <v>1297505.3999999999</v>
      </c>
    </row>
    <row r="271" spans="1:15" x14ac:dyDescent="0.5">
      <c r="A271" s="349" t="s">
        <v>378</v>
      </c>
      <c r="B271" s="1" t="s">
        <v>379</v>
      </c>
      <c r="C271" s="345">
        <v>0</v>
      </c>
      <c r="N271" s="345">
        <v>936500</v>
      </c>
      <c r="O271" s="345">
        <v>936500</v>
      </c>
    </row>
    <row r="272" spans="1:15" x14ac:dyDescent="0.5">
      <c r="A272" s="349" t="s">
        <v>380</v>
      </c>
      <c r="B272" s="1" t="s">
        <v>381</v>
      </c>
      <c r="C272" s="345">
        <v>0</v>
      </c>
      <c r="N272" s="345">
        <v>399100</v>
      </c>
      <c r="O272" s="345">
        <v>400000</v>
      </c>
    </row>
    <row r="273" spans="1:15" x14ac:dyDescent="0.5">
      <c r="A273" s="349" t="s">
        <v>390</v>
      </c>
      <c r="B273" s="1" t="s">
        <v>391</v>
      </c>
      <c r="C273" s="345">
        <v>1845998.4983999999</v>
      </c>
      <c r="D273" s="431">
        <v>1845998.4983999999</v>
      </c>
      <c r="N273" s="345">
        <v>0</v>
      </c>
      <c r="O273" s="345">
        <v>0</v>
      </c>
    </row>
    <row r="274" spans="1:15" x14ac:dyDescent="0.5">
      <c r="A274" s="349" t="s">
        <v>392</v>
      </c>
      <c r="B274" s="1" t="s">
        <v>1193</v>
      </c>
      <c r="C274" s="345">
        <v>5000</v>
      </c>
      <c r="D274" s="431">
        <v>5000</v>
      </c>
      <c r="N274" s="345">
        <v>0</v>
      </c>
      <c r="O274" s="345">
        <v>0</v>
      </c>
    </row>
    <row r="275" spans="1:15" x14ac:dyDescent="0.5">
      <c r="A275" s="349" t="s">
        <v>393</v>
      </c>
      <c r="B275" s="1" t="s">
        <v>394</v>
      </c>
      <c r="C275" s="345">
        <v>81282</v>
      </c>
      <c r="D275" s="431">
        <v>81282</v>
      </c>
      <c r="I275" s="431">
        <v>26508</v>
      </c>
      <c r="N275" s="345">
        <v>1846000</v>
      </c>
      <c r="O275" s="345">
        <v>1846000</v>
      </c>
    </row>
    <row r="276" spans="1:15" x14ac:dyDescent="0.5">
      <c r="A276" s="349" t="s">
        <v>395</v>
      </c>
      <c r="B276" s="1" t="s">
        <v>396</v>
      </c>
      <c r="C276" s="345">
        <v>88596</v>
      </c>
      <c r="D276" s="431">
        <v>88596</v>
      </c>
      <c r="N276" s="345">
        <v>3850</v>
      </c>
      <c r="O276" s="345">
        <v>3850</v>
      </c>
    </row>
    <row r="277" spans="1:15" x14ac:dyDescent="0.5">
      <c r="A277" s="349" t="s">
        <v>397</v>
      </c>
      <c r="B277" s="1" t="s">
        <v>398</v>
      </c>
      <c r="C277" s="345">
        <v>18000</v>
      </c>
      <c r="D277" s="431">
        <v>18000</v>
      </c>
      <c r="N277" s="345">
        <v>97408</v>
      </c>
      <c r="O277" s="345">
        <v>97408</v>
      </c>
    </row>
    <row r="278" spans="1:15" x14ac:dyDescent="0.5">
      <c r="A278" s="349" t="s">
        <v>382</v>
      </c>
      <c r="B278" s="1" t="s">
        <v>383</v>
      </c>
      <c r="C278" s="345">
        <v>0</v>
      </c>
      <c r="N278" s="345">
        <v>88596</v>
      </c>
      <c r="O278" s="345">
        <v>88596</v>
      </c>
    </row>
    <row r="279" spans="1:15" x14ac:dyDescent="0.5">
      <c r="A279" s="349" t="s">
        <v>384</v>
      </c>
      <c r="B279" s="1" t="s">
        <v>385</v>
      </c>
      <c r="C279" s="345">
        <v>126500.48</v>
      </c>
      <c r="D279" s="431">
        <v>126500.48</v>
      </c>
      <c r="N279" s="345">
        <v>10000</v>
      </c>
      <c r="O279" s="345">
        <v>20000</v>
      </c>
    </row>
    <row r="280" spans="1:15" x14ac:dyDescent="0.5">
      <c r="A280" s="349" t="s">
        <v>220</v>
      </c>
      <c r="B280" s="1" t="s">
        <v>221</v>
      </c>
      <c r="C280" s="345">
        <v>8252608.1900000004</v>
      </c>
      <c r="N280" s="345">
        <v>0</v>
      </c>
      <c r="O280" s="345">
        <v>0</v>
      </c>
    </row>
    <row r="281" spans="1:15" x14ac:dyDescent="0.5">
      <c r="A281" s="349" t="s">
        <v>222</v>
      </c>
      <c r="B281" s="1" t="s">
        <v>1194</v>
      </c>
      <c r="C281" s="345">
        <v>119000</v>
      </c>
      <c r="N281" s="345">
        <v>54822.52</v>
      </c>
      <c r="O281" s="345">
        <v>83552.02</v>
      </c>
    </row>
    <row r="282" spans="1:15" x14ac:dyDescent="0.5">
      <c r="A282" s="349" t="s">
        <v>224</v>
      </c>
      <c r="B282" s="1" t="s">
        <v>1195</v>
      </c>
      <c r="C282" s="345">
        <v>2191000</v>
      </c>
      <c r="N282" s="345">
        <v>7892985.4699999997</v>
      </c>
      <c r="O282" s="345">
        <v>7408419.3399999999</v>
      </c>
    </row>
    <row r="283" spans="1:15" x14ac:dyDescent="0.5">
      <c r="A283" s="349" t="s">
        <v>227</v>
      </c>
      <c r="B283" s="1" t="s">
        <v>228</v>
      </c>
      <c r="C283" s="345">
        <v>1066488.8999999999</v>
      </c>
      <c r="N283" s="345">
        <v>110413.57</v>
      </c>
      <c r="O283" s="345">
        <v>109386.67</v>
      </c>
    </row>
    <row r="284" spans="1:15" x14ac:dyDescent="0.5">
      <c r="A284" s="349" t="s">
        <v>405</v>
      </c>
      <c r="B284" s="1" t="s">
        <v>406</v>
      </c>
      <c r="C284" s="345">
        <v>750000</v>
      </c>
      <c r="N284" s="345">
        <v>3036706.65</v>
      </c>
      <c r="O284" s="345">
        <v>3036706.65</v>
      </c>
    </row>
    <row r="285" spans="1:15" x14ac:dyDescent="0.5">
      <c r="A285" s="349" t="s">
        <v>407</v>
      </c>
      <c r="B285" s="1" t="s">
        <v>408</v>
      </c>
      <c r="C285" s="345">
        <v>174000</v>
      </c>
      <c r="N285" s="345">
        <v>1928177.41</v>
      </c>
      <c r="O285" s="345">
        <v>1928177.41</v>
      </c>
    </row>
    <row r="286" spans="1:15" x14ac:dyDescent="0.5">
      <c r="A286" s="349" t="s">
        <v>225</v>
      </c>
      <c r="B286" s="1" t="s">
        <v>226</v>
      </c>
      <c r="C286" s="345">
        <v>450000</v>
      </c>
      <c r="N286" s="345">
        <v>943600</v>
      </c>
      <c r="O286" s="345">
        <v>943600</v>
      </c>
    </row>
    <row r="287" spans="1:15" x14ac:dyDescent="0.5">
      <c r="A287" s="349" t="s">
        <v>935</v>
      </c>
      <c r="B287" s="1" t="s">
        <v>936</v>
      </c>
      <c r="C287" s="345">
        <v>0</v>
      </c>
      <c r="N287" s="345">
        <v>133550</v>
      </c>
      <c r="O287" s="345">
        <v>133550</v>
      </c>
    </row>
    <row r="288" spans="1:15" x14ac:dyDescent="0.5">
      <c r="A288" s="349" t="s">
        <v>412</v>
      </c>
      <c r="B288" s="1" t="s">
        <v>1196</v>
      </c>
      <c r="C288" s="345">
        <v>114400</v>
      </c>
      <c r="E288" s="431">
        <v>30900</v>
      </c>
      <c r="G288" s="431">
        <v>29700</v>
      </c>
      <c r="H288" s="431">
        <v>16000</v>
      </c>
      <c r="I288" s="431">
        <v>36300</v>
      </c>
      <c r="K288" s="431">
        <v>1500</v>
      </c>
      <c r="N288" s="345">
        <v>410895</v>
      </c>
      <c r="O288" s="345">
        <v>410895</v>
      </c>
    </row>
    <row r="289" spans="1:15" x14ac:dyDescent="0.5">
      <c r="A289" s="349" t="s">
        <v>386</v>
      </c>
      <c r="B289" s="1" t="s">
        <v>387</v>
      </c>
      <c r="C289" s="345">
        <v>0</v>
      </c>
      <c r="N289" s="345">
        <v>0</v>
      </c>
      <c r="O289" s="345">
        <v>0</v>
      </c>
    </row>
    <row r="290" spans="1:15" x14ac:dyDescent="0.5">
      <c r="A290" s="349" t="s">
        <v>388</v>
      </c>
      <c r="B290" s="1" t="s">
        <v>389</v>
      </c>
      <c r="C290" s="345">
        <v>0</v>
      </c>
      <c r="N290" s="345">
        <v>761120</v>
      </c>
      <c r="O290" s="345">
        <v>761120</v>
      </c>
    </row>
    <row r="291" spans="1:15" x14ac:dyDescent="0.5">
      <c r="A291" s="349" t="s">
        <v>503</v>
      </c>
      <c r="B291" s="1" t="s">
        <v>1197</v>
      </c>
      <c r="C291" s="345">
        <v>0</v>
      </c>
      <c r="N291" s="345">
        <v>0</v>
      </c>
      <c r="O291" s="345">
        <v>0</v>
      </c>
    </row>
    <row r="292" spans="1:15" x14ac:dyDescent="0.5">
      <c r="A292" s="349" t="s">
        <v>937</v>
      </c>
      <c r="B292" s="1" t="s">
        <v>938</v>
      </c>
      <c r="C292" s="345">
        <v>0</v>
      </c>
      <c r="N292" s="345">
        <v>0</v>
      </c>
      <c r="O292" s="345">
        <v>0</v>
      </c>
    </row>
    <row r="293" spans="1:15" x14ac:dyDescent="0.5">
      <c r="A293" s="349" t="s">
        <v>504</v>
      </c>
      <c r="B293" s="1" t="s">
        <v>505</v>
      </c>
      <c r="C293" s="345">
        <v>0</v>
      </c>
      <c r="N293" s="345">
        <v>0</v>
      </c>
      <c r="O293" s="345">
        <v>0</v>
      </c>
    </row>
    <row r="294" spans="1:15" x14ac:dyDescent="0.5">
      <c r="A294" s="349" t="s">
        <v>939</v>
      </c>
      <c r="B294" s="1" t="s">
        <v>940</v>
      </c>
      <c r="C294" s="345">
        <v>0</v>
      </c>
      <c r="N294" s="345">
        <v>0</v>
      </c>
      <c r="O294" s="345">
        <v>0</v>
      </c>
    </row>
    <row r="295" spans="1:15" x14ac:dyDescent="0.5">
      <c r="A295" s="349" t="s">
        <v>506</v>
      </c>
      <c r="B295" s="1" t="s">
        <v>507</v>
      </c>
      <c r="C295" s="345">
        <v>0</v>
      </c>
      <c r="N295" s="345">
        <v>0</v>
      </c>
      <c r="O295" s="345">
        <v>0</v>
      </c>
    </row>
    <row r="296" spans="1:15" x14ac:dyDescent="0.5">
      <c r="A296" s="349" t="s">
        <v>508</v>
      </c>
      <c r="B296" s="1" t="s">
        <v>509</v>
      </c>
      <c r="C296" s="345">
        <v>0</v>
      </c>
      <c r="N296" s="345">
        <v>0</v>
      </c>
      <c r="O296" s="345">
        <v>0</v>
      </c>
    </row>
    <row r="297" spans="1:15" x14ac:dyDescent="0.5">
      <c r="A297" s="349" t="s">
        <v>510</v>
      </c>
      <c r="B297" s="1" t="s">
        <v>511</v>
      </c>
      <c r="C297" s="345">
        <v>0</v>
      </c>
      <c r="N297" s="345">
        <v>0</v>
      </c>
      <c r="O297" s="345">
        <v>0</v>
      </c>
    </row>
    <row r="298" spans="1:15" x14ac:dyDescent="0.5">
      <c r="A298" s="349" t="s">
        <v>512</v>
      </c>
      <c r="B298" s="1" t="s">
        <v>1198</v>
      </c>
      <c r="C298" s="345">
        <v>722000</v>
      </c>
      <c r="N298" s="345">
        <v>0</v>
      </c>
      <c r="O298" s="345">
        <v>0</v>
      </c>
    </row>
    <row r="299" spans="1:15" x14ac:dyDescent="0.5">
      <c r="A299" s="349" t="s">
        <v>513</v>
      </c>
      <c r="B299" s="1" t="s">
        <v>514</v>
      </c>
      <c r="C299" s="345">
        <v>268000</v>
      </c>
      <c r="F299" s="431">
        <v>268000</v>
      </c>
      <c r="N299" s="345">
        <v>0</v>
      </c>
      <c r="O299" s="345">
        <v>0</v>
      </c>
    </row>
    <row r="300" spans="1:15" x14ac:dyDescent="0.5">
      <c r="A300" s="349" t="s">
        <v>941</v>
      </c>
      <c r="B300" s="1" t="s">
        <v>942</v>
      </c>
      <c r="C300" s="345">
        <v>0</v>
      </c>
      <c r="N300" s="345">
        <v>722000</v>
      </c>
      <c r="O300" s="345">
        <v>722000</v>
      </c>
    </row>
    <row r="301" spans="1:15" x14ac:dyDescent="0.5">
      <c r="A301" s="349" t="s">
        <v>515</v>
      </c>
      <c r="B301" s="1" t="s">
        <v>1199</v>
      </c>
      <c r="C301" s="345">
        <v>4000000</v>
      </c>
      <c r="N301" s="345">
        <v>0</v>
      </c>
      <c r="O301" s="345">
        <v>0</v>
      </c>
    </row>
    <row r="302" spans="1:15" x14ac:dyDescent="0.5">
      <c r="A302" s="349" t="s">
        <v>516</v>
      </c>
      <c r="B302" s="1" t="s">
        <v>1200</v>
      </c>
      <c r="C302" s="345">
        <v>100000</v>
      </c>
      <c r="N302" s="345">
        <v>0</v>
      </c>
      <c r="O302" s="345">
        <v>0</v>
      </c>
    </row>
    <row r="303" spans="1:15" x14ac:dyDescent="0.5">
      <c r="A303" s="349" t="s">
        <v>943</v>
      </c>
      <c r="B303" s="1" t="s">
        <v>944</v>
      </c>
      <c r="C303" s="345">
        <v>0</v>
      </c>
      <c r="N303" s="345">
        <v>4000000</v>
      </c>
      <c r="O303" s="345">
        <v>4000000</v>
      </c>
    </row>
    <row r="304" spans="1:15" x14ac:dyDescent="0.5">
      <c r="A304" s="349" t="s">
        <v>517</v>
      </c>
      <c r="B304" s="1" t="s">
        <v>518</v>
      </c>
      <c r="C304" s="345">
        <v>0</v>
      </c>
      <c r="N304" s="345">
        <v>500000</v>
      </c>
      <c r="O304" s="345">
        <v>500000</v>
      </c>
    </row>
    <row r="305" spans="1:15" x14ac:dyDescent="0.5">
      <c r="A305" s="349" t="s">
        <v>519</v>
      </c>
      <c r="B305" s="1" t="s">
        <v>520</v>
      </c>
      <c r="C305" s="345">
        <v>0</v>
      </c>
      <c r="N305" s="345">
        <v>0</v>
      </c>
      <c r="O305" s="345">
        <v>0</v>
      </c>
    </row>
    <row r="306" spans="1:15" x14ac:dyDescent="0.5">
      <c r="A306" s="349" t="s">
        <v>945</v>
      </c>
      <c r="B306" s="1" t="s">
        <v>946</v>
      </c>
      <c r="C306" s="345">
        <v>6120000</v>
      </c>
      <c r="N306" s="345">
        <v>0</v>
      </c>
      <c r="O306" s="345">
        <v>0</v>
      </c>
    </row>
    <row r="307" spans="1:15" x14ac:dyDescent="0.5">
      <c r="A307" s="349" t="s">
        <v>947</v>
      </c>
      <c r="B307" s="1" t="s">
        <v>948</v>
      </c>
      <c r="C307" s="345">
        <v>1440000</v>
      </c>
      <c r="N307" s="345">
        <v>0</v>
      </c>
      <c r="O307" s="345">
        <v>0</v>
      </c>
    </row>
    <row r="308" spans="1:15" x14ac:dyDescent="0.5">
      <c r="A308" s="349" t="s">
        <v>949</v>
      </c>
      <c r="B308" s="1" t="s">
        <v>950</v>
      </c>
      <c r="C308" s="345">
        <v>0</v>
      </c>
      <c r="N308" s="345">
        <v>5663520</v>
      </c>
      <c r="O308" s="345">
        <v>5663520</v>
      </c>
    </row>
    <row r="309" spans="1:15" x14ac:dyDescent="0.5">
      <c r="A309" s="349" t="s">
        <v>951</v>
      </c>
      <c r="B309" s="1" t="s">
        <v>952</v>
      </c>
      <c r="C309" s="345">
        <v>30000</v>
      </c>
      <c r="N309" s="345">
        <v>1280400</v>
      </c>
      <c r="O309" s="345">
        <v>1280400</v>
      </c>
    </row>
    <row r="310" spans="1:15" x14ac:dyDescent="0.5">
      <c r="A310" s="349" t="s">
        <v>953</v>
      </c>
      <c r="B310" s="1" t="s">
        <v>954</v>
      </c>
      <c r="C310" s="345">
        <v>0</v>
      </c>
      <c r="N310" s="345">
        <v>0</v>
      </c>
      <c r="O310" s="345">
        <v>0</v>
      </c>
    </row>
    <row r="311" spans="1:15" x14ac:dyDescent="0.5">
      <c r="A311" s="349" t="s">
        <v>955</v>
      </c>
      <c r="B311" s="1" t="s">
        <v>271</v>
      </c>
      <c r="C311" s="345">
        <v>480000</v>
      </c>
      <c r="N311" s="345">
        <v>30000</v>
      </c>
      <c r="O311" s="345">
        <v>30000</v>
      </c>
    </row>
    <row r="312" spans="1:15" x14ac:dyDescent="0.5">
      <c r="A312" s="349" t="s">
        <v>956</v>
      </c>
      <c r="B312" s="1" t="s">
        <v>272</v>
      </c>
      <c r="C312" s="345">
        <v>480000</v>
      </c>
      <c r="N312" s="345">
        <v>0</v>
      </c>
      <c r="O312" s="345">
        <v>0</v>
      </c>
    </row>
    <row r="313" spans="1:15" x14ac:dyDescent="0.5">
      <c r="A313" s="349" t="s">
        <v>957</v>
      </c>
      <c r="B313" s="1" t="s">
        <v>273</v>
      </c>
      <c r="C313" s="345">
        <v>240000</v>
      </c>
      <c r="N313" s="345">
        <v>720000</v>
      </c>
      <c r="O313" s="345">
        <v>720000</v>
      </c>
    </row>
    <row r="314" spans="1:15" x14ac:dyDescent="0.5">
      <c r="A314" s="349" t="s">
        <v>958</v>
      </c>
      <c r="B314" s="1" t="s">
        <v>959</v>
      </c>
      <c r="C314" s="345">
        <v>0</v>
      </c>
      <c r="N314" s="345">
        <v>240000</v>
      </c>
      <c r="O314" s="345">
        <v>240000</v>
      </c>
    </row>
    <row r="315" spans="1:15" x14ac:dyDescent="0.5">
      <c r="A315" s="349" t="s">
        <v>960</v>
      </c>
      <c r="B315" s="1" t="s">
        <v>276</v>
      </c>
      <c r="C315" s="345">
        <v>0</v>
      </c>
      <c r="N315" s="345">
        <v>300000</v>
      </c>
      <c r="O315" s="345">
        <v>300000</v>
      </c>
    </row>
    <row r="316" spans="1:15" x14ac:dyDescent="0.5">
      <c r="A316" s="349" t="s">
        <v>413</v>
      </c>
      <c r="B316" s="1" t="s">
        <v>414</v>
      </c>
      <c r="C316" s="345">
        <v>450000</v>
      </c>
      <c r="N316" s="345">
        <v>0</v>
      </c>
      <c r="O316" s="345">
        <v>0</v>
      </c>
    </row>
    <row r="317" spans="1:15" x14ac:dyDescent="0.5">
      <c r="A317" s="349" t="s">
        <v>415</v>
      </c>
      <c r="B317" s="1" t="s">
        <v>416</v>
      </c>
      <c r="C317" s="345">
        <v>52000</v>
      </c>
      <c r="N317" s="345">
        <v>0</v>
      </c>
      <c r="O317" s="345">
        <v>0</v>
      </c>
    </row>
    <row r="318" spans="1:15" x14ac:dyDescent="0.5">
      <c r="A318" s="349" t="s">
        <v>417</v>
      </c>
      <c r="B318" s="1" t="s">
        <v>418</v>
      </c>
      <c r="C318" s="345">
        <v>110000</v>
      </c>
      <c r="N318" s="345">
        <v>450000</v>
      </c>
      <c r="O318" s="345">
        <v>450000</v>
      </c>
    </row>
    <row r="319" spans="1:15" x14ac:dyDescent="0.5">
      <c r="A319" s="349" t="s">
        <v>419</v>
      </c>
      <c r="B319" s="1" t="s">
        <v>420</v>
      </c>
      <c r="C319" s="345">
        <v>33000</v>
      </c>
      <c r="N319" s="345">
        <v>52000</v>
      </c>
      <c r="O319" s="345">
        <v>52000</v>
      </c>
    </row>
    <row r="320" spans="1:15" x14ac:dyDescent="0.5">
      <c r="A320" s="349" t="s">
        <v>421</v>
      </c>
      <c r="B320" s="1" t="s">
        <v>422</v>
      </c>
      <c r="C320" s="345">
        <v>119000</v>
      </c>
      <c r="N320" s="345">
        <v>110000</v>
      </c>
      <c r="O320" s="345">
        <v>110000</v>
      </c>
    </row>
    <row r="321" spans="1:15" x14ac:dyDescent="0.5">
      <c r="A321" s="349" t="s">
        <v>423</v>
      </c>
      <c r="B321" s="1" t="s">
        <v>424</v>
      </c>
      <c r="C321" s="345">
        <v>378000</v>
      </c>
      <c r="N321" s="345">
        <v>33000</v>
      </c>
      <c r="O321" s="345">
        <v>33000</v>
      </c>
    </row>
    <row r="322" spans="1:15" x14ac:dyDescent="0.5">
      <c r="A322" s="349" t="s">
        <v>425</v>
      </c>
      <c r="B322" s="1" t="s">
        <v>426</v>
      </c>
      <c r="C322" s="345">
        <v>0</v>
      </c>
      <c r="N322" s="345">
        <v>119000</v>
      </c>
      <c r="O322" s="345">
        <v>119000</v>
      </c>
    </row>
    <row r="323" spans="1:15" x14ac:dyDescent="0.5">
      <c r="A323" s="349" t="s">
        <v>427</v>
      </c>
      <c r="B323" s="1" t="s">
        <v>428</v>
      </c>
      <c r="C323" s="345">
        <v>0</v>
      </c>
      <c r="N323" s="345">
        <v>378000</v>
      </c>
      <c r="O323" s="345">
        <v>378000</v>
      </c>
    </row>
    <row r="324" spans="1:15" x14ac:dyDescent="0.5">
      <c r="A324" s="349" t="s">
        <v>429</v>
      </c>
      <c r="B324" s="1" t="s">
        <v>430</v>
      </c>
      <c r="C324" s="345">
        <v>31100</v>
      </c>
      <c r="N324" s="345">
        <v>0</v>
      </c>
      <c r="O324" s="345">
        <v>0</v>
      </c>
    </row>
    <row r="325" spans="1:15" x14ac:dyDescent="0.5">
      <c r="A325" s="349" t="s">
        <v>431</v>
      </c>
      <c r="B325" s="1" t="s">
        <v>432</v>
      </c>
      <c r="C325" s="345">
        <v>0</v>
      </c>
      <c r="N325" s="345">
        <v>0</v>
      </c>
      <c r="O325" s="345">
        <v>0</v>
      </c>
    </row>
    <row r="326" spans="1:15" x14ac:dyDescent="0.5">
      <c r="A326" s="349" t="s">
        <v>433</v>
      </c>
      <c r="B326" s="1" t="s">
        <v>434</v>
      </c>
      <c r="C326" s="345">
        <v>400000</v>
      </c>
      <c r="N326" s="345">
        <v>31100</v>
      </c>
      <c r="O326" s="345">
        <v>31100</v>
      </c>
    </row>
    <row r="327" spans="1:15" x14ac:dyDescent="0.5">
      <c r="A327" s="349" t="s">
        <v>435</v>
      </c>
      <c r="B327" s="1" t="s">
        <v>436</v>
      </c>
      <c r="C327" s="345">
        <v>0</v>
      </c>
      <c r="N327" s="345">
        <v>0</v>
      </c>
      <c r="O327" s="345">
        <v>0</v>
      </c>
    </row>
    <row r="328" spans="1:15" x14ac:dyDescent="0.5">
      <c r="A328" s="349" t="s">
        <v>437</v>
      </c>
      <c r="B328" s="1" t="s">
        <v>438</v>
      </c>
      <c r="C328" s="345">
        <v>0</v>
      </c>
      <c r="N328" s="345">
        <v>400000</v>
      </c>
      <c r="O328" s="345">
        <v>400000</v>
      </c>
    </row>
    <row r="329" spans="1:15" x14ac:dyDescent="0.5">
      <c r="A329" s="349" t="s">
        <v>439</v>
      </c>
      <c r="B329" s="1" t="s">
        <v>440</v>
      </c>
      <c r="C329" s="345">
        <v>0</v>
      </c>
      <c r="N329" s="345">
        <v>0</v>
      </c>
      <c r="O329" s="345">
        <v>0</v>
      </c>
    </row>
    <row r="330" spans="1:15" x14ac:dyDescent="0.5">
      <c r="A330" s="349" t="s">
        <v>441</v>
      </c>
      <c r="B330" s="1" t="s">
        <v>442</v>
      </c>
      <c r="C330" s="345">
        <v>0</v>
      </c>
      <c r="N330" s="345">
        <v>0</v>
      </c>
      <c r="O330" s="345">
        <v>0</v>
      </c>
    </row>
    <row r="331" spans="1:15" x14ac:dyDescent="0.5">
      <c r="A331" s="349" t="s">
        <v>443</v>
      </c>
      <c r="B331" s="1" t="s">
        <v>444</v>
      </c>
      <c r="C331" s="345">
        <v>364000</v>
      </c>
      <c r="N331" s="345">
        <v>0</v>
      </c>
      <c r="O331" s="345">
        <v>0</v>
      </c>
    </row>
    <row r="332" spans="1:15" x14ac:dyDescent="0.5">
      <c r="A332" s="349" t="s">
        <v>445</v>
      </c>
      <c r="B332" s="1" t="s">
        <v>446</v>
      </c>
      <c r="C332" s="345">
        <v>0</v>
      </c>
      <c r="N332" s="345">
        <v>0</v>
      </c>
      <c r="O332" s="345">
        <v>0</v>
      </c>
    </row>
    <row r="333" spans="1:15" x14ac:dyDescent="0.5">
      <c r="A333" s="349" t="s">
        <v>961</v>
      </c>
      <c r="B333" s="1" t="s">
        <v>962</v>
      </c>
      <c r="C333" s="345">
        <v>0</v>
      </c>
      <c r="N333" s="345">
        <v>364000</v>
      </c>
      <c r="O333" s="345">
        <v>364000</v>
      </c>
    </row>
    <row r="334" spans="1:15" x14ac:dyDescent="0.5">
      <c r="A334" s="349" t="s">
        <v>447</v>
      </c>
      <c r="B334" s="1" t="s">
        <v>448</v>
      </c>
      <c r="C334" s="345">
        <v>0</v>
      </c>
      <c r="N334" s="345">
        <v>0</v>
      </c>
      <c r="O334" s="345">
        <v>0</v>
      </c>
    </row>
    <row r="335" spans="1:15" x14ac:dyDescent="0.5">
      <c r="A335" s="349" t="s">
        <v>963</v>
      </c>
      <c r="B335" s="1" t="s">
        <v>964</v>
      </c>
      <c r="C335" s="345">
        <v>0</v>
      </c>
      <c r="N335" s="345">
        <v>0</v>
      </c>
      <c r="O335" s="345">
        <v>0</v>
      </c>
    </row>
    <row r="336" spans="1:15" x14ac:dyDescent="0.5">
      <c r="A336" s="349" t="s">
        <v>965</v>
      </c>
      <c r="B336" s="1" t="s">
        <v>966</v>
      </c>
      <c r="C336" s="345">
        <v>0</v>
      </c>
      <c r="N336" s="345">
        <v>0</v>
      </c>
      <c r="O336" s="345">
        <v>0</v>
      </c>
    </row>
    <row r="337" spans="1:15" x14ac:dyDescent="0.5">
      <c r="A337" s="349" t="s">
        <v>967</v>
      </c>
      <c r="B337" s="1" t="s">
        <v>968</v>
      </c>
      <c r="C337" s="345">
        <v>0</v>
      </c>
      <c r="N337" s="345">
        <v>0</v>
      </c>
      <c r="O337" s="345">
        <v>0</v>
      </c>
    </row>
    <row r="338" spans="1:15" x14ac:dyDescent="0.5">
      <c r="A338" s="349" t="s">
        <v>449</v>
      </c>
      <c r="B338" s="1" t="s">
        <v>450</v>
      </c>
      <c r="C338" s="345">
        <v>0</v>
      </c>
      <c r="N338" s="345">
        <v>0</v>
      </c>
      <c r="O338" s="345">
        <v>0</v>
      </c>
    </row>
    <row r="339" spans="1:15" x14ac:dyDescent="0.5">
      <c r="A339" s="349" t="s">
        <v>451</v>
      </c>
      <c r="B339" s="1" t="s">
        <v>452</v>
      </c>
      <c r="C339" s="345">
        <v>0</v>
      </c>
      <c r="N339" s="345">
        <v>0</v>
      </c>
      <c r="O339" s="345">
        <v>0</v>
      </c>
    </row>
    <row r="340" spans="1:15" x14ac:dyDescent="0.5">
      <c r="A340" s="349" t="s">
        <v>453</v>
      </c>
      <c r="B340" s="1" t="s">
        <v>454</v>
      </c>
      <c r="C340" s="345">
        <v>0</v>
      </c>
      <c r="N340" s="345">
        <v>0</v>
      </c>
      <c r="O340" s="345">
        <v>0</v>
      </c>
    </row>
    <row r="341" spans="1:15" x14ac:dyDescent="0.5">
      <c r="A341" s="349" t="s">
        <v>455</v>
      </c>
      <c r="B341" s="1" t="s">
        <v>456</v>
      </c>
      <c r="C341" s="345">
        <v>0</v>
      </c>
      <c r="N341" s="345">
        <v>0</v>
      </c>
      <c r="O341" s="345">
        <v>0</v>
      </c>
    </row>
    <row r="342" spans="1:15" x14ac:dyDescent="0.5">
      <c r="A342" s="349" t="s">
        <v>457</v>
      </c>
      <c r="B342" s="1" t="s">
        <v>458</v>
      </c>
      <c r="C342" s="345">
        <v>0</v>
      </c>
      <c r="N342" s="345">
        <v>0</v>
      </c>
      <c r="O342" s="345">
        <v>0</v>
      </c>
    </row>
    <row r="343" spans="1:15" x14ac:dyDescent="0.5">
      <c r="A343" s="349" t="s">
        <v>459</v>
      </c>
      <c r="B343" s="1" t="s">
        <v>460</v>
      </c>
      <c r="C343" s="345">
        <v>529000</v>
      </c>
      <c r="N343" s="345">
        <v>0</v>
      </c>
      <c r="O343" s="345">
        <v>0</v>
      </c>
    </row>
    <row r="344" spans="1:15" x14ac:dyDescent="0.5">
      <c r="A344" s="349" t="s">
        <v>461</v>
      </c>
      <c r="B344" s="1" t="s">
        <v>462</v>
      </c>
      <c r="C344" s="345">
        <v>0</v>
      </c>
      <c r="N344" s="345">
        <v>0</v>
      </c>
      <c r="O344" s="345">
        <v>0</v>
      </c>
    </row>
    <row r="345" spans="1:15" x14ac:dyDescent="0.5">
      <c r="A345" s="349" t="s">
        <v>463</v>
      </c>
      <c r="B345" s="1" t="s">
        <v>464</v>
      </c>
      <c r="C345" s="345">
        <v>0</v>
      </c>
      <c r="N345" s="345">
        <v>498000</v>
      </c>
      <c r="O345" s="345">
        <v>498000</v>
      </c>
    </row>
    <row r="346" spans="1:15" x14ac:dyDescent="0.5">
      <c r="A346" s="349" t="s">
        <v>465</v>
      </c>
      <c r="B346" s="1" t="s">
        <v>466</v>
      </c>
      <c r="C346" s="345">
        <v>0</v>
      </c>
      <c r="N346" s="345">
        <v>0</v>
      </c>
      <c r="O346" s="345">
        <v>0</v>
      </c>
    </row>
    <row r="347" spans="1:15" x14ac:dyDescent="0.5">
      <c r="A347" s="349" t="s">
        <v>467</v>
      </c>
      <c r="B347" s="1" t="s">
        <v>468</v>
      </c>
      <c r="C347" s="345">
        <v>0</v>
      </c>
      <c r="N347" s="345">
        <v>0</v>
      </c>
      <c r="O347" s="345">
        <v>0</v>
      </c>
    </row>
    <row r="348" spans="1:15" x14ac:dyDescent="0.5">
      <c r="A348" s="349" t="s">
        <v>469</v>
      </c>
      <c r="B348" s="1" t="s">
        <v>470</v>
      </c>
      <c r="C348" s="345">
        <v>0</v>
      </c>
      <c r="N348" s="345">
        <v>0</v>
      </c>
      <c r="O348" s="345">
        <v>0</v>
      </c>
    </row>
    <row r="349" spans="1:15" x14ac:dyDescent="0.5">
      <c r="A349" s="349" t="s">
        <v>471</v>
      </c>
      <c r="B349" s="1" t="s">
        <v>472</v>
      </c>
      <c r="C349" s="345">
        <v>0</v>
      </c>
      <c r="N349" s="345">
        <v>0</v>
      </c>
      <c r="O349" s="345">
        <v>0</v>
      </c>
    </row>
    <row r="350" spans="1:15" x14ac:dyDescent="0.5">
      <c r="A350" s="349" t="s">
        <v>473</v>
      </c>
      <c r="B350" s="1" t="s">
        <v>474</v>
      </c>
      <c r="C350" s="345">
        <v>0</v>
      </c>
      <c r="N350" s="345">
        <v>0</v>
      </c>
      <c r="O350" s="345">
        <v>0</v>
      </c>
    </row>
    <row r="351" spans="1:15" x14ac:dyDescent="0.5">
      <c r="A351" s="349" t="s">
        <v>475</v>
      </c>
      <c r="B351" s="1" t="s">
        <v>476</v>
      </c>
      <c r="C351" s="345">
        <v>302000</v>
      </c>
      <c r="N351" s="345">
        <v>0</v>
      </c>
      <c r="O351" s="345">
        <v>0</v>
      </c>
    </row>
    <row r="352" spans="1:15" x14ac:dyDescent="0.5">
      <c r="A352" s="349" t="s">
        <v>477</v>
      </c>
      <c r="B352" s="1" t="s">
        <v>478</v>
      </c>
      <c r="C352" s="345">
        <v>102000</v>
      </c>
      <c r="N352" s="345">
        <v>0</v>
      </c>
      <c r="O352" s="345">
        <v>0</v>
      </c>
    </row>
    <row r="353" spans="1:15" x14ac:dyDescent="0.5">
      <c r="A353" s="349" t="s">
        <v>479</v>
      </c>
      <c r="B353" s="1" t="s">
        <v>480</v>
      </c>
      <c r="C353" s="345">
        <v>280000</v>
      </c>
      <c r="N353" s="345">
        <v>302000</v>
      </c>
      <c r="O353" s="345">
        <v>302000</v>
      </c>
    </row>
    <row r="354" spans="1:15" x14ac:dyDescent="0.5">
      <c r="A354" s="349" t="s">
        <v>481</v>
      </c>
      <c r="B354" s="1" t="s">
        <v>482</v>
      </c>
      <c r="C354" s="345">
        <v>134800</v>
      </c>
      <c r="N354" s="345">
        <v>102000</v>
      </c>
      <c r="O354" s="345">
        <v>102000</v>
      </c>
    </row>
    <row r="355" spans="1:15" x14ac:dyDescent="0.5">
      <c r="A355" s="349" t="s">
        <v>483</v>
      </c>
      <c r="B355" s="1" t="s">
        <v>484</v>
      </c>
      <c r="C355" s="345">
        <v>14000</v>
      </c>
      <c r="N355" s="345">
        <v>280000</v>
      </c>
      <c r="O355" s="345">
        <v>280000</v>
      </c>
    </row>
    <row r="356" spans="1:15" x14ac:dyDescent="0.5">
      <c r="A356" s="349" t="s">
        <v>485</v>
      </c>
      <c r="B356" s="1" t="s">
        <v>486</v>
      </c>
      <c r="C356" s="345">
        <v>4547.7066666666669</v>
      </c>
      <c r="N356" s="345">
        <v>134800</v>
      </c>
      <c r="O356" s="345">
        <v>20000</v>
      </c>
    </row>
    <row r="357" spans="1:15" x14ac:dyDescent="0.5">
      <c r="A357" s="349" t="s">
        <v>487</v>
      </c>
      <c r="B357" s="1" t="s">
        <v>488</v>
      </c>
      <c r="C357" s="345">
        <v>3068553.2133333338</v>
      </c>
      <c r="N357" s="345">
        <v>14000</v>
      </c>
      <c r="O357" s="345">
        <v>14000</v>
      </c>
    </row>
    <row r="358" spans="1:15" x14ac:dyDescent="0.5">
      <c r="A358" s="349" t="s">
        <v>489</v>
      </c>
      <c r="B358" s="1" t="s">
        <v>490</v>
      </c>
      <c r="C358" s="345">
        <v>303391.88</v>
      </c>
      <c r="N358" s="345">
        <v>0</v>
      </c>
      <c r="O358" s="345">
        <v>0</v>
      </c>
    </row>
    <row r="359" spans="1:15" x14ac:dyDescent="0.5">
      <c r="A359" s="349" t="s">
        <v>491</v>
      </c>
      <c r="B359" s="1" t="s">
        <v>492</v>
      </c>
      <c r="C359" s="345">
        <v>308848.4266666667</v>
      </c>
      <c r="N359" s="345">
        <v>2000000</v>
      </c>
      <c r="O359" s="345">
        <v>2000000</v>
      </c>
    </row>
    <row r="360" spans="1:15" x14ac:dyDescent="0.5">
      <c r="A360" s="349" t="s">
        <v>493</v>
      </c>
      <c r="B360" s="1" t="s">
        <v>494</v>
      </c>
      <c r="C360" s="345">
        <v>0</v>
      </c>
      <c r="N360" s="345">
        <v>215000</v>
      </c>
      <c r="O360" s="345">
        <v>215000</v>
      </c>
    </row>
    <row r="361" spans="1:15" x14ac:dyDescent="0.5">
      <c r="A361" s="349" t="s">
        <v>495</v>
      </c>
      <c r="B361" s="1" t="s">
        <v>496</v>
      </c>
      <c r="C361" s="345">
        <v>0</v>
      </c>
      <c r="N361" s="345">
        <v>200000</v>
      </c>
      <c r="O361" s="345">
        <v>40000</v>
      </c>
    </row>
    <row r="362" spans="1:15" x14ac:dyDescent="0.5">
      <c r="A362" s="349" t="s">
        <v>497</v>
      </c>
      <c r="B362" s="1" t="s">
        <v>498</v>
      </c>
      <c r="C362" s="345">
        <v>0</v>
      </c>
      <c r="N362" s="345">
        <v>0</v>
      </c>
      <c r="O362" s="345">
        <v>0</v>
      </c>
    </row>
    <row r="363" spans="1:15" x14ac:dyDescent="0.5">
      <c r="A363" s="349" t="s">
        <v>499</v>
      </c>
      <c r="B363" s="1" t="s">
        <v>500</v>
      </c>
      <c r="C363" s="345">
        <v>0</v>
      </c>
      <c r="N363" s="345">
        <v>0</v>
      </c>
      <c r="O363" s="345">
        <v>0</v>
      </c>
    </row>
    <row r="364" spans="1:15" x14ac:dyDescent="0.5">
      <c r="A364" s="349" t="s">
        <v>501</v>
      </c>
      <c r="B364" s="1" t="s">
        <v>502</v>
      </c>
      <c r="C364" s="345">
        <v>0</v>
      </c>
      <c r="N364" s="345">
        <v>0</v>
      </c>
      <c r="O364" s="345">
        <v>0</v>
      </c>
    </row>
    <row r="365" spans="1:15" x14ac:dyDescent="0.5">
      <c r="A365" s="349" t="s">
        <v>521</v>
      </c>
      <c r="B365" s="1" t="s">
        <v>522</v>
      </c>
      <c r="C365" s="345">
        <v>0</v>
      </c>
      <c r="N365" s="345">
        <v>0</v>
      </c>
      <c r="O365" s="345">
        <v>0</v>
      </c>
    </row>
    <row r="366" spans="1:15" x14ac:dyDescent="0.5">
      <c r="A366" s="349" t="s">
        <v>523</v>
      </c>
      <c r="B366" s="1" t="s">
        <v>524</v>
      </c>
      <c r="C366" s="345">
        <v>0</v>
      </c>
      <c r="N366" s="345">
        <v>0</v>
      </c>
      <c r="O366" s="345">
        <v>0</v>
      </c>
    </row>
    <row r="367" spans="1:15" x14ac:dyDescent="0.5">
      <c r="A367" s="349" t="s">
        <v>969</v>
      </c>
      <c r="B367" s="1" t="s">
        <v>970</v>
      </c>
      <c r="C367" s="345">
        <v>0</v>
      </c>
      <c r="N367" s="345">
        <v>0</v>
      </c>
      <c r="O367" s="345">
        <v>0</v>
      </c>
    </row>
    <row r="368" spans="1:15" x14ac:dyDescent="0.5">
      <c r="A368" s="349" t="s">
        <v>525</v>
      </c>
      <c r="B368" s="1" t="s">
        <v>1201</v>
      </c>
      <c r="C368" s="345">
        <v>0</v>
      </c>
      <c r="N368" s="345">
        <v>0</v>
      </c>
      <c r="O368" s="345">
        <v>0</v>
      </c>
    </row>
    <row r="369" spans="1:15" x14ac:dyDescent="0.5">
      <c r="A369" s="349" t="s">
        <v>526</v>
      </c>
      <c r="B369" s="1" t="s">
        <v>527</v>
      </c>
      <c r="C369" s="345">
        <v>0</v>
      </c>
      <c r="N369" s="345">
        <v>0</v>
      </c>
      <c r="O369" s="345">
        <v>0</v>
      </c>
    </row>
    <row r="370" spans="1:15" x14ac:dyDescent="0.5">
      <c r="A370" s="349" t="s">
        <v>528</v>
      </c>
      <c r="B370" s="1" t="s">
        <v>529</v>
      </c>
      <c r="C370" s="345">
        <v>0</v>
      </c>
      <c r="N370" s="345">
        <v>0</v>
      </c>
      <c r="O370" s="345">
        <v>0</v>
      </c>
    </row>
    <row r="371" spans="1:15" x14ac:dyDescent="0.5">
      <c r="A371" s="349" t="s">
        <v>530</v>
      </c>
      <c r="B371" s="1" t="s">
        <v>1202</v>
      </c>
      <c r="C371" s="345">
        <v>250000</v>
      </c>
      <c r="N371" s="345">
        <v>0</v>
      </c>
      <c r="O371" s="345">
        <v>0</v>
      </c>
    </row>
    <row r="372" spans="1:15" x14ac:dyDescent="0.5">
      <c r="A372" s="349" t="s">
        <v>531</v>
      </c>
      <c r="B372" s="1" t="s">
        <v>1203</v>
      </c>
      <c r="C372" s="345">
        <v>200000</v>
      </c>
      <c r="N372" s="345">
        <v>0</v>
      </c>
      <c r="O372" s="345">
        <v>0</v>
      </c>
    </row>
    <row r="373" spans="1:15" x14ac:dyDescent="0.5">
      <c r="A373" s="349" t="s">
        <v>971</v>
      </c>
      <c r="B373" s="1" t="s">
        <v>972</v>
      </c>
      <c r="C373" s="345">
        <v>0</v>
      </c>
      <c r="N373" s="345">
        <v>500000</v>
      </c>
      <c r="O373" s="345">
        <v>0</v>
      </c>
    </row>
    <row r="374" spans="1:15" x14ac:dyDescent="0.5">
      <c r="A374" s="349" t="s">
        <v>532</v>
      </c>
      <c r="B374" s="1" t="s">
        <v>1359</v>
      </c>
      <c r="C374" s="345">
        <v>0</v>
      </c>
      <c r="N374" s="345">
        <v>515000</v>
      </c>
      <c r="O374" s="345">
        <v>0</v>
      </c>
    </row>
    <row r="375" spans="1:15" x14ac:dyDescent="0.5">
      <c r="A375" s="349" t="s">
        <v>533</v>
      </c>
      <c r="B375" s="1" t="s">
        <v>1205</v>
      </c>
      <c r="C375" s="345">
        <v>0</v>
      </c>
      <c r="N375" s="345">
        <v>0</v>
      </c>
      <c r="O375" s="345">
        <v>0</v>
      </c>
    </row>
    <row r="376" spans="1:15" x14ac:dyDescent="0.5">
      <c r="A376" s="349" t="s">
        <v>534</v>
      </c>
      <c r="B376" s="1" t="s">
        <v>1206</v>
      </c>
      <c r="C376" s="345">
        <v>0</v>
      </c>
      <c r="N376" s="345">
        <v>0</v>
      </c>
      <c r="O376" s="345">
        <v>0</v>
      </c>
    </row>
    <row r="377" spans="1:15" x14ac:dyDescent="0.5">
      <c r="A377" s="349" t="s">
        <v>535</v>
      </c>
      <c r="B377" s="1" t="s">
        <v>1207</v>
      </c>
      <c r="C377" s="345">
        <v>0</v>
      </c>
      <c r="N377" s="345">
        <v>0</v>
      </c>
      <c r="O377" s="345">
        <v>0</v>
      </c>
    </row>
    <row r="378" spans="1:15" x14ac:dyDescent="0.5">
      <c r="A378" s="349" t="s">
        <v>536</v>
      </c>
      <c r="B378" s="1" t="s">
        <v>1208</v>
      </c>
      <c r="C378" s="345">
        <v>0</v>
      </c>
      <c r="N378" s="345">
        <v>0</v>
      </c>
      <c r="O378" s="345">
        <v>0</v>
      </c>
    </row>
    <row r="379" spans="1:15" x14ac:dyDescent="0.5">
      <c r="A379" s="349" t="s">
        <v>537</v>
      </c>
      <c r="B379" s="1" t="s">
        <v>1209</v>
      </c>
      <c r="C379" s="345">
        <v>0</v>
      </c>
      <c r="N379" s="345">
        <v>0</v>
      </c>
      <c r="O379" s="345">
        <v>0</v>
      </c>
    </row>
    <row r="380" spans="1:15" x14ac:dyDescent="0.5">
      <c r="A380" s="349" t="s">
        <v>538</v>
      </c>
      <c r="B380" s="1" t="s">
        <v>1210</v>
      </c>
      <c r="C380" s="345">
        <v>0</v>
      </c>
      <c r="N380" s="345">
        <v>0</v>
      </c>
      <c r="O380" s="345">
        <v>0</v>
      </c>
    </row>
    <row r="381" spans="1:15" x14ac:dyDescent="0.5">
      <c r="A381" s="349" t="s">
        <v>539</v>
      </c>
      <c r="B381" s="1" t="s">
        <v>1211</v>
      </c>
      <c r="C381" s="345">
        <v>0</v>
      </c>
      <c r="N381" s="345">
        <v>0</v>
      </c>
      <c r="O381" s="345">
        <v>0</v>
      </c>
    </row>
    <row r="382" spans="1:15" x14ac:dyDescent="0.5">
      <c r="A382" s="349" t="s">
        <v>540</v>
      </c>
      <c r="B382" s="1" t="s">
        <v>1212</v>
      </c>
      <c r="C382" s="345">
        <v>0</v>
      </c>
      <c r="N382" s="345">
        <v>0</v>
      </c>
      <c r="O382" s="345">
        <v>0</v>
      </c>
    </row>
    <row r="383" spans="1:15" x14ac:dyDescent="0.5">
      <c r="A383" s="349" t="s">
        <v>541</v>
      </c>
      <c r="B383" s="1" t="s">
        <v>1213</v>
      </c>
      <c r="C383" s="345">
        <v>0</v>
      </c>
      <c r="N383" s="345">
        <v>0</v>
      </c>
      <c r="O383" s="345">
        <v>0</v>
      </c>
    </row>
    <row r="384" spans="1:15" x14ac:dyDescent="0.5">
      <c r="A384" s="349" t="s">
        <v>542</v>
      </c>
      <c r="B384" s="1" t="s">
        <v>543</v>
      </c>
      <c r="C384" s="345">
        <v>0</v>
      </c>
      <c r="N384" s="345">
        <v>0</v>
      </c>
      <c r="O384" s="345">
        <v>0</v>
      </c>
    </row>
    <row r="385" spans="1:15" x14ac:dyDescent="0.5">
      <c r="A385" s="349" t="s">
        <v>544</v>
      </c>
      <c r="B385" s="1" t="s">
        <v>545</v>
      </c>
      <c r="C385" s="345">
        <v>0</v>
      </c>
      <c r="N385" s="345">
        <v>0</v>
      </c>
      <c r="O385" s="345">
        <v>0</v>
      </c>
    </row>
    <row r="386" spans="1:15" x14ac:dyDescent="0.5">
      <c r="A386" s="349" t="s">
        <v>546</v>
      </c>
      <c r="B386" s="1" t="s">
        <v>1214</v>
      </c>
      <c r="C386" s="345">
        <v>250000</v>
      </c>
      <c r="N386" s="345">
        <v>0</v>
      </c>
      <c r="O386" s="345">
        <v>0</v>
      </c>
    </row>
    <row r="387" spans="1:15" x14ac:dyDescent="0.5">
      <c r="A387" s="349" t="s">
        <v>547</v>
      </c>
      <c r="B387" s="1" t="s">
        <v>1215</v>
      </c>
      <c r="C387" s="345">
        <v>200000</v>
      </c>
      <c r="N387" s="345">
        <v>0</v>
      </c>
      <c r="O387" s="345">
        <v>0</v>
      </c>
    </row>
    <row r="388" spans="1:15" x14ac:dyDescent="0.5">
      <c r="A388" s="349" t="s">
        <v>973</v>
      </c>
      <c r="B388" s="1" t="s">
        <v>974</v>
      </c>
      <c r="C388" s="345">
        <v>0</v>
      </c>
      <c r="N388" s="345">
        <v>273160</v>
      </c>
      <c r="O388" s="345">
        <v>500000</v>
      </c>
    </row>
    <row r="389" spans="1:15" x14ac:dyDescent="0.5">
      <c r="A389" s="349" t="s">
        <v>548</v>
      </c>
      <c r="B389" s="1" t="s">
        <v>1216</v>
      </c>
      <c r="C389" s="345">
        <v>0</v>
      </c>
      <c r="N389" s="345">
        <v>307388</v>
      </c>
      <c r="O389" s="345">
        <v>450000</v>
      </c>
    </row>
    <row r="390" spans="1:15" x14ac:dyDescent="0.5">
      <c r="A390" s="349" t="s">
        <v>549</v>
      </c>
      <c r="B390" s="1" t="s">
        <v>1217</v>
      </c>
      <c r="C390" s="345">
        <v>0</v>
      </c>
      <c r="N390" s="345">
        <v>0</v>
      </c>
      <c r="O390" s="345">
        <v>0</v>
      </c>
    </row>
    <row r="391" spans="1:15" x14ac:dyDescent="0.5">
      <c r="A391" s="349" t="s">
        <v>550</v>
      </c>
      <c r="B391" s="1" t="s">
        <v>1218</v>
      </c>
      <c r="C391" s="345">
        <v>0</v>
      </c>
      <c r="N391" s="345">
        <v>0</v>
      </c>
      <c r="O391" s="345">
        <v>17000</v>
      </c>
    </row>
    <row r="392" spans="1:15" x14ac:dyDescent="0.5">
      <c r="A392" s="349" t="s">
        <v>551</v>
      </c>
      <c r="B392" s="1" t="s">
        <v>1219</v>
      </c>
      <c r="C392" s="345">
        <v>0</v>
      </c>
      <c r="N392" s="345">
        <v>0</v>
      </c>
      <c r="O392" s="345">
        <v>72000</v>
      </c>
    </row>
    <row r="393" spans="1:15" x14ac:dyDescent="0.5">
      <c r="A393" s="349" t="s">
        <v>552</v>
      </c>
      <c r="B393" s="1" t="s">
        <v>1220</v>
      </c>
      <c r="C393" s="345">
        <v>0</v>
      </c>
      <c r="N393" s="345">
        <v>0</v>
      </c>
      <c r="O393" s="345">
        <v>10000</v>
      </c>
    </row>
    <row r="394" spans="1:15" x14ac:dyDescent="0.5">
      <c r="A394" s="349" t="s">
        <v>553</v>
      </c>
      <c r="B394" s="1" t="s">
        <v>1221</v>
      </c>
      <c r="C394" s="345">
        <v>0</v>
      </c>
      <c r="N394" s="345">
        <v>0</v>
      </c>
      <c r="O394" s="345">
        <v>0</v>
      </c>
    </row>
    <row r="395" spans="1:15" x14ac:dyDescent="0.5">
      <c r="A395" s="349" t="s">
        <v>554</v>
      </c>
      <c r="B395" s="1" t="s">
        <v>555</v>
      </c>
      <c r="C395" s="345">
        <v>0</v>
      </c>
      <c r="N395" s="345">
        <v>0</v>
      </c>
      <c r="O395" s="345">
        <v>0</v>
      </c>
    </row>
    <row r="396" spans="1:15" x14ac:dyDescent="0.5">
      <c r="A396" s="349" t="s">
        <v>556</v>
      </c>
      <c r="B396" s="1" t="s">
        <v>557</v>
      </c>
      <c r="C396" s="345">
        <v>0</v>
      </c>
      <c r="N396" s="345">
        <v>0</v>
      </c>
      <c r="O396" s="345">
        <v>0</v>
      </c>
    </row>
    <row r="397" spans="1:15" x14ac:dyDescent="0.5">
      <c r="A397" s="349" t="s">
        <v>558</v>
      </c>
      <c r="B397" s="1" t="s">
        <v>559</v>
      </c>
      <c r="C397" s="345">
        <v>0</v>
      </c>
      <c r="N397" s="345">
        <v>0</v>
      </c>
      <c r="O397" s="345">
        <v>0</v>
      </c>
    </row>
    <row r="398" spans="1:15" x14ac:dyDescent="0.5">
      <c r="A398" s="349" t="s">
        <v>560</v>
      </c>
      <c r="B398" s="1" t="s">
        <v>561</v>
      </c>
      <c r="C398" s="345">
        <v>0</v>
      </c>
      <c r="N398" s="345">
        <v>0</v>
      </c>
      <c r="O398" s="345">
        <v>0</v>
      </c>
    </row>
    <row r="399" spans="1:15" x14ac:dyDescent="0.5">
      <c r="A399" s="349" t="s">
        <v>562</v>
      </c>
      <c r="B399" s="1" t="s">
        <v>563</v>
      </c>
      <c r="C399" s="345">
        <v>0</v>
      </c>
      <c r="N399" s="345">
        <v>0</v>
      </c>
      <c r="O399" s="345">
        <v>0</v>
      </c>
    </row>
    <row r="400" spans="1:15" x14ac:dyDescent="0.5">
      <c r="A400" s="349" t="s">
        <v>564</v>
      </c>
      <c r="B400" s="1" t="s">
        <v>565</v>
      </c>
      <c r="C400" s="345">
        <v>0</v>
      </c>
      <c r="N400" s="345">
        <v>0</v>
      </c>
      <c r="O400" s="345">
        <v>0</v>
      </c>
    </row>
    <row r="401" spans="1:15" x14ac:dyDescent="0.5">
      <c r="A401" s="349" t="s">
        <v>566</v>
      </c>
      <c r="B401" s="1" t="s">
        <v>567</v>
      </c>
      <c r="C401" s="345">
        <v>0</v>
      </c>
      <c r="N401" s="345">
        <v>0</v>
      </c>
      <c r="O401" s="345">
        <v>0</v>
      </c>
    </row>
    <row r="402" spans="1:15" x14ac:dyDescent="0.5">
      <c r="A402" s="349" t="s">
        <v>568</v>
      </c>
      <c r="B402" s="1" t="s">
        <v>569</v>
      </c>
      <c r="C402" s="345">
        <v>0</v>
      </c>
      <c r="N402" s="345">
        <v>4</v>
      </c>
      <c r="O402" s="345">
        <v>0</v>
      </c>
    </row>
    <row r="403" spans="1:15" x14ac:dyDescent="0.5">
      <c r="A403" s="349" t="s">
        <v>570</v>
      </c>
      <c r="B403" s="1" t="s">
        <v>571</v>
      </c>
      <c r="C403" s="345">
        <v>0</v>
      </c>
      <c r="N403" s="345">
        <v>4</v>
      </c>
      <c r="O403" s="345">
        <v>0</v>
      </c>
    </row>
    <row r="404" spans="1:15" x14ac:dyDescent="0.5">
      <c r="A404" s="349" t="s">
        <v>572</v>
      </c>
      <c r="B404" s="1" t="s">
        <v>573</v>
      </c>
      <c r="C404" s="345">
        <v>0</v>
      </c>
      <c r="N404" s="345">
        <v>0</v>
      </c>
      <c r="O404" s="345">
        <v>0</v>
      </c>
    </row>
    <row r="405" spans="1:15" x14ac:dyDescent="0.5">
      <c r="A405" s="349" t="s">
        <v>574</v>
      </c>
      <c r="B405" s="1" t="s">
        <v>575</v>
      </c>
      <c r="C405" s="345">
        <v>0</v>
      </c>
      <c r="N405" s="345">
        <v>0</v>
      </c>
      <c r="O405" s="345">
        <v>0</v>
      </c>
    </row>
    <row r="406" spans="1:15" x14ac:dyDescent="0.5">
      <c r="A406" s="349" t="s">
        <v>576</v>
      </c>
      <c r="B406" s="1" t="s">
        <v>577</v>
      </c>
      <c r="C406" s="345">
        <v>0</v>
      </c>
      <c r="N406" s="345">
        <v>0</v>
      </c>
      <c r="O406" s="345">
        <v>0</v>
      </c>
    </row>
    <row r="407" spans="1:15" x14ac:dyDescent="0.5">
      <c r="A407" s="349" t="s">
        <v>578</v>
      </c>
      <c r="B407" s="1" t="s">
        <v>579</v>
      </c>
      <c r="C407" s="345">
        <v>0</v>
      </c>
      <c r="N407" s="345">
        <v>0</v>
      </c>
      <c r="O407" s="345">
        <v>0</v>
      </c>
    </row>
    <row r="408" spans="1:15" x14ac:dyDescent="0.5">
      <c r="A408" s="349" t="s">
        <v>580</v>
      </c>
      <c r="B408" s="1" t="s">
        <v>581</v>
      </c>
      <c r="C408" s="345">
        <v>0</v>
      </c>
      <c r="N408" s="345">
        <v>8</v>
      </c>
      <c r="O408" s="345">
        <v>0</v>
      </c>
    </row>
    <row r="409" spans="1:15" x14ac:dyDescent="0.5">
      <c r="A409" s="349" t="s">
        <v>582</v>
      </c>
      <c r="B409" s="1" t="s">
        <v>583</v>
      </c>
      <c r="C409" s="345">
        <v>0</v>
      </c>
      <c r="N409" s="345">
        <v>23</v>
      </c>
      <c r="O409" s="345">
        <v>0</v>
      </c>
    </row>
    <row r="410" spans="1:15" x14ac:dyDescent="0.5">
      <c r="A410" s="349" t="s">
        <v>584</v>
      </c>
      <c r="B410" s="1" t="s">
        <v>585</v>
      </c>
      <c r="C410" s="345">
        <v>0</v>
      </c>
      <c r="N410" s="345">
        <v>1</v>
      </c>
      <c r="O410" s="345">
        <v>0</v>
      </c>
    </row>
    <row r="411" spans="1:15" x14ac:dyDescent="0.5">
      <c r="A411" s="349" t="s">
        <v>586</v>
      </c>
      <c r="B411" s="1" t="s">
        <v>587</v>
      </c>
      <c r="C411" s="345">
        <v>0</v>
      </c>
      <c r="N411" s="345">
        <v>0</v>
      </c>
      <c r="O411" s="345">
        <v>0</v>
      </c>
    </row>
    <row r="412" spans="1:15" x14ac:dyDescent="0.5">
      <c r="A412" s="349" t="s">
        <v>588</v>
      </c>
      <c r="B412" s="1" t="s">
        <v>589</v>
      </c>
      <c r="C412" s="345">
        <v>0</v>
      </c>
      <c r="N412" s="345">
        <v>8</v>
      </c>
      <c r="O412" s="345">
        <v>0</v>
      </c>
    </row>
    <row r="413" spans="1:15" x14ac:dyDescent="0.5">
      <c r="A413" s="349" t="s">
        <v>590</v>
      </c>
      <c r="B413" s="1" t="s">
        <v>591</v>
      </c>
      <c r="C413" s="345">
        <v>0</v>
      </c>
      <c r="N413" s="345">
        <v>0</v>
      </c>
      <c r="O413" s="345">
        <v>0</v>
      </c>
    </row>
    <row r="414" spans="1:15" x14ac:dyDescent="0.5">
      <c r="A414" s="349" t="s">
        <v>592</v>
      </c>
      <c r="B414" s="1" t="s">
        <v>593</v>
      </c>
      <c r="C414" s="345">
        <v>0</v>
      </c>
      <c r="N414" s="345">
        <v>0</v>
      </c>
      <c r="O414" s="345">
        <v>0</v>
      </c>
    </row>
    <row r="415" spans="1:15" x14ac:dyDescent="0.5">
      <c r="A415" s="349" t="s">
        <v>975</v>
      </c>
      <c r="B415" s="1" t="s">
        <v>976</v>
      </c>
      <c r="C415" s="345">
        <v>0</v>
      </c>
      <c r="N415" s="345">
        <v>0</v>
      </c>
      <c r="O415" s="345">
        <v>0</v>
      </c>
    </row>
    <row r="416" spans="1:15" x14ac:dyDescent="0.5">
      <c r="A416" s="349" t="s">
        <v>977</v>
      </c>
      <c r="B416" s="1" t="s">
        <v>978</v>
      </c>
      <c r="C416" s="345">
        <v>0</v>
      </c>
      <c r="N416" s="345">
        <v>0</v>
      </c>
      <c r="O416" s="345">
        <v>0</v>
      </c>
    </row>
    <row r="417" spans="1:15" x14ac:dyDescent="0.5">
      <c r="A417" s="349" t="s">
        <v>979</v>
      </c>
      <c r="B417" s="1" t="s">
        <v>980</v>
      </c>
      <c r="C417" s="345">
        <v>0</v>
      </c>
      <c r="N417" s="345">
        <v>0</v>
      </c>
      <c r="O417" s="345">
        <v>0</v>
      </c>
    </row>
    <row r="418" spans="1:15" x14ac:dyDescent="0.5">
      <c r="A418" s="349" t="s">
        <v>594</v>
      </c>
      <c r="B418" s="1" t="s">
        <v>1222</v>
      </c>
      <c r="C418" s="345">
        <v>0</v>
      </c>
      <c r="N418" s="345">
        <v>0</v>
      </c>
      <c r="O418" s="345">
        <v>0</v>
      </c>
    </row>
    <row r="419" spans="1:15" x14ac:dyDescent="0.5">
      <c r="A419" s="349" t="s">
        <v>981</v>
      </c>
      <c r="B419" s="1" t="s">
        <v>982</v>
      </c>
      <c r="C419" s="345">
        <v>0</v>
      </c>
      <c r="N419" s="345">
        <v>0</v>
      </c>
      <c r="O419" s="345">
        <v>0</v>
      </c>
    </row>
    <row r="420" spans="1:15" x14ac:dyDescent="0.5">
      <c r="A420" s="349" t="s">
        <v>983</v>
      </c>
      <c r="B420" s="1" t="s">
        <v>984</v>
      </c>
      <c r="C420" s="345">
        <v>0</v>
      </c>
      <c r="N420" s="345">
        <v>0</v>
      </c>
      <c r="O420" s="345">
        <v>0</v>
      </c>
    </row>
    <row r="421" spans="1:15" x14ac:dyDescent="0.5">
      <c r="A421" s="349" t="s">
        <v>595</v>
      </c>
      <c r="B421" s="1" t="s">
        <v>1223</v>
      </c>
      <c r="C421" s="345">
        <v>0</v>
      </c>
      <c r="N421" s="345">
        <v>0</v>
      </c>
      <c r="O421" s="345">
        <v>0</v>
      </c>
    </row>
    <row r="422" spans="1:15" x14ac:dyDescent="0.5">
      <c r="A422" s="349" t="s">
        <v>985</v>
      </c>
      <c r="B422" s="1" t="s">
        <v>596</v>
      </c>
      <c r="C422" s="345">
        <v>0</v>
      </c>
      <c r="N422" s="345">
        <v>0</v>
      </c>
      <c r="O422" s="345">
        <v>0</v>
      </c>
    </row>
    <row r="423" spans="1:15" x14ac:dyDescent="0.5">
      <c r="A423" s="349" t="s">
        <v>597</v>
      </c>
      <c r="B423" s="1" t="s">
        <v>598</v>
      </c>
      <c r="C423" s="345">
        <v>0</v>
      </c>
      <c r="N423" s="345">
        <v>0</v>
      </c>
      <c r="O423" s="345">
        <v>0</v>
      </c>
    </row>
    <row r="424" spans="1:15" x14ac:dyDescent="0.5">
      <c r="A424" s="349" t="s">
        <v>599</v>
      </c>
      <c r="B424" s="1" t="s">
        <v>600</v>
      </c>
      <c r="C424" s="345">
        <v>390000</v>
      </c>
      <c r="N424" s="345">
        <v>0</v>
      </c>
      <c r="O424" s="345">
        <v>0</v>
      </c>
    </row>
    <row r="425" spans="1:15" x14ac:dyDescent="0.5">
      <c r="A425" s="349" t="s">
        <v>601</v>
      </c>
      <c r="B425" s="1" t="s">
        <v>602</v>
      </c>
      <c r="C425" s="345">
        <v>0</v>
      </c>
      <c r="N425" s="345">
        <v>0</v>
      </c>
      <c r="O425" s="345">
        <v>0</v>
      </c>
    </row>
    <row r="426" spans="1:15" x14ac:dyDescent="0.5">
      <c r="A426" s="349" t="s">
        <v>603</v>
      </c>
      <c r="B426" s="1" t="s">
        <v>604</v>
      </c>
      <c r="C426" s="345">
        <v>41400</v>
      </c>
      <c r="F426" s="431">
        <f>15500+25900</f>
        <v>41400</v>
      </c>
      <c r="N426" s="345">
        <v>390000</v>
      </c>
      <c r="O426" s="345">
        <v>390000</v>
      </c>
    </row>
    <row r="427" spans="1:15" x14ac:dyDescent="0.5">
      <c r="A427" s="349" t="s">
        <v>605</v>
      </c>
      <c r="B427" s="1" t="s">
        <v>1224</v>
      </c>
      <c r="C427" s="345">
        <v>0</v>
      </c>
      <c r="N427" s="345">
        <v>0</v>
      </c>
      <c r="O427" s="345">
        <v>0</v>
      </c>
    </row>
    <row r="428" spans="1:15" x14ac:dyDescent="0.5">
      <c r="A428" s="349" t="s">
        <v>606</v>
      </c>
      <c r="B428" s="1" t="s">
        <v>1225</v>
      </c>
      <c r="C428" s="345">
        <v>0</v>
      </c>
      <c r="N428" s="345">
        <v>41400</v>
      </c>
      <c r="O428" s="345">
        <v>41400</v>
      </c>
    </row>
    <row r="429" spans="1:15" x14ac:dyDescent="0.5">
      <c r="A429" s="349" t="s">
        <v>607</v>
      </c>
      <c r="B429" s="1" t="s">
        <v>608</v>
      </c>
      <c r="C429" s="345">
        <v>0</v>
      </c>
      <c r="N429" s="345">
        <v>0</v>
      </c>
      <c r="O429" s="345">
        <v>0</v>
      </c>
    </row>
    <row r="430" spans="1:15" x14ac:dyDescent="0.5">
      <c r="A430" s="349" t="s">
        <v>609</v>
      </c>
      <c r="B430" s="1" t="s">
        <v>610</v>
      </c>
      <c r="C430" s="345">
        <v>0</v>
      </c>
      <c r="N430" s="345">
        <v>0</v>
      </c>
      <c r="O430" s="345">
        <v>0</v>
      </c>
    </row>
    <row r="431" spans="1:15" x14ac:dyDescent="0.5">
      <c r="A431" s="349" t="s">
        <v>611</v>
      </c>
      <c r="B431" s="1" t="s">
        <v>612</v>
      </c>
      <c r="C431" s="345">
        <v>0</v>
      </c>
      <c r="N431" s="345">
        <v>0</v>
      </c>
      <c r="O431" s="345">
        <v>0</v>
      </c>
    </row>
    <row r="432" spans="1:15" x14ac:dyDescent="0.5">
      <c r="A432" s="349" t="s">
        <v>613</v>
      </c>
      <c r="B432" s="1" t="s">
        <v>614</v>
      </c>
      <c r="C432" s="345">
        <v>0</v>
      </c>
      <c r="N432" s="345">
        <v>0</v>
      </c>
      <c r="O432" s="345">
        <v>0</v>
      </c>
    </row>
    <row r="433" spans="1:15" x14ac:dyDescent="0.5">
      <c r="A433" s="349" t="s">
        <v>615</v>
      </c>
      <c r="B433" s="1" t="s">
        <v>616</v>
      </c>
      <c r="C433" s="345">
        <v>0</v>
      </c>
      <c r="N433" s="345">
        <v>0</v>
      </c>
      <c r="O433" s="345">
        <v>0</v>
      </c>
    </row>
    <row r="434" spans="1:15" x14ac:dyDescent="0.5">
      <c r="A434" s="349" t="s">
        <v>617</v>
      </c>
      <c r="B434" s="1" t="s">
        <v>618</v>
      </c>
      <c r="C434" s="345">
        <v>0</v>
      </c>
      <c r="N434" s="345">
        <v>0</v>
      </c>
      <c r="O434" s="345">
        <v>0</v>
      </c>
    </row>
    <row r="435" spans="1:15" x14ac:dyDescent="0.5">
      <c r="A435" s="349" t="s">
        <v>619</v>
      </c>
      <c r="B435" s="1" t="s">
        <v>620</v>
      </c>
      <c r="C435" s="345">
        <v>0</v>
      </c>
      <c r="N435" s="345">
        <v>0</v>
      </c>
      <c r="O435" s="345">
        <v>0</v>
      </c>
    </row>
    <row r="436" spans="1:15" x14ac:dyDescent="0.5">
      <c r="A436" s="349" t="s">
        <v>621</v>
      </c>
      <c r="B436" s="1" t="s">
        <v>622</v>
      </c>
      <c r="C436" s="345">
        <v>0</v>
      </c>
      <c r="N436" s="345">
        <v>0</v>
      </c>
      <c r="O436" s="345">
        <v>0</v>
      </c>
    </row>
    <row r="437" spans="1:15" x14ac:dyDescent="0.5">
      <c r="A437" s="349"/>
      <c r="N437" s="345">
        <v>268498</v>
      </c>
      <c r="O437" s="345">
        <v>0</v>
      </c>
    </row>
    <row r="438" spans="1:15" x14ac:dyDescent="0.5">
      <c r="A438" s="349"/>
      <c r="N438" s="345">
        <v>0</v>
      </c>
      <c r="O438" s="345">
        <v>0</v>
      </c>
    </row>
    <row r="439" spans="1:15" x14ac:dyDescent="0.5">
      <c r="A439" s="349"/>
    </row>
    <row r="440" spans="1:15" x14ac:dyDescent="0.5">
      <c r="A440" s="349"/>
    </row>
    <row r="441" spans="1:15" x14ac:dyDescent="0.5">
      <c r="A441" s="349"/>
    </row>
    <row r="442" spans="1:15" x14ac:dyDescent="0.5">
      <c r="A442" s="349"/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19</vt:i4>
      </vt:variant>
      <vt:variant>
        <vt:lpstr>ช่วงที่มีชื่อ</vt:lpstr>
      </vt:variant>
      <vt:variant>
        <vt:i4>3</vt:i4>
      </vt:variant>
    </vt:vector>
  </HeadingPairs>
  <TitlesOfParts>
    <vt:vector size="22" baseType="lpstr">
      <vt:lpstr>Sheet1</vt:lpstr>
      <vt:lpstr>Planfin2562</vt:lpstr>
      <vt:lpstr>Revenue</vt:lpstr>
      <vt:lpstr>Expense</vt:lpstr>
      <vt:lpstr>HGR2560</vt:lpstr>
      <vt:lpstr>การวิเคราะห์แผน 8 แบบ</vt:lpstr>
      <vt:lpstr>Mapping60</vt:lpstr>
      <vt:lpstr>1.WS-Re-Exp</vt:lpstr>
      <vt:lpstr>งบทดลอง รพ.</vt:lpstr>
      <vt:lpstr>2.WS-ยา วชภฯ</vt:lpstr>
      <vt:lpstr>3.WS-วัสดุอื่น</vt:lpstr>
      <vt:lpstr>4.WS-แผน จน.</vt:lpstr>
      <vt:lpstr>5.WS-แผน ลน.</vt:lpstr>
      <vt:lpstr>6.WS-แผนลงทุน</vt:lpstr>
      <vt:lpstr>6.1แผนลงทุน</vt:lpstr>
      <vt:lpstr>7.WS-แผน รพ.สต.</vt:lpstr>
      <vt:lpstr>7.1แผน รพ.สต.</vt:lpstr>
      <vt:lpstr>PlanFin Analysis</vt:lpstr>
      <vt:lpstr>WS2-9</vt:lpstr>
      <vt:lpstr>Revenue!Print_Area</vt:lpstr>
      <vt:lpstr>'1.WS-Re-Exp'!Print_Titles</vt:lpstr>
      <vt:lpstr>Planfin2562!Print_Titles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HIG05</dc:creator>
  <cp:lastModifiedBy>User</cp:lastModifiedBy>
  <cp:lastPrinted>2018-09-25T15:44:44Z</cp:lastPrinted>
  <dcterms:created xsi:type="dcterms:W3CDTF">2016-07-25T14:36:11Z</dcterms:created>
  <dcterms:modified xsi:type="dcterms:W3CDTF">2018-09-25T15:48:57Z</dcterms:modified>
</cp:coreProperties>
</file>