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 MOC &amp; Planfin\ข้อมูลMOC ปี 2562\ประชุมปรับแผน Planfin รอบ 2\ไฟล์กระดาษทำการ รอบ 2 ครั้งที่ 1\"/>
    </mc:Choice>
  </mc:AlternateContent>
  <xr:revisionPtr revIDLastSave="0" documentId="13_ncr:1_{C9DC75CD-70EC-4F04-975E-9E55362C7A8A}" xr6:coauthVersionLast="43" xr6:coauthVersionMax="43" xr10:uidLastSave="{00000000-0000-0000-0000-000000000000}"/>
  <bookViews>
    <workbookView xWindow="-120" yWindow="-120" windowWidth="29040" windowHeight="15840" tabRatio="870" activeTab="16" xr2:uid="{00000000-000D-0000-FFFF-FFFF00000000}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2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แผนลงทุน" sheetId="33" r:id="rId15"/>
    <sheet name="7.WS-แผน รพ.สต." sheetId="25" r:id="rId16"/>
    <sheet name="7.1แผน รพ.สต. " sheetId="32" r:id="rId17"/>
    <sheet name="PlanFin Analysis" sheetId="30" r:id="rId18"/>
  </sheets>
  <externalReferences>
    <externalReference r:id="rId19"/>
  </externalReferences>
  <definedNames>
    <definedName name="_xlnm._FilterDatabase" localSheetId="7" hidden="1">'1.WS-Re-Exp'!$A$2:$G$432</definedName>
    <definedName name="_xlnm._FilterDatabase" localSheetId="6" hidden="1">Mapping62!$A$1:$K$429</definedName>
    <definedName name="_xlnm._FilterDatabase" localSheetId="8" hidden="1">'งบทดลอง รพ.'!#REF!</definedName>
    <definedName name="DATA" localSheetId="14">#REF!</definedName>
    <definedName name="DATA" localSheetId="16">#REF!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6">'7.1แผน รพ.สต. '!$A:$C</definedName>
    <definedName name="_xlnm.Print_Titles" localSheetId="1">Planfin2562!$1:$1</definedName>
  </definedNames>
  <calcPr calcId="181029"/>
</workbook>
</file>

<file path=xl/calcChain.xml><?xml version="1.0" encoding="utf-8"?>
<calcChain xmlns="http://schemas.openxmlformats.org/spreadsheetml/2006/main">
  <c r="W6" i="33" l="1"/>
  <c r="W7" i="33"/>
  <c r="W8" i="33"/>
  <c r="W9" i="33"/>
  <c r="W10" i="33"/>
  <c r="W11" i="33"/>
  <c r="W12" i="33"/>
  <c r="W13" i="33"/>
  <c r="W14" i="33"/>
  <c r="W15" i="33"/>
  <c r="W16" i="33"/>
  <c r="W5" i="33"/>
  <c r="V6" i="33"/>
  <c r="V7" i="33"/>
  <c r="V8" i="33"/>
  <c r="V9" i="33"/>
  <c r="V10" i="33"/>
  <c r="V11" i="33"/>
  <c r="V12" i="33"/>
  <c r="V13" i="33"/>
  <c r="V14" i="33"/>
  <c r="V15" i="33"/>
  <c r="V16" i="33"/>
  <c r="V5" i="33"/>
  <c r="V17" i="33" s="1"/>
  <c r="C17" i="33"/>
  <c r="D17" i="33"/>
  <c r="E17" i="33"/>
  <c r="F17" i="33"/>
  <c r="G17" i="33"/>
  <c r="H17" i="33"/>
  <c r="I17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B17" i="33"/>
  <c r="W17" i="33" l="1"/>
  <c r="D430" i="28"/>
  <c r="E430" i="28"/>
  <c r="G4" i="1"/>
  <c r="G5" i="1"/>
  <c r="G6" i="1"/>
  <c r="G7" i="1"/>
  <c r="G8" i="1"/>
  <c r="G9" i="1"/>
  <c r="G3" i="1"/>
  <c r="E10" i="1"/>
  <c r="P3" i="28" l="1"/>
  <c r="P4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3" i="28"/>
  <c r="P24" i="28"/>
  <c r="P25" i="28"/>
  <c r="P26" i="28"/>
  <c r="P27" i="28"/>
  <c r="P28" i="28"/>
  <c r="P29" i="28"/>
  <c r="P30" i="28"/>
  <c r="P31" i="28"/>
  <c r="P32" i="28"/>
  <c r="P33" i="28"/>
  <c r="P34" i="28"/>
  <c r="P35" i="28"/>
  <c r="P36" i="28"/>
  <c r="P37" i="28"/>
  <c r="P38" i="28"/>
  <c r="P39" i="28"/>
  <c r="P40" i="28"/>
  <c r="P41" i="28"/>
  <c r="P42" i="28"/>
  <c r="P43" i="28"/>
  <c r="P44" i="28"/>
  <c r="P45" i="28"/>
  <c r="P46" i="28"/>
  <c r="P47" i="28"/>
  <c r="P48" i="28"/>
  <c r="P49" i="28"/>
  <c r="P50" i="28"/>
  <c r="P51" i="28"/>
  <c r="P52" i="28"/>
  <c r="P53" i="28"/>
  <c r="P54" i="28"/>
  <c r="P55" i="28"/>
  <c r="P56" i="28"/>
  <c r="P57" i="28"/>
  <c r="P58" i="28"/>
  <c r="P59" i="28"/>
  <c r="P60" i="28"/>
  <c r="P61" i="28"/>
  <c r="P62" i="28"/>
  <c r="P63" i="28"/>
  <c r="P64" i="28"/>
  <c r="P65" i="28"/>
  <c r="P66" i="28"/>
  <c r="P67" i="28"/>
  <c r="P68" i="28"/>
  <c r="P69" i="28"/>
  <c r="P70" i="28"/>
  <c r="P71" i="28"/>
  <c r="P72" i="28"/>
  <c r="P73" i="28"/>
  <c r="P74" i="28"/>
  <c r="P75" i="28"/>
  <c r="P76" i="28"/>
  <c r="P77" i="28"/>
  <c r="P78" i="28"/>
  <c r="P79" i="28"/>
  <c r="P80" i="28"/>
  <c r="P81" i="28"/>
  <c r="P82" i="28"/>
  <c r="P83" i="28"/>
  <c r="P84" i="28"/>
  <c r="P85" i="28"/>
  <c r="P86" i="28"/>
  <c r="P87" i="28"/>
  <c r="P88" i="28"/>
  <c r="P89" i="28"/>
  <c r="P90" i="28"/>
  <c r="P91" i="28"/>
  <c r="P92" i="28"/>
  <c r="P93" i="28"/>
  <c r="P94" i="28"/>
  <c r="P95" i="28"/>
  <c r="P96" i="28"/>
  <c r="P97" i="28"/>
  <c r="P98" i="28"/>
  <c r="P99" i="28"/>
  <c r="P100" i="28"/>
  <c r="P101" i="28"/>
  <c r="P102" i="28"/>
  <c r="P103" i="28"/>
  <c r="P104" i="28"/>
  <c r="P105" i="28"/>
  <c r="P106" i="28"/>
  <c r="P107" i="28"/>
  <c r="P108" i="28"/>
  <c r="P109" i="28"/>
  <c r="P110" i="28"/>
  <c r="P111" i="28"/>
  <c r="P112" i="28"/>
  <c r="P113" i="28"/>
  <c r="P114" i="28"/>
  <c r="P115" i="28"/>
  <c r="P116" i="28"/>
  <c r="P117" i="28"/>
  <c r="P118" i="28"/>
  <c r="P119" i="28"/>
  <c r="P120" i="28"/>
  <c r="P121" i="28"/>
  <c r="P122" i="28"/>
  <c r="P123" i="28"/>
  <c r="P124" i="28"/>
  <c r="P125" i="28"/>
  <c r="P126" i="28"/>
  <c r="P127" i="28"/>
  <c r="P128" i="28"/>
  <c r="P129" i="28"/>
  <c r="P130" i="28"/>
  <c r="P131" i="28"/>
  <c r="P132" i="28"/>
  <c r="P133" i="28"/>
  <c r="P134" i="28"/>
  <c r="P135" i="28"/>
  <c r="P136" i="28"/>
  <c r="P137" i="28"/>
  <c r="P138" i="28"/>
  <c r="P139" i="28"/>
  <c r="P140" i="28"/>
  <c r="P141" i="28"/>
  <c r="P142" i="28"/>
  <c r="P143" i="28"/>
  <c r="P144" i="28"/>
  <c r="P145" i="28"/>
  <c r="P146" i="28"/>
  <c r="P147" i="28"/>
  <c r="P148" i="28"/>
  <c r="P149" i="28"/>
  <c r="P150" i="28"/>
  <c r="P151" i="28"/>
  <c r="P152" i="28"/>
  <c r="P153" i="28"/>
  <c r="P154" i="28"/>
  <c r="P155" i="28"/>
  <c r="P156" i="28"/>
  <c r="P157" i="28"/>
  <c r="P158" i="28"/>
  <c r="P159" i="28"/>
  <c r="P160" i="28"/>
  <c r="P161" i="28"/>
  <c r="P162" i="28"/>
  <c r="P163" i="28"/>
  <c r="P164" i="28"/>
  <c r="P165" i="28"/>
  <c r="P166" i="28"/>
  <c r="P167" i="28"/>
  <c r="P168" i="28"/>
  <c r="P169" i="28"/>
  <c r="P170" i="28"/>
  <c r="P171" i="28"/>
  <c r="P172" i="28"/>
  <c r="P173" i="28"/>
  <c r="P174" i="28"/>
  <c r="P175" i="28"/>
  <c r="P176" i="28"/>
  <c r="P177" i="28"/>
  <c r="P178" i="28"/>
  <c r="P179" i="28"/>
  <c r="P180" i="28"/>
  <c r="P181" i="28"/>
  <c r="P182" i="28"/>
  <c r="P183" i="28"/>
  <c r="P184" i="28"/>
  <c r="P185" i="28"/>
  <c r="P186" i="28"/>
  <c r="P187" i="28"/>
  <c r="P188" i="28"/>
  <c r="P189" i="28"/>
  <c r="P190" i="28"/>
  <c r="P191" i="28"/>
  <c r="P192" i="28"/>
  <c r="P193" i="28"/>
  <c r="P194" i="28"/>
  <c r="P195" i="28"/>
  <c r="P196" i="28"/>
  <c r="P197" i="28"/>
  <c r="P198" i="28"/>
  <c r="P199" i="28"/>
  <c r="P200" i="28"/>
  <c r="P201" i="28"/>
  <c r="P202" i="28"/>
  <c r="P203" i="28"/>
  <c r="P204" i="28"/>
  <c r="P205" i="28"/>
  <c r="P206" i="28"/>
  <c r="P207" i="28"/>
  <c r="P208" i="28"/>
  <c r="P209" i="28"/>
  <c r="P210" i="28"/>
  <c r="P211" i="28"/>
  <c r="P212" i="28"/>
  <c r="P213" i="28"/>
  <c r="P214" i="28"/>
  <c r="P215" i="28"/>
  <c r="P216" i="28"/>
  <c r="P217" i="28"/>
  <c r="P218" i="28"/>
  <c r="P219" i="28"/>
  <c r="P220" i="28"/>
  <c r="P221" i="28"/>
  <c r="P222" i="28"/>
  <c r="P223" i="28"/>
  <c r="P224" i="28"/>
  <c r="P225" i="28"/>
  <c r="P226" i="28"/>
  <c r="P227" i="28"/>
  <c r="P228" i="28"/>
  <c r="P229" i="28"/>
  <c r="P230" i="28"/>
  <c r="P231" i="28"/>
  <c r="P232" i="28"/>
  <c r="P233" i="28"/>
  <c r="P234" i="28"/>
  <c r="P235" i="28"/>
  <c r="P236" i="28"/>
  <c r="P237" i="28"/>
  <c r="P238" i="28"/>
  <c r="P239" i="28"/>
  <c r="P240" i="28"/>
  <c r="P241" i="28"/>
  <c r="P242" i="28"/>
  <c r="P243" i="28"/>
  <c r="P244" i="28"/>
  <c r="P245" i="28"/>
  <c r="P246" i="28"/>
  <c r="P247" i="28"/>
  <c r="P248" i="28"/>
  <c r="P249" i="28"/>
  <c r="P250" i="28"/>
  <c r="P251" i="28"/>
  <c r="P252" i="28"/>
  <c r="P253" i="28"/>
  <c r="P254" i="28"/>
  <c r="P255" i="28"/>
  <c r="P256" i="28"/>
  <c r="P257" i="28"/>
  <c r="P258" i="28"/>
  <c r="P259" i="28"/>
  <c r="P260" i="28"/>
  <c r="P261" i="28"/>
  <c r="P262" i="28"/>
  <c r="P263" i="28"/>
  <c r="P264" i="28"/>
  <c r="P265" i="28"/>
  <c r="P266" i="28"/>
  <c r="P267" i="28"/>
  <c r="P268" i="28"/>
  <c r="P269" i="28"/>
  <c r="P270" i="28"/>
  <c r="P271" i="28"/>
  <c r="P272" i="28"/>
  <c r="P273" i="28"/>
  <c r="P274" i="28"/>
  <c r="P275" i="28"/>
  <c r="P276" i="28"/>
  <c r="P277" i="28"/>
  <c r="P278" i="28"/>
  <c r="P279" i="28"/>
  <c r="P280" i="28"/>
  <c r="P281" i="28"/>
  <c r="P282" i="28"/>
  <c r="P283" i="28"/>
  <c r="P284" i="28"/>
  <c r="P285" i="28"/>
  <c r="P286" i="28"/>
  <c r="P287" i="28"/>
  <c r="P288" i="28"/>
  <c r="P289" i="28"/>
  <c r="P290" i="28"/>
  <c r="P291" i="28"/>
  <c r="P292" i="28"/>
  <c r="P293" i="28"/>
  <c r="P294" i="28"/>
  <c r="P295" i="28"/>
  <c r="P296" i="28"/>
  <c r="P297" i="28"/>
  <c r="P298" i="28"/>
  <c r="P299" i="28"/>
  <c r="P300" i="28"/>
  <c r="P301" i="28"/>
  <c r="P302" i="28"/>
  <c r="P303" i="28"/>
  <c r="P304" i="28"/>
  <c r="P305" i="28"/>
  <c r="P306" i="28"/>
  <c r="P307" i="28"/>
  <c r="P308" i="28"/>
  <c r="P309" i="28"/>
  <c r="P310" i="28"/>
  <c r="P311" i="28"/>
  <c r="P312" i="28"/>
  <c r="P313" i="28"/>
  <c r="P314" i="28"/>
  <c r="P315" i="28"/>
  <c r="P316" i="28"/>
  <c r="P317" i="28"/>
  <c r="P318" i="28"/>
  <c r="P319" i="28"/>
  <c r="P320" i="28"/>
  <c r="P321" i="28"/>
  <c r="P322" i="28"/>
  <c r="P323" i="28"/>
  <c r="P324" i="28"/>
  <c r="P325" i="28"/>
  <c r="P326" i="28"/>
  <c r="P327" i="28"/>
  <c r="P328" i="28"/>
  <c r="P329" i="28"/>
  <c r="P330" i="28"/>
  <c r="P331" i="28"/>
  <c r="P332" i="28"/>
  <c r="P333" i="28"/>
  <c r="P334" i="28"/>
  <c r="P335" i="28"/>
  <c r="P336" i="28"/>
  <c r="P337" i="28"/>
  <c r="P338" i="28"/>
  <c r="P339" i="28"/>
  <c r="P340" i="28"/>
  <c r="P341" i="28"/>
  <c r="P342" i="28"/>
  <c r="P343" i="28"/>
  <c r="P344" i="28"/>
  <c r="P345" i="28"/>
  <c r="P346" i="28"/>
  <c r="P347" i="28"/>
  <c r="P348" i="28"/>
  <c r="P349" i="28"/>
  <c r="P350" i="28"/>
  <c r="P351" i="28"/>
  <c r="P352" i="28"/>
  <c r="P353" i="28"/>
  <c r="P354" i="28"/>
  <c r="P355" i="28"/>
  <c r="P356" i="28"/>
  <c r="P357" i="28"/>
  <c r="P358" i="28"/>
  <c r="P359" i="28"/>
  <c r="P360" i="28"/>
  <c r="P361" i="28"/>
  <c r="P362" i="28"/>
  <c r="P363" i="28"/>
  <c r="P364" i="28"/>
  <c r="P365" i="28"/>
  <c r="P366" i="28"/>
  <c r="P367" i="28"/>
  <c r="P368" i="28"/>
  <c r="P369" i="28"/>
  <c r="P370" i="28"/>
  <c r="P371" i="28"/>
  <c r="P372" i="28"/>
  <c r="P373" i="28"/>
  <c r="P374" i="28"/>
  <c r="P375" i="28"/>
  <c r="P376" i="28"/>
  <c r="P377" i="28"/>
  <c r="P378" i="28"/>
  <c r="P379" i="28"/>
  <c r="P380" i="28"/>
  <c r="P381" i="28"/>
  <c r="P382" i="28"/>
  <c r="P383" i="28"/>
  <c r="P384" i="28"/>
  <c r="P385" i="28"/>
  <c r="P386" i="28"/>
  <c r="P387" i="28"/>
  <c r="P388" i="28"/>
  <c r="P389" i="28"/>
  <c r="P390" i="28"/>
  <c r="P391" i="28"/>
  <c r="P392" i="28"/>
  <c r="P393" i="28"/>
  <c r="P394" i="28"/>
  <c r="P395" i="28"/>
  <c r="P396" i="28"/>
  <c r="P397" i="28"/>
  <c r="P398" i="28"/>
  <c r="P399" i="28"/>
  <c r="P400" i="28"/>
  <c r="P401" i="28"/>
  <c r="P402" i="28"/>
  <c r="P403" i="28"/>
  <c r="P404" i="28"/>
  <c r="P405" i="28"/>
  <c r="P406" i="28"/>
  <c r="P407" i="28"/>
  <c r="P408" i="28"/>
  <c r="P409" i="28"/>
  <c r="P410" i="28"/>
  <c r="P411" i="28"/>
  <c r="P412" i="28"/>
  <c r="P413" i="28"/>
  <c r="P414" i="28"/>
  <c r="P415" i="28"/>
  <c r="P416" i="28"/>
  <c r="P417" i="28"/>
  <c r="P418" i="28"/>
  <c r="P419" i="28"/>
  <c r="P420" i="28"/>
  <c r="P421" i="28"/>
  <c r="P422" i="28"/>
  <c r="P423" i="28"/>
  <c r="P424" i="28"/>
  <c r="P425" i="28"/>
  <c r="P426" i="28"/>
  <c r="P427" i="28"/>
  <c r="P428" i="28"/>
  <c r="P429" i="28"/>
  <c r="P2" i="28"/>
  <c r="K10" i="1" l="1"/>
  <c r="J10" i="1"/>
  <c r="L10" i="1"/>
  <c r="D48" i="8" l="1"/>
  <c r="D62" i="8"/>
  <c r="D74" i="8"/>
  <c r="D85" i="8"/>
  <c r="D92" i="8"/>
  <c r="D99" i="8"/>
  <c r="D33" i="8"/>
  <c r="J36" i="8" s="1"/>
  <c r="D17" i="8"/>
  <c r="J35" i="8" s="1"/>
  <c r="D34" i="8" l="1"/>
  <c r="G14" i="1"/>
  <c r="G15" i="1"/>
  <c r="G16" i="1"/>
  <c r="G17" i="1"/>
  <c r="G18" i="1"/>
  <c r="G12" i="1"/>
  <c r="H3" i="19" l="1"/>
  <c r="I29" i="31" l="1"/>
  <c r="I30" i="31"/>
  <c r="N32" i="19" l="1"/>
  <c r="J5" i="19" s="1"/>
  <c r="H32" i="19"/>
  <c r="I32" i="19" s="1"/>
  <c r="J32" i="19" s="1"/>
  <c r="F32" i="19"/>
  <c r="G32" i="19" s="1"/>
  <c r="C32" i="19"/>
  <c r="D32" i="19" s="1"/>
  <c r="N31" i="19"/>
  <c r="H31" i="19"/>
  <c r="I31" i="19" s="1"/>
  <c r="J31" i="19" s="1"/>
  <c r="F31" i="19"/>
  <c r="G31" i="19" s="1"/>
  <c r="C31" i="19"/>
  <c r="D31" i="19" s="1"/>
  <c r="N30" i="19"/>
  <c r="N29" i="19"/>
  <c r="I29" i="19"/>
  <c r="J29" i="19" s="1"/>
  <c r="F29" i="19"/>
  <c r="G29" i="19" s="1"/>
  <c r="C29" i="19"/>
  <c r="D29" i="19" s="1"/>
  <c r="N28" i="19"/>
  <c r="I28" i="19"/>
  <c r="J28" i="19" s="1"/>
  <c r="F28" i="19"/>
  <c r="G28" i="19" s="1"/>
  <c r="C28" i="19"/>
  <c r="D28" i="19" s="1"/>
  <c r="N27" i="19"/>
  <c r="H27" i="19"/>
  <c r="I27" i="19" s="1"/>
  <c r="J27" i="19" s="1"/>
  <c r="F27" i="19"/>
  <c r="G27" i="19" s="1"/>
  <c r="C27" i="19"/>
  <c r="D27" i="19" s="1"/>
  <c r="N26" i="19"/>
  <c r="H26" i="19"/>
  <c r="I26" i="19" s="1"/>
  <c r="J26" i="19" s="1"/>
  <c r="F26" i="19"/>
  <c r="C26" i="19"/>
  <c r="D26" i="19" s="1"/>
  <c r="M25" i="19"/>
  <c r="L25" i="19" s="1"/>
  <c r="I25" i="19"/>
  <c r="J25" i="19" s="1"/>
  <c r="F25" i="19"/>
  <c r="G25" i="19" s="1"/>
  <c r="C25" i="19"/>
  <c r="D25" i="19" s="1"/>
  <c r="N24" i="19"/>
  <c r="H24" i="19"/>
  <c r="I24" i="19" s="1"/>
  <c r="F24" i="19"/>
  <c r="G24" i="19" s="1"/>
  <c r="C24" i="19"/>
  <c r="D24" i="19" s="1"/>
  <c r="K23" i="19"/>
  <c r="E23" i="19"/>
  <c r="B23" i="19"/>
  <c r="N22" i="19"/>
  <c r="H22" i="19"/>
  <c r="I22" i="19" s="1"/>
  <c r="J22" i="19" s="1"/>
  <c r="F22" i="19"/>
  <c r="G22" i="19" s="1"/>
  <c r="C22" i="19"/>
  <c r="D22" i="19" s="1"/>
  <c r="N21" i="19"/>
  <c r="H21" i="19"/>
  <c r="I21" i="19" s="1"/>
  <c r="F21" i="19"/>
  <c r="G21" i="19" s="1"/>
  <c r="C21" i="19"/>
  <c r="D21" i="19" s="1"/>
  <c r="N20" i="19"/>
  <c r="H20" i="19"/>
  <c r="I20" i="19" s="1"/>
  <c r="J20" i="19" s="1"/>
  <c r="F20" i="19"/>
  <c r="G20" i="19" s="1"/>
  <c r="C20" i="19"/>
  <c r="D20" i="19" s="1"/>
  <c r="N19" i="19"/>
  <c r="H19" i="19"/>
  <c r="I19" i="19" s="1"/>
  <c r="F19" i="19"/>
  <c r="G19" i="19" s="1"/>
  <c r="G18" i="19" s="1"/>
  <c r="C19" i="19"/>
  <c r="D19" i="19" s="1"/>
  <c r="M18" i="19"/>
  <c r="K18" i="19"/>
  <c r="E18" i="19"/>
  <c r="B18" i="19"/>
  <c r="F18" i="19" l="1"/>
  <c r="C23" i="19"/>
  <c r="F23" i="19"/>
  <c r="D18" i="19"/>
  <c r="C18" i="19"/>
  <c r="J3" i="19"/>
  <c r="N18" i="19"/>
  <c r="J19" i="19"/>
  <c r="J18" i="19" s="1"/>
  <c r="I18" i="19"/>
  <c r="N25" i="19"/>
  <c r="N23" i="19" s="1"/>
  <c r="J4" i="19" s="1"/>
  <c r="J6" i="19" s="1"/>
  <c r="L23" i="19"/>
  <c r="J24" i="19"/>
  <c r="J23" i="19" s="1"/>
  <c r="I23" i="19"/>
  <c r="D23" i="19"/>
  <c r="G26" i="19"/>
  <c r="G23" i="19" s="1"/>
  <c r="H18" i="19"/>
  <c r="L18" i="19"/>
  <c r="M23" i="19"/>
  <c r="H23" i="19"/>
  <c r="C35" i="22"/>
  <c r="D35" i="22" s="1"/>
  <c r="C34" i="22"/>
  <c r="D34" i="22" s="1"/>
  <c r="C33" i="22"/>
  <c r="D33" i="22" s="1"/>
  <c r="C32" i="22"/>
  <c r="D32" i="22" s="1"/>
  <c r="C31" i="22"/>
  <c r="D31" i="22" s="1"/>
  <c r="C30" i="22"/>
  <c r="D30" i="22" s="1"/>
  <c r="C29" i="22"/>
  <c r="D29" i="22" s="1"/>
  <c r="C28" i="22"/>
  <c r="D28" i="22" s="1"/>
  <c r="C4" i="22"/>
  <c r="J17" i="22"/>
  <c r="I17" i="22"/>
  <c r="H17" i="22"/>
  <c r="E17" i="22"/>
  <c r="B17" i="22"/>
  <c r="D16" i="22"/>
  <c r="C15" i="22"/>
  <c r="D15" i="22" s="1"/>
  <c r="I22" i="22" s="1"/>
  <c r="C14" i="22"/>
  <c r="D14" i="22" s="1"/>
  <c r="H22" i="22" s="1"/>
  <c r="D13" i="22"/>
  <c r="D12" i="22"/>
  <c r="F12" i="22" s="1"/>
  <c r="D11" i="22"/>
  <c r="F11" i="22" s="1"/>
  <c r="D10" i="22"/>
  <c r="F10" i="22" s="1"/>
  <c r="D9" i="22"/>
  <c r="F9" i="22" s="1"/>
  <c r="D8" i="22"/>
  <c r="F8" i="22" s="1"/>
  <c r="D7" i="22"/>
  <c r="C6" i="22"/>
  <c r="D6" i="22" s="1"/>
  <c r="E22" i="22" s="1"/>
  <c r="C5" i="22"/>
  <c r="D5" i="22" s="1"/>
  <c r="D22" i="22" s="1"/>
  <c r="C30" i="23"/>
  <c r="B30" i="23"/>
  <c r="D29" i="23"/>
  <c r="E29" i="23" s="1"/>
  <c r="F29" i="23" s="1"/>
  <c r="E10" i="23" s="1"/>
  <c r="D28" i="23"/>
  <c r="E28" i="23" s="1"/>
  <c r="F28" i="23" s="1"/>
  <c r="E9" i="23" s="1"/>
  <c r="H9" i="23" s="1"/>
  <c r="H15" i="23" s="1"/>
  <c r="D27" i="23"/>
  <c r="E27" i="23" s="1"/>
  <c r="F27" i="23" s="1"/>
  <c r="E8" i="23" s="1"/>
  <c r="D26" i="23"/>
  <c r="E26" i="23" s="1"/>
  <c r="E25" i="23"/>
  <c r="F25" i="23" s="1"/>
  <c r="E6" i="23" s="1"/>
  <c r="H6" i="23" s="1"/>
  <c r="E15" i="23" s="1"/>
  <c r="E16" i="23" s="1"/>
  <c r="E17" i="23" s="1"/>
  <c r="D25" i="23"/>
  <c r="D24" i="23"/>
  <c r="E24" i="23" s="1"/>
  <c r="F24" i="23" s="1"/>
  <c r="E5" i="23" s="1"/>
  <c r="H5" i="23" s="1"/>
  <c r="D15" i="23" s="1"/>
  <c r="D23" i="23"/>
  <c r="D30" i="23" s="1"/>
  <c r="I14" i="23"/>
  <c r="H14" i="23"/>
  <c r="G14" i="23"/>
  <c r="F14" i="23"/>
  <c r="E14" i="23"/>
  <c r="D14" i="23"/>
  <c r="C14" i="23"/>
  <c r="G11" i="23"/>
  <c r="F11" i="23"/>
  <c r="C11" i="23"/>
  <c r="B11" i="23"/>
  <c r="D10" i="23"/>
  <c r="D9" i="23"/>
  <c r="D8" i="23"/>
  <c r="H8" i="23" s="1"/>
  <c r="G15" i="23" s="1"/>
  <c r="E7" i="23"/>
  <c r="D7" i="23"/>
  <c r="D6" i="23"/>
  <c r="D5" i="23"/>
  <c r="D4" i="23"/>
  <c r="F16" i="22" l="1"/>
  <c r="I23" i="22" s="1"/>
  <c r="J22" i="22"/>
  <c r="F7" i="22"/>
  <c r="E23" i="22" s="1"/>
  <c r="F22" i="22"/>
  <c r="E23" i="23"/>
  <c r="E30" i="23" s="1"/>
  <c r="D11" i="23"/>
  <c r="H7" i="23"/>
  <c r="F15" i="23" s="1"/>
  <c r="F16" i="23" s="1"/>
  <c r="F17" i="23" s="1"/>
  <c r="F13" i="22"/>
  <c r="G22" i="22"/>
  <c r="G16" i="23"/>
  <c r="G17" i="23" s="1"/>
  <c r="H10" i="23"/>
  <c r="I15" i="23" s="1"/>
  <c r="I16" i="23" s="1"/>
  <c r="I17" i="23" s="1"/>
  <c r="D4" i="22"/>
  <c r="C22" i="22" s="1"/>
  <c r="B22" i="22"/>
  <c r="F14" i="22"/>
  <c r="G23" i="22" s="1"/>
  <c r="F24" i="22"/>
  <c r="F25" i="22" s="1"/>
  <c r="I24" i="22"/>
  <c r="I25" i="22" s="1"/>
  <c r="E24" i="22"/>
  <c r="E25" i="22" s="1"/>
  <c r="F15" i="22"/>
  <c r="G15" i="22" s="1"/>
  <c r="F5" i="22"/>
  <c r="B23" i="22" s="1"/>
  <c r="F6" i="22"/>
  <c r="D23" i="22" s="1"/>
  <c r="G16" i="22"/>
  <c r="G7" i="22"/>
  <c r="G13" i="22"/>
  <c r="C17" i="22"/>
  <c r="D16" i="23"/>
  <c r="D17" i="23" s="1"/>
  <c r="H16" i="23"/>
  <c r="H17" i="23" s="1"/>
  <c r="F23" i="23" l="1"/>
  <c r="G24" i="22"/>
  <c r="G25" i="22" s="1"/>
  <c r="F4" i="22"/>
  <c r="D17" i="22"/>
  <c r="G14" i="22"/>
  <c r="H23" i="22"/>
  <c r="H24" i="22" s="1"/>
  <c r="H25" i="22" s="1"/>
  <c r="D24" i="22"/>
  <c r="D25" i="22" s="1"/>
  <c r="G5" i="22"/>
  <c r="G6" i="22"/>
  <c r="B24" i="22"/>
  <c r="B25" i="22" s="1"/>
  <c r="F17" i="22"/>
  <c r="J23" i="22" s="1"/>
  <c r="J24" i="22" s="1"/>
  <c r="J25" i="22" s="1"/>
  <c r="G4" i="22"/>
  <c r="F30" i="23"/>
  <c r="E4" i="23"/>
  <c r="G17" i="22" l="1"/>
  <c r="E11" i="23"/>
  <c r="H4" i="23"/>
  <c r="C15" i="23" l="1"/>
  <c r="C16" i="23" s="1"/>
  <c r="C17" i="23" s="1"/>
  <c r="H11" i="23"/>
  <c r="E4" i="24" l="1"/>
  <c r="F4" i="24"/>
  <c r="X19" i="32" l="1"/>
  <c r="X20" i="32" s="1"/>
  <c r="W19" i="32"/>
  <c r="V19" i="32"/>
  <c r="U19" i="32"/>
  <c r="T19" i="32"/>
  <c r="S19" i="32"/>
  <c r="R19" i="32"/>
  <c r="Q19" i="32"/>
  <c r="P19" i="32"/>
  <c r="E23" i="32" s="1"/>
  <c r="O19" i="32"/>
  <c r="C24" i="32" s="1"/>
  <c r="N19" i="32"/>
  <c r="E24" i="32" s="1"/>
  <c r="M19" i="32"/>
  <c r="L19" i="32"/>
  <c r="K19" i="32"/>
  <c r="J19" i="32"/>
  <c r="H19" i="32"/>
  <c r="E19" i="32"/>
  <c r="D19" i="32"/>
  <c r="AA18" i="32"/>
  <c r="Z18" i="32"/>
  <c r="Y18" i="32"/>
  <c r="AA17" i="32"/>
  <c r="Z17" i="32"/>
  <c r="Y17" i="32"/>
  <c r="AA16" i="32"/>
  <c r="G16" i="32"/>
  <c r="F16" i="32"/>
  <c r="AA15" i="32"/>
  <c r="Z15" i="32"/>
  <c r="Y15" i="32"/>
  <c r="AA14" i="32"/>
  <c r="G14" i="32"/>
  <c r="F14" i="32"/>
  <c r="Y14" i="32" s="1"/>
  <c r="AA13" i="32"/>
  <c r="Z13" i="32"/>
  <c r="Y13" i="32"/>
  <c r="AA12" i="32"/>
  <c r="Z12" i="32"/>
  <c r="Y12" i="32"/>
  <c r="AA11" i="32"/>
  <c r="Z11" i="32"/>
  <c r="Y11" i="32"/>
  <c r="AA10" i="32"/>
  <c r="Z10" i="32"/>
  <c r="Y10" i="32"/>
  <c r="AA9" i="32"/>
  <c r="G9" i="32"/>
  <c r="F9" i="32"/>
  <c r="Z9" i="32" s="1"/>
  <c r="AA8" i="32"/>
  <c r="Z8" i="32"/>
  <c r="Y8" i="32"/>
  <c r="AA7" i="32"/>
  <c r="I7" i="32"/>
  <c r="I19" i="32" s="1"/>
  <c r="G7" i="32"/>
  <c r="F7" i="32"/>
  <c r="Z7" i="32" s="1"/>
  <c r="AA6" i="32"/>
  <c r="Z6" i="32"/>
  <c r="Y6" i="32"/>
  <c r="AA5" i="32"/>
  <c r="Z5" i="32"/>
  <c r="Y5" i="32"/>
  <c r="AA4" i="32"/>
  <c r="Z4" i="32"/>
  <c r="Y4" i="32"/>
  <c r="C18" i="25"/>
  <c r="F17" i="25"/>
  <c r="E17" i="25"/>
  <c r="D17" i="25"/>
  <c r="F16" i="25"/>
  <c r="E16" i="25"/>
  <c r="D16" i="25"/>
  <c r="F15" i="25"/>
  <c r="E15" i="25"/>
  <c r="D15" i="25"/>
  <c r="F14" i="25"/>
  <c r="E14" i="25"/>
  <c r="D14" i="25"/>
  <c r="F13" i="25"/>
  <c r="E13" i="25"/>
  <c r="D13" i="25"/>
  <c r="F12" i="25"/>
  <c r="E12" i="25"/>
  <c r="D12" i="25"/>
  <c r="F11" i="25"/>
  <c r="E11" i="25"/>
  <c r="D11" i="25"/>
  <c r="F10" i="25"/>
  <c r="E10" i="25"/>
  <c r="D10" i="25"/>
  <c r="F9" i="25"/>
  <c r="E9" i="25"/>
  <c r="D9" i="25"/>
  <c r="F8" i="25"/>
  <c r="E8" i="25"/>
  <c r="D8" i="25"/>
  <c r="F7" i="25"/>
  <c r="E7" i="25"/>
  <c r="D7" i="25"/>
  <c r="F6" i="25"/>
  <c r="E6" i="25"/>
  <c r="D6" i="25"/>
  <c r="F5" i="25"/>
  <c r="E5" i="25"/>
  <c r="D5" i="25"/>
  <c r="F4" i="25"/>
  <c r="E4" i="25"/>
  <c r="D4" i="25"/>
  <c r="F3" i="25"/>
  <c r="E3" i="25"/>
  <c r="D3" i="25"/>
  <c r="G19" i="32" l="1"/>
  <c r="AA19" i="32"/>
  <c r="Y16" i="32"/>
  <c r="Z16" i="32"/>
  <c r="Z14" i="32"/>
  <c r="Z19" i="32" s="1"/>
  <c r="D23" i="32"/>
  <c r="G16" i="25"/>
  <c r="G8" i="25"/>
  <c r="G4" i="25"/>
  <c r="G12" i="25"/>
  <c r="G11" i="25"/>
  <c r="G7" i="25"/>
  <c r="F18" i="25"/>
  <c r="G5" i="25"/>
  <c r="G9" i="25"/>
  <c r="G13" i="25"/>
  <c r="G17" i="25"/>
  <c r="G3" i="25"/>
  <c r="E18" i="25"/>
  <c r="G6" i="25"/>
  <c r="G10" i="25"/>
  <c r="C4" i="24"/>
  <c r="C23" i="32"/>
  <c r="F23" i="32" s="1"/>
  <c r="F24" i="32"/>
  <c r="D20" i="32"/>
  <c r="Y9" i="32"/>
  <c r="F19" i="32"/>
  <c r="O20" i="32" s="1"/>
  <c r="P20" i="32"/>
  <c r="Y7" i="32"/>
  <c r="D18" i="25"/>
  <c r="Y19" i="32" l="1"/>
  <c r="G14" i="25"/>
  <c r="D4" i="24"/>
  <c r="G15" i="25"/>
  <c r="Y20" i="32"/>
  <c r="G18" i="25" l="1"/>
  <c r="E47" i="20"/>
  <c r="F47" i="20"/>
  <c r="G47" i="20"/>
  <c r="H47" i="20"/>
  <c r="I47" i="20"/>
  <c r="J47" i="20"/>
  <c r="K47" i="20"/>
  <c r="L47" i="20"/>
  <c r="M47" i="20"/>
  <c r="O47" i="20"/>
  <c r="R47" i="20"/>
  <c r="B47" i="20"/>
  <c r="P44" i="20" l="1"/>
  <c r="P45" i="20"/>
  <c r="P46" i="20"/>
  <c r="D39" i="20"/>
  <c r="D44" i="20"/>
  <c r="C33" i="20"/>
  <c r="D33" i="20" s="1"/>
  <c r="C34" i="20"/>
  <c r="D34" i="20" s="1"/>
  <c r="C35" i="20"/>
  <c r="D35" i="20" s="1"/>
  <c r="C36" i="20"/>
  <c r="D36" i="20" s="1"/>
  <c r="C37" i="20"/>
  <c r="D37" i="20" s="1"/>
  <c r="C38" i="20"/>
  <c r="D38" i="20" s="1"/>
  <c r="C39" i="20"/>
  <c r="C40" i="20"/>
  <c r="D40" i="20" s="1"/>
  <c r="C41" i="20"/>
  <c r="D41" i="20" s="1"/>
  <c r="C42" i="20"/>
  <c r="D42" i="20" s="1"/>
  <c r="C44" i="20"/>
  <c r="C45" i="20"/>
  <c r="D45" i="20" s="1"/>
  <c r="C46" i="20"/>
  <c r="D46" i="20" s="1"/>
  <c r="Q46" i="20" l="1"/>
  <c r="G13" i="20"/>
  <c r="Q45" i="20"/>
  <c r="G12" i="20"/>
  <c r="Q44" i="20"/>
  <c r="G11" i="20"/>
  <c r="C32" i="20"/>
  <c r="N47" i="20"/>
  <c r="P42" i="20"/>
  <c r="P41" i="20"/>
  <c r="P40" i="20"/>
  <c r="P39" i="20"/>
  <c r="P38" i="20"/>
  <c r="Q38" i="20" s="1"/>
  <c r="P37" i="20"/>
  <c r="P36" i="20"/>
  <c r="Q36" i="20" s="1"/>
  <c r="P35" i="20"/>
  <c r="P34" i="20"/>
  <c r="Q34" i="20" s="1"/>
  <c r="P33" i="20"/>
  <c r="Q33" i="20" s="1"/>
  <c r="Q41" i="20" l="1"/>
  <c r="G8" i="20"/>
  <c r="Q40" i="20"/>
  <c r="G7" i="20"/>
  <c r="Q39" i="20"/>
  <c r="G6" i="20"/>
  <c r="Q37" i="20"/>
  <c r="G5" i="20"/>
  <c r="Q42" i="20"/>
  <c r="G9" i="20"/>
  <c r="D32" i="20"/>
  <c r="D47" i="20" s="1"/>
  <c r="C47" i="20"/>
  <c r="P43" i="20"/>
  <c r="Q35" i="20"/>
  <c r="P32" i="20"/>
  <c r="Q32" i="20" l="1"/>
  <c r="G3" i="20"/>
  <c r="Q43" i="20"/>
  <c r="G10" i="20"/>
  <c r="P47" i="20"/>
  <c r="Q47" i="20" l="1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3" i="16"/>
  <c r="E4" i="5" l="1"/>
  <c r="E11" i="5"/>
  <c r="C33" i="8"/>
  <c r="E6" i="8" l="1"/>
  <c r="E8" i="8"/>
  <c r="E13" i="8"/>
  <c r="E14" i="8" l="1"/>
  <c r="F14" i="8" s="1"/>
  <c r="E9" i="8"/>
  <c r="E10" i="8"/>
  <c r="E12" i="8"/>
  <c r="E7" i="8"/>
  <c r="E11" i="8"/>
  <c r="E32" i="8" l="1"/>
  <c r="F32" i="8" s="1"/>
  <c r="E15" i="8"/>
  <c r="F15" i="8" s="1"/>
  <c r="E5" i="8" l="1"/>
  <c r="G7" i="24" l="1"/>
  <c r="E91" i="8" s="1"/>
  <c r="J4" i="29" l="1"/>
  <c r="I4" i="29" l="1"/>
  <c r="H6" i="8" l="1"/>
  <c r="I6" i="8"/>
  <c r="K6" i="8"/>
  <c r="H7" i="8"/>
  <c r="I7" i="8"/>
  <c r="K7" i="8"/>
  <c r="H8" i="8"/>
  <c r="I8" i="8"/>
  <c r="K8" i="8"/>
  <c r="H9" i="8"/>
  <c r="I9" i="8"/>
  <c r="K9" i="8"/>
  <c r="H10" i="8"/>
  <c r="I10" i="8"/>
  <c r="K10" i="8"/>
  <c r="H11" i="8"/>
  <c r="I11" i="8"/>
  <c r="K11" i="8"/>
  <c r="H12" i="8"/>
  <c r="I12" i="8"/>
  <c r="K12" i="8"/>
  <c r="H13" i="8"/>
  <c r="I13" i="8"/>
  <c r="K13" i="8"/>
  <c r="H14" i="8"/>
  <c r="I14" i="8"/>
  <c r="K14" i="8"/>
  <c r="H16" i="8"/>
  <c r="I16" i="8"/>
  <c r="K16" i="8"/>
  <c r="H17" i="8"/>
  <c r="I17" i="8"/>
  <c r="K17" i="8"/>
  <c r="H18" i="8"/>
  <c r="I18" i="8"/>
  <c r="K18" i="8"/>
  <c r="H19" i="8"/>
  <c r="I19" i="8"/>
  <c r="K19" i="8"/>
  <c r="H20" i="8"/>
  <c r="I20" i="8"/>
  <c r="K20" i="8"/>
  <c r="H21" i="8"/>
  <c r="I21" i="8"/>
  <c r="K21" i="8"/>
  <c r="H22" i="8"/>
  <c r="I22" i="8"/>
  <c r="K22" i="8"/>
  <c r="H23" i="8"/>
  <c r="I23" i="8"/>
  <c r="K23" i="8"/>
  <c r="H24" i="8"/>
  <c r="I24" i="8"/>
  <c r="K24" i="8"/>
  <c r="H25" i="8"/>
  <c r="I25" i="8"/>
  <c r="K25" i="8"/>
  <c r="H26" i="8"/>
  <c r="I26" i="8"/>
  <c r="K26" i="8"/>
  <c r="H27" i="8"/>
  <c r="I27" i="8"/>
  <c r="K27" i="8"/>
  <c r="H28" i="8"/>
  <c r="I28" i="8"/>
  <c r="K28" i="8"/>
  <c r="H29" i="8"/>
  <c r="I29" i="8"/>
  <c r="K29" i="8"/>
  <c r="H30" i="8"/>
  <c r="I30" i="8"/>
  <c r="K30" i="8"/>
  <c r="H31" i="8"/>
  <c r="I31" i="8"/>
  <c r="K31" i="8"/>
  <c r="H33" i="8"/>
  <c r="I33" i="8"/>
  <c r="K33" i="8"/>
  <c r="K5" i="8"/>
  <c r="I5" i="8"/>
  <c r="H5" i="8"/>
  <c r="I3" i="31"/>
  <c r="J6" i="8" s="1"/>
  <c r="I4" i="31"/>
  <c r="J7" i="8" s="1"/>
  <c r="I5" i="31"/>
  <c r="J8" i="8" s="1"/>
  <c r="I6" i="31"/>
  <c r="J9" i="8" s="1"/>
  <c r="I7" i="31"/>
  <c r="J10" i="8" s="1"/>
  <c r="I8" i="31"/>
  <c r="J11" i="8" s="1"/>
  <c r="I9" i="31"/>
  <c r="J12" i="8" s="1"/>
  <c r="I10" i="31"/>
  <c r="J13" i="8" s="1"/>
  <c r="I11" i="31"/>
  <c r="J14" i="8" s="1"/>
  <c r="I12" i="31"/>
  <c r="J16" i="8" s="1"/>
  <c r="I13" i="31"/>
  <c r="J17" i="8" s="1"/>
  <c r="I14" i="31"/>
  <c r="J18" i="8" s="1"/>
  <c r="I15" i="31"/>
  <c r="J19" i="8" s="1"/>
  <c r="I16" i="31"/>
  <c r="J20" i="8" s="1"/>
  <c r="I17" i="31"/>
  <c r="J21" i="8" s="1"/>
  <c r="I18" i="31"/>
  <c r="J22" i="8" s="1"/>
  <c r="I19" i="31"/>
  <c r="J23" i="8" s="1"/>
  <c r="I20" i="31"/>
  <c r="J24" i="8" s="1"/>
  <c r="I21" i="31"/>
  <c r="J25" i="8" s="1"/>
  <c r="I22" i="31"/>
  <c r="J26" i="8" s="1"/>
  <c r="I23" i="31"/>
  <c r="J27" i="8" s="1"/>
  <c r="I24" i="31"/>
  <c r="J28" i="8" s="1"/>
  <c r="I25" i="31"/>
  <c r="J29" i="8" s="1"/>
  <c r="I26" i="31"/>
  <c r="J30" i="8" s="1"/>
  <c r="I27" i="31"/>
  <c r="J31" i="8" s="1"/>
  <c r="I28" i="31"/>
  <c r="J33" i="8" s="1"/>
  <c r="I2" i="31"/>
  <c r="J5" i="8" s="1"/>
  <c r="E97" i="8" l="1"/>
  <c r="E98" i="8"/>
  <c r="E95" i="8"/>
  <c r="D8" i="24"/>
  <c r="F8" i="24"/>
  <c r="B8" i="24"/>
  <c r="G5" i="24"/>
  <c r="E89" i="8" s="1"/>
  <c r="G6" i="24"/>
  <c r="E90" i="8" s="1"/>
  <c r="G4" i="24"/>
  <c r="E84" i="8"/>
  <c r="E83" i="8"/>
  <c r="E82" i="8"/>
  <c r="E81" i="8"/>
  <c r="E80" i="8"/>
  <c r="E79" i="8"/>
  <c r="E78" i="8"/>
  <c r="E73" i="8"/>
  <c r="E72" i="8"/>
  <c r="E71" i="8"/>
  <c r="E70" i="8"/>
  <c r="E69" i="8"/>
  <c r="E68" i="8"/>
  <c r="E67" i="8"/>
  <c r="E66" i="8"/>
  <c r="E52" i="8"/>
  <c r="E53" i="8"/>
  <c r="E54" i="8"/>
  <c r="E55" i="8"/>
  <c r="E56" i="8"/>
  <c r="E57" i="8"/>
  <c r="E58" i="8"/>
  <c r="E59" i="8"/>
  <c r="E60" i="8"/>
  <c r="E61" i="8"/>
  <c r="E51" i="8"/>
  <c r="E45" i="8"/>
  <c r="H4" i="19"/>
  <c r="H5" i="19"/>
  <c r="G8" i="24" l="1"/>
  <c r="E47" i="8"/>
  <c r="E46" i="8"/>
  <c r="E96" i="8"/>
  <c r="E99" i="8" s="1"/>
  <c r="G14" i="20"/>
  <c r="E88" i="8"/>
  <c r="E85" i="8"/>
  <c r="E74" i="8"/>
  <c r="E62" i="8"/>
  <c r="F4" i="29" l="1"/>
  <c r="I39" i="8"/>
  <c r="E48" i="8"/>
  <c r="E92" i="8"/>
  <c r="E21" i="5"/>
  <c r="E18" i="8"/>
  <c r="C9" i="19" s="1"/>
  <c r="C11" i="19" s="1"/>
  <c r="C12" i="19" s="1"/>
  <c r="E5" i="5"/>
  <c r="E21" i="8"/>
  <c r="G9" i="19" s="1"/>
  <c r="E7" i="5"/>
  <c r="E16" i="5"/>
  <c r="E25" i="5"/>
  <c r="E3" i="5"/>
  <c r="F17" i="5"/>
  <c r="F23" i="5"/>
  <c r="F29" i="5" s="1"/>
  <c r="E19" i="1"/>
  <c r="C17" i="8"/>
  <c r="G11" i="19" l="1"/>
  <c r="G12" i="19" s="1"/>
  <c r="I11" i="19"/>
  <c r="I10" i="19" s="1"/>
  <c r="I12" i="19" s="1"/>
  <c r="F18" i="8"/>
  <c r="L7" i="8"/>
  <c r="E19" i="8"/>
  <c r="E36" i="5"/>
  <c r="E12" i="5"/>
  <c r="E6" i="5"/>
  <c r="E26" i="5"/>
  <c r="E22" i="5"/>
  <c r="L5" i="8"/>
  <c r="E9" i="5"/>
  <c r="E10" i="5"/>
  <c r="F12" i="8"/>
  <c r="E22" i="8"/>
  <c r="M22" i="8" s="1"/>
  <c r="F11" i="8"/>
  <c r="E28" i="5"/>
  <c r="E23" i="8"/>
  <c r="F23" i="8" s="1"/>
  <c r="E15" i="5"/>
  <c r="E34" i="5"/>
  <c r="E25" i="8"/>
  <c r="F25" i="8" s="1"/>
  <c r="E13" i="5"/>
  <c r="E28" i="8"/>
  <c r="F28" i="8" s="1"/>
  <c r="L8" i="8"/>
  <c r="M9" i="8"/>
  <c r="E20" i="5"/>
  <c r="E20" i="8"/>
  <c r="L20" i="8" s="1"/>
  <c r="E27" i="5"/>
  <c r="M10" i="8"/>
  <c r="E33" i="5"/>
  <c r="E29" i="8"/>
  <c r="L29" i="8" s="1"/>
  <c r="E24" i="5"/>
  <c r="M14" i="8"/>
  <c r="E24" i="8"/>
  <c r="L24" i="8" s="1"/>
  <c r="E16" i="8"/>
  <c r="E8" i="5"/>
  <c r="E19" i="5"/>
  <c r="E27" i="8"/>
  <c r="M27" i="8" s="1"/>
  <c r="F37" i="5"/>
  <c r="L18" i="8"/>
  <c r="M18" i="8"/>
  <c r="L13" i="8"/>
  <c r="M13" i="8"/>
  <c r="L21" i="8"/>
  <c r="M21" i="8"/>
  <c r="M6" i="8"/>
  <c r="L6" i="8"/>
  <c r="F21" i="8"/>
  <c r="F6" i="8"/>
  <c r="F5" i="8"/>
  <c r="F13" i="8"/>
  <c r="E30" i="8"/>
  <c r="E31" i="5"/>
  <c r="E32" i="5"/>
  <c r="E35" i="5"/>
  <c r="E31" i="8"/>
  <c r="L16" i="8" l="1"/>
  <c r="E17" i="8"/>
  <c r="I35" i="8" s="1"/>
  <c r="K35" i="8" s="1"/>
  <c r="F19" i="8"/>
  <c r="E9" i="19"/>
  <c r="E11" i="19" s="1"/>
  <c r="E12" i="19" s="1"/>
  <c r="M7" i="8"/>
  <c r="F7" i="8"/>
  <c r="F22" i="8"/>
  <c r="M5" i="8"/>
  <c r="L22" i="8"/>
  <c r="L25" i="8"/>
  <c r="M11" i="8"/>
  <c r="M23" i="8"/>
  <c r="L11" i="8"/>
  <c r="L23" i="8"/>
  <c r="L19" i="8"/>
  <c r="M19" i="8"/>
  <c r="E23" i="5"/>
  <c r="E29" i="5" s="1"/>
  <c r="M12" i="8"/>
  <c r="L9" i="8"/>
  <c r="M25" i="8"/>
  <c r="L12" i="8"/>
  <c r="F20" i="8"/>
  <c r="M20" i="8"/>
  <c r="F9" i="8"/>
  <c r="F8" i="8"/>
  <c r="M8" i="8"/>
  <c r="G19" i="1"/>
  <c r="M29" i="8"/>
  <c r="F29" i="8"/>
  <c r="M28" i="8"/>
  <c r="L28" i="8"/>
  <c r="F10" i="8"/>
  <c r="L10" i="8"/>
  <c r="F27" i="8"/>
  <c r="L27" i="8"/>
  <c r="M16" i="8"/>
  <c r="F16" i="8"/>
  <c r="M24" i="8"/>
  <c r="L14" i="8"/>
  <c r="F24" i="8"/>
  <c r="M31" i="8"/>
  <c r="L31" i="8"/>
  <c r="L30" i="8"/>
  <c r="M30" i="8"/>
  <c r="F30" i="8"/>
  <c r="F31" i="8"/>
  <c r="M17" i="8" l="1"/>
  <c r="A4" i="29"/>
  <c r="F17" i="8"/>
  <c r="L17" i="8"/>
  <c r="C251" i="16"/>
  <c r="E26" i="8" s="1"/>
  <c r="C430" i="28"/>
  <c r="P430" i="28" s="1"/>
  <c r="F26" i="8" l="1"/>
  <c r="L26" i="8"/>
  <c r="E33" i="8"/>
  <c r="I36" i="8" s="1"/>
  <c r="K36" i="8" s="1"/>
  <c r="M26" i="8"/>
  <c r="E14" i="5"/>
  <c r="E17" i="5" s="1"/>
  <c r="E37" i="5" s="1"/>
  <c r="C431" i="16"/>
  <c r="E38" i="5" l="1"/>
  <c r="E39" i="5"/>
  <c r="M33" i="8"/>
  <c r="E34" i="8"/>
  <c r="L33" i="8"/>
  <c r="F33" i="8"/>
  <c r="B4" i="29"/>
  <c r="E35" i="8" l="1"/>
  <c r="I38" i="8" s="1"/>
  <c r="E38" i="8"/>
  <c r="E39" i="8" s="1"/>
  <c r="C4" i="29"/>
  <c r="K4" i="29"/>
  <c r="L4" i="29" s="1"/>
  <c r="D4" i="29" l="1"/>
  <c r="G4" i="29"/>
  <c r="O4" i="29"/>
  <c r="E4" i="29"/>
  <c r="H4" i="29" s="1"/>
  <c r="P4" i="29" l="1"/>
  <c r="M4" i="29"/>
  <c r="N4" i="29" s="1"/>
  <c r="Q4" i="29" s="1"/>
  <c r="R4" i="29" s="1"/>
  <c r="S4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  <author>Administrator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E4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</authors>
  <commentList>
    <comment ref="F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  <author>Amonrat</author>
  </authors>
  <commentList>
    <comment ref="I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Corporate Edition:</t>
        </r>
        <r>
          <rPr>
            <sz val="9"/>
            <color indexed="81"/>
            <rFont val="Tahoma"/>
            <family val="2"/>
          </rPr>
          <t xml:space="preserve">
กำหนดระยะเวลาคงคลัง</t>
        </r>
      </text>
    </comment>
    <comment ref="I10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Corporate Edition:
=มูลค่าใช้ทั้งปี/365</t>
        </r>
      </text>
    </comment>
    <comment ref="I11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Corporate Edition:</t>
        </r>
        <r>
          <rPr>
            <sz val="9"/>
            <color indexed="81"/>
            <rFont val="Tahoma"/>
            <family val="2"/>
          </rPr>
          <t xml:space="preserve">
ประมาณการยอดใช้ทั้งปี</t>
        </r>
      </text>
    </comment>
    <comment ref="C12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365/5</t>
        </r>
      </text>
    </comment>
    <comment ref="I12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Corporate Edition:</t>
        </r>
        <r>
          <rPr>
            <sz val="9"/>
            <color indexed="81"/>
            <rFont val="Tahoma"/>
            <family val="2"/>
          </rPr>
          <t xml:space="preserve">
=ใช้ต่อวัน*วันคงคงคลัง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B2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B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365/4.25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A4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NB31</author>
  </authors>
  <commentList>
    <comment ref="C6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NB31:</t>
        </r>
        <r>
          <rPr>
            <sz val="9"/>
            <color indexed="81"/>
            <rFont val="Tahoma"/>
            <family val="2"/>
          </rPr>
          <t xml:space="preserve">
ครุภัณฑ์ สนง 646200(10รายการ)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</authors>
  <commentList>
    <comment ref="D2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<sst xmlns="http://schemas.openxmlformats.org/spreadsheetml/2006/main" count="7804" uniqueCount="1575">
  <si>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</si>
  <si>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</si>
  <si>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</si>
  <si>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</si>
  <si>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</si>
  <si>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</si>
  <si>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</si>
  <si>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</si>
  <si>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</si>
  <si>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</si>
  <si>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</si>
  <si>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</si>
  <si>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</si>
  <si>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</si>
  <si>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</si>
  <si>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</si>
  <si>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</si>
  <si>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</si>
  <si>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</si>
  <si>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</si>
  <si>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</si>
  <si>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</si>
  <si>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</si>
  <si>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</si>
  <si>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</si>
  <si>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</si>
  <si>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</si>
  <si>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</si>
  <si>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</si>
  <si>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</si>
  <si>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</si>
  <si>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</si>
  <si>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</si>
  <si>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</si>
  <si>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</si>
  <si>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</si>
  <si>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</si>
  <si>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</si>
  <si>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</si>
  <si>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</si>
  <si>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</si>
  <si>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</si>
  <si>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</si>
  <si>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</si>
  <si>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</si>
  <si>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</si>
  <si>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</si>
  <si>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</si>
  <si>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</si>
  <si>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</si>
  <si>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</si>
  <si>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</si>
  <si>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</si>
  <si>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</si>
  <si>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</si>
  <si>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</si>
  <si>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</si>
  <si>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</si>
  <si>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</si>
  <si>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</si>
  <si>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</si>
  <si>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</si>
  <si>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</si>
  <si>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</si>
  <si>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</si>
  <si>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</si>
  <si>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</si>
  <si>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</si>
  <si>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</si>
  <si>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</si>
  <si>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</si>
  <si>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</si>
  <si>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</si>
  <si>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</si>
  <si>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</si>
  <si>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</si>
  <si>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</si>
  <si>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</si>
  <si>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</si>
  <si>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</si>
  <si>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</si>
  <si>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</si>
  <si>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</si>
  <si>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</si>
  <si>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</si>
  <si>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</si>
  <si>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</si>
  <si>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</si>
  <si>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</si>
  <si>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</si>
  <si>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</si>
  <si>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</si>
  <si>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</si>
  <si>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</si>
  <si>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</si>
  <si>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</si>
  <si>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</si>
  <si>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</si>
  <si>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</si>
  <si>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</si>
  <si>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</si>
  <si>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</si>
  <si>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</si>
  <si>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</si>
  <si>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</si>
  <si>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</si>
  <si>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</si>
  <si>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</si>
  <si>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</si>
  <si>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</si>
  <si>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</si>
  <si>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</si>
  <si>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</si>
  <si>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</si>
  <si>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</si>
  <si>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</si>
  <si>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</si>
  <si>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</si>
  <si>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</si>
  <si>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</si>
  <si>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</si>
  <si>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</si>
  <si>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</si>
  <si>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</si>
  <si>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</si>
  <si>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</si>
  <si>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</si>
  <si>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</si>
  <si>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</si>
  <si>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</si>
  <si>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</si>
  <si>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</si>
  <si>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</si>
  <si>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</si>
  <si>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</si>
  <si>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</si>
  <si>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</si>
  <si>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</si>
  <si>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</si>
  <si>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</si>
  <si>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</si>
  <si>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</si>
  <si>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</si>
  <si>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</si>
  <si>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</si>
  <si>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</si>
  <si>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</si>
  <si>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</si>
  <si>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</si>
  <si>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</si>
  <si>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</si>
  <si>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</si>
  <si>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</si>
  <si>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</si>
  <si>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</si>
  <si>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</si>
  <si>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</si>
  <si>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</si>
  <si>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</si>
  <si>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</si>
  <si>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</si>
  <si>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</si>
  <si>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</si>
  <si>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</si>
  <si>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</si>
  <si>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</si>
  <si>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</si>
  <si>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</si>
  <si>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</si>
  <si>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</si>
  <si>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</si>
  <si>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</si>
  <si>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</si>
  <si>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</si>
  <si>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</si>
  <si>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</si>
  <si>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</si>
  <si>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</si>
  <si>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</si>
  <si>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</si>
  <si>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</si>
  <si>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</si>
  <si>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</si>
  <si>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</si>
  <si>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</si>
  <si>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</si>
  <si>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</si>
  <si>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</si>
  <si>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</si>
  <si>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</si>
  <si>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</si>
  <si>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</si>
  <si>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</si>
  <si>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</si>
  <si>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</si>
  <si>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</si>
  <si>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</si>
  <si>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</si>
  <si>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</si>
  <si>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</si>
  <si>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</si>
  <si>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</si>
  <si>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</si>
  <si>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</si>
  <si>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</si>
  <si>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</si>
  <si>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</si>
  <si>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</si>
  <si>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</si>
  <si>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</si>
  <si>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</si>
  <si>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</si>
  <si>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</si>
  <si>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</si>
  <si>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</si>
  <si>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</si>
  <si>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</si>
  <si>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</si>
  <si>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</si>
  <si>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</si>
  <si>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</si>
  <si>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</si>
  <si>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</si>
  <si>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</si>
  <si>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</si>
  <si>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</si>
  <si>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</si>
  <si>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</si>
  <si>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</si>
  <si>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</si>
  <si>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</si>
  <si>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</si>
  <si>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</si>
  <si>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</si>
  <si>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</si>
  <si>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</si>
  <si>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</si>
  <si>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</si>
  <si>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</si>
  <si>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</si>
  <si>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</si>
  <si>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</si>
  <si>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</si>
  <si>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</si>
  <si>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</si>
  <si>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</si>
  <si>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</si>
  <si>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</si>
  <si>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</si>
  <si>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</si>
  <si>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</si>
  <si>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</si>
  <si>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</si>
  <si>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</si>
  <si>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</si>
  <si>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</si>
  <si>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</si>
  <si>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</si>
  <si>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</si>
  <si>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</si>
  <si>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</si>
  <si>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</si>
  <si>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</si>
  <si>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</si>
  <si>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</si>
  <si>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</si>
  <si>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</si>
  <si>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</si>
  <si>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</si>
  <si>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</si>
  <si>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</si>
  <si>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</si>
  <si>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</si>
  <si>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</si>
  <si>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</si>
  <si>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</si>
  <si>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</si>
  <si>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</si>
  <si>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</si>
  <si>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</si>
  <si>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</si>
  <si>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</si>
  <si>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</si>
  <si>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</si>
  <si>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</si>
  <si>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</si>
  <si>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</si>
  <si>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</si>
  <si>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</si>
  <si>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</si>
  <si>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</si>
  <si>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</si>
  <si>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</si>
  <si>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</si>
  <si>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</si>
  <si>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</si>
  <si>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</si>
  <si>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</si>
  <si>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</si>
  <si>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</si>
  <si>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</si>
  <si>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</si>
  <si>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</si>
  <si>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</si>
  <si>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</si>
  <si>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</si>
  <si>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</si>
  <si>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</si>
  <si>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</si>
  <si>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</si>
  <si>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</si>
  <si>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</si>
  <si>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</si>
  <si>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</si>
  <si>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</si>
  <si>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5102030199.101</t>
  </si>
  <si>
    <t>5103010102.101</t>
  </si>
  <si>
    <t>5103010103.101</t>
  </si>
  <si>
    <t>5103010199.101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</si>
  <si>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</si>
  <si>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</si>
  <si>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</si>
  <si>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</si>
  <si>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</si>
  <si>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</si>
  <si>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</si>
  <si>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</si>
  <si>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</si>
  <si>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</si>
  <si>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</si>
  <si>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</si>
  <si>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</si>
  <si>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</si>
  <si>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</si>
  <si>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</si>
  <si>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</si>
  <si>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</si>
  <si>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</si>
  <si>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</si>
  <si>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</si>
  <si>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</si>
  <si>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</si>
  <si>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</si>
  <si>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</si>
  <si>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</si>
  <si>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</si>
  <si>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</si>
  <si>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</si>
  <si>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</si>
  <si>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</si>
  <si>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</si>
  <si>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</si>
  <si>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</si>
  <si>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</si>
  <si>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</si>
  <si>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</si>
  <si>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</si>
  <si>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</si>
  <si>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</si>
  <si>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</si>
  <si>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</si>
  <si>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</si>
  <si>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</si>
  <si>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</si>
  <si>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</si>
  <si>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</si>
  <si>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</si>
  <si>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</si>
  <si>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</si>
  <si>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</si>
  <si>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</si>
  <si>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</si>
  <si>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</si>
  <si>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</si>
  <si>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</si>
  <si>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</si>
  <si>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</si>
  <si>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</si>
  <si>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</si>
  <si>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</si>
  <si>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</si>
  <si>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</si>
  <si>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</si>
  <si>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</si>
  <si>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</si>
  <si>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</si>
  <si>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</si>
  <si>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</si>
  <si>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</si>
  <si>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</si>
  <si>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</si>
  <si>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</si>
  <si>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</si>
  <si>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</si>
  <si>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</si>
  <si>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</si>
  <si>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</si>
  <si>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</si>
  <si>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</si>
  <si>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</si>
  <si>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</si>
  <si>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</si>
  <si>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</si>
  <si>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</si>
  <si>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</si>
  <si>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</si>
  <si>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</si>
  <si>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</si>
  <si>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</si>
  <si>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</si>
  <si>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</si>
  <si>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</si>
  <si>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</si>
  <si>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</si>
  <si>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</si>
  <si>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</si>
  <si>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</si>
  <si>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</si>
  <si>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</si>
  <si>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</si>
  <si>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</si>
  <si>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</si>
  <si>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</si>
  <si>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</si>
  <si>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</si>
  <si>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</si>
  <si>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</si>
  <si>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</si>
  <si>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</si>
  <si>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</si>
  <si>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</si>
  <si>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</si>
  <si>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</si>
  <si>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</si>
  <si>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</si>
  <si>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</si>
  <si>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</si>
  <si>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</si>
  <si>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</si>
  <si>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</si>
  <si>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</si>
  <si>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</si>
  <si>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</si>
  <si>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</si>
  <si>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</si>
  <si>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</si>
  <si>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</si>
  <si>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</si>
  <si>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</si>
  <si>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</si>
  <si>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</si>
  <si>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</si>
  <si>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</si>
  <si>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</si>
  <si>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</si>
  <si>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</si>
  <si>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</si>
  <si>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</si>
  <si>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</si>
  <si>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</si>
  <si>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</si>
  <si>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</si>
  <si>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</si>
  <si>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</si>
  <si>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</si>
  <si>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</si>
  <si>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</si>
  <si>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</si>
  <si>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</si>
  <si>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</si>
  <si>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</si>
  <si>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</si>
  <si>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</si>
  <si>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</si>
  <si>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</si>
  <si>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</si>
  <si>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</si>
  <si>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</si>
  <si>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</si>
  <si>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</si>
  <si>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</si>
  <si>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</si>
  <si>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</si>
  <si>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</si>
  <si>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</si>
  <si>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</si>
  <si>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</si>
  <si>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</si>
  <si>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</si>
  <si>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</si>
  <si>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</si>
  <si>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</si>
  <si>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</si>
  <si>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</si>
  <si>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</si>
  <si>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5104030299.102</t>
  </si>
  <si>
    <t>5104030299.103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</si>
  <si>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</si>
  <si>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</si>
  <si>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</si>
  <si>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</si>
  <si>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</si>
  <si>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</si>
  <si>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</si>
  <si>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</si>
  <si>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</si>
  <si>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</si>
  <si>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</si>
  <si>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</si>
  <si>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</si>
  <si>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</si>
  <si>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</si>
  <si>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</si>
  <si>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</si>
  <si>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</si>
  <si>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</si>
  <si>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</si>
  <si>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</si>
  <si>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</si>
  <si>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</si>
  <si>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</si>
  <si>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</si>
  <si>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</si>
  <si>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</si>
  <si>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</si>
  <si>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</si>
  <si>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</si>
  <si>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</si>
  <si>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</si>
  <si>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</si>
  <si>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</si>
  <si>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</si>
  <si>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</si>
  <si>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</si>
  <si>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</si>
  <si>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</si>
  <si>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</si>
  <si>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</si>
  <si>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</si>
  <si>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</si>
  <si>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</si>
  <si>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</si>
  <si>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</si>
  <si>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</si>
  <si>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</si>
  <si>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</si>
  <si>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</si>
  <si>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</si>
  <si>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</si>
  <si>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</si>
  <si>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</si>
  <si>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</si>
  <si>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</si>
  <si>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</si>
  <si>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</si>
  <si>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</si>
  <si>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</si>
  <si>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</si>
  <si>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</si>
  <si>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</si>
  <si>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</si>
  <si>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</si>
  <si>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</si>
  <si>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</si>
  <si>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</si>
  <si>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</si>
  <si>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</si>
  <si>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</si>
  <si>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</si>
  <si>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</si>
  <si>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</si>
  <si>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</si>
  <si>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</si>
  <si>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</si>
  <si>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</si>
  <si>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</si>
  <si>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</si>
  <si>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</si>
  <si>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</si>
  <si>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</si>
  <si>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</si>
  <si>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</si>
  <si>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</si>
  <si>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</si>
  <si>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</si>
  <si>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</si>
  <si>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</si>
  <si>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</si>
  <si>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</si>
  <si>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</si>
  <si>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</si>
  <si>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</si>
  <si>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</si>
  <si>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</si>
  <si>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</si>
  <si>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</si>
  <si>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</si>
  <si>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</si>
  <si>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</si>
  <si>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</si>
  <si>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</si>
  <si>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</si>
  <si>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</si>
  <si>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</si>
  <si>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</si>
  <si>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</si>
  <si>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</si>
  <si>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</si>
  <si>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</si>
  <si>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</si>
  <si>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</si>
  <si>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</si>
  <si>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</si>
  <si>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</si>
  <si>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</si>
  <si>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</si>
  <si>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</si>
  <si>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</si>
  <si>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</si>
  <si>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</si>
  <si>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</si>
  <si>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</si>
  <si>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</si>
  <si>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</si>
  <si>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</si>
  <si>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</si>
  <si>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</si>
  <si>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</si>
  <si>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</si>
  <si>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</si>
  <si>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</si>
  <si>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</si>
  <si>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</si>
  <si>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</si>
  <si>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</si>
  <si>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</si>
  <si>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</si>
  <si>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</si>
  <si>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</si>
  <si>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</si>
  <si>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</si>
  <si>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</si>
  <si>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</si>
  <si>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</si>
  <si>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</si>
  <si>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</si>
  <si>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</si>
  <si>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</si>
  <si>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</si>
  <si>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</si>
  <si>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</si>
  <si>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</si>
  <si>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</si>
  <si>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</si>
  <si>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</si>
  <si>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</si>
  <si>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</si>
  <si>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</si>
  <si>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</si>
  <si>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</si>
  <si>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</si>
  <si>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</si>
  <si>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</si>
  <si>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</si>
  <si>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</si>
  <si>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</si>
  <si>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</si>
  <si>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</si>
  <si>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</si>
  <si>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</si>
  <si>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</si>
  <si>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</si>
  <si>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</si>
  <si>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</si>
  <si>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</si>
  <si>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</si>
  <si>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</si>
  <si>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</si>
  <si>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</si>
  <si>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</si>
  <si>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</si>
  <si>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</si>
  <si>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</si>
  <si>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</si>
  <si>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</si>
  <si>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</si>
  <si>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</si>
  <si>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</si>
  <si>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</si>
  <si>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</si>
  <si>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</si>
  <si>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</si>
  <si>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</si>
  <si>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</si>
  <si>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</si>
  <si>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</si>
  <si>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</si>
  <si>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</si>
  <si>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</si>
  <si>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</si>
  <si>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</si>
  <si>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</si>
  <si>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</si>
  <si>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</si>
  <si>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</si>
  <si>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</si>
  <si>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</si>
  <si>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</si>
  <si>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</si>
  <si>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</si>
  <si>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</si>
  <si>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</si>
  <si>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</si>
  <si>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</si>
  <si>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</si>
  <si>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</si>
  <si>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</si>
  <si>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</si>
  <si>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</si>
  <si>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</si>
  <si>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</si>
  <si>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</si>
  <si>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</si>
  <si>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</si>
  <si>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</si>
  <si>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</si>
  <si>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</si>
  <si>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</si>
  <si>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</si>
  <si>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</si>
  <si>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</si>
  <si>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</si>
  <si>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</si>
  <si>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</si>
  <si>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</si>
  <si>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</si>
  <si>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</si>
  <si>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</si>
  <si>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</si>
  <si>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</si>
  <si>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</si>
  <si>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</si>
  <si>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</si>
  <si>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</si>
  <si>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</si>
  <si>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</si>
  <si>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</si>
  <si>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</si>
  <si>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</si>
  <si>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</si>
  <si>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</si>
  <si>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</si>
  <si>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</si>
  <si>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</si>
  <si>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</si>
  <si>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</si>
  <si>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</si>
  <si>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</si>
  <si>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</si>
  <si>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</si>
  <si>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</si>
  <si>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</si>
  <si>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</si>
  <si>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</si>
  <si>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</si>
  <si>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</si>
  <si>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</si>
  <si>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</si>
  <si>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</si>
  <si>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</si>
  <si>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</si>
  <si>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</si>
  <si>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</si>
  <si>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</si>
  <si>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</si>
  <si>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</si>
  <si>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</si>
  <si>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</si>
  <si>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</si>
  <si>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</si>
  <si>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</si>
  <si>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</si>
  <si>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</si>
  <si>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</si>
  <si>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</si>
  <si>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</si>
  <si>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</si>
  <si>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</si>
  <si>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</si>
  <si>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</si>
  <si>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</si>
  <si>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</si>
  <si>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</si>
  <si>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</si>
  <si>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</si>
  <si>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</si>
  <si>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</si>
  <si>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</si>
  <si>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</si>
  <si>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</si>
  <si>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</si>
  <si>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</si>
  <si>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</si>
  <si>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</si>
  <si>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</si>
  <si>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4301020104.806</t>
  </si>
  <si>
    <t>4301020104.807</t>
  </si>
  <si>
    <t>4301020104.808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</si>
  <si>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</si>
  <si>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</si>
  <si>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</si>
  <si>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</si>
  <si>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</si>
  <si>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</si>
  <si>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</si>
  <si>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</si>
  <si>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</si>
  <si>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</si>
  <si>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</si>
  <si>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</si>
  <si>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</si>
  <si>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</si>
  <si>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</si>
  <si>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</si>
  <si>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</si>
  <si>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</si>
  <si>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</si>
  <si>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</si>
  <si>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</si>
  <si>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</si>
  <si>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</si>
  <si>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</si>
  <si>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</si>
  <si>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</si>
  <si>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</si>
  <si>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</si>
  <si>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</si>
  <si>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</si>
  <si>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</si>
  <si>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</si>
  <si>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</si>
  <si>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</si>
  <si>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</si>
  <si>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</si>
  <si>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</si>
  <si>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</si>
  <si>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</si>
  <si>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</si>
  <si>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</si>
  <si>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</si>
  <si>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</si>
  <si>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</si>
  <si>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</si>
  <si>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</si>
  <si>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</si>
  <si>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</si>
  <si>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</si>
  <si>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</si>
  <si>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</si>
  <si>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</si>
  <si>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</si>
  <si>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</si>
  <si>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</si>
  <si>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</si>
  <si>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</si>
  <si>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</si>
  <si>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</si>
  <si>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</si>
  <si>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</si>
  <si>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</si>
  <si>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</si>
  <si>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</si>
  <si>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</si>
  <si>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</si>
  <si>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</si>
  <si>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</si>
  <si>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</si>
  <si>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</si>
  <si>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</si>
  <si>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</si>
  <si>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</si>
  <si>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</si>
  <si>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</si>
  <si>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</si>
  <si>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</si>
  <si>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</si>
  <si>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</si>
  <si>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</si>
  <si>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</si>
  <si>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</si>
  <si>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</si>
  <si>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</si>
  <si>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</si>
  <si>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</si>
  <si>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</si>
  <si>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</si>
  <si>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</si>
  <si>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</si>
  <si>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</si>
  <si>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</si>
  <si>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</si>
  <si>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</si>
  <si>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</si>
  <si>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</si>
  <si>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</si>
  <si>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</si>
  <si>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</si>
  <si>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</si>
  <si>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</si>
  <si>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</si>
  <si>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</si>
  <si>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</si>
  <si>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</si>
  <si>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</si>
  <si>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</si>
  <si>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</si>
  <si>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</si>
  <si>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</si>
  <si>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</si>
  <si>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</si>
  <si>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</si>
  <si>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</si>
  <si>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</si>
  <si>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</si>
  <si>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</si>
  <si>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</si>
  <si>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</si>
  <si>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</si>
  <si>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</si>
  <si>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</si>
  <si>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</si>
  <si>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</si>
  <si>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</si>
  <si>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</si>
  <si>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</si>
  <si>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</si>
  <si>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</si>
  <si>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</si>
  <si>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</si>
  <si>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</si>
  <si>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</si>
  <si>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</si>
  <si>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</si>
  <si>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</si>
  <si>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</si>
  <si>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</si>
  <si>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</si>
  <si>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</si>
  <si>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</si>
  <si>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</si>
  <si>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</si>
  <si>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</si>
  <si>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</si>
  <si>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</si>
  <si>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</si>
  <si>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</si>
  <si>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</si>
  <si>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</si>
  <si>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</si>
  <si>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</si>
  <si>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</si>
  <si>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</si>
  <si>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</si>
  <si>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</si>
  <si>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</si>
  <si>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</si>
  <si>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</si>
  <si>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</si>
  <si>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</si>
  <si>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</si>
  <si>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</si>
  <si>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</si>
  <si>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</si>
  <si>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</si>
  <si>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</si>
  <si>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</si>
  <si>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</si>
  <si>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</si>
  <si>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</si>
  <si>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</si>
  <si>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</si>
  <si>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</si>
  <si>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</si>
  <si>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</si>
  <si>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</si>
  <si>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</si>
  <si>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</si>
  <si>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</si>
  <si>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</si>
  <si>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</si>
  <si>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</si>
  <si>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</si>
  <si>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</si>
  <si>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</si>
  <si>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</si>
  <si>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</si>
  <si>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</si>
  <si>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</si>
  <si>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</si>
  <si>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</si>
  <si>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</si>
  <si>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</si>
  <si>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</si>
  <si>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</si>
  <si>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</si>
  <si>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</si>
  <si>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</si>
  <si>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</si>
  <si>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</si>
  <si>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</si>
  <si>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</si>
  <si>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</si>
  <si>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</si>
  <si>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</si>
  <si>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</si>
  <si>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</si>
  <si>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</si>
  <si>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</si>
  <si>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</si>
  <si>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</si>
  <si>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</si>
  <si>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</si>
  <si>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</si>
  <si>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</si>
  <si>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</si>
  <si>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</si>
  <si>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</si>
  <si>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</si>
  <si>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</si>
  <si>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</si>
  <si>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</si>
  <si>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</si>
  <si>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</si>
  <si>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</si>
  <si>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</si>
  <si>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</si>
  <si>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</si>
  <si>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</si>
  <si>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</si>
  <si>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</si>
  <si>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</si>
  <si>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</si>
  <si>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</si>
  <si>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</si>
  <si>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</si>
  <si>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</si>
  <si>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</si>
  <si>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</si>
  <si>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</si>
  <si>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</si>
  <si>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</si>
  <si>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</si>
  <si>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</si>
  <si>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</si>
  <si>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</si>
  <si>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</si>
  <si>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</si>
  <si>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</si>
  <si>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</si>
  <si>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</si>
  <si>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</si>
  <si>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</si>
  <si>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</si>
  <si>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</si>
  <si>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</si>
  <si>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</si>
  <si>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</si>
  <si>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</si>
  <si>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</si>
  <si>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</si>
  <si>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</si>
  <si>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</si>
  <si>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</si>
  <si>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</si>
  <si>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</si>
  <si>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</si>
  <si>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</si>
  <si>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</si>
  <si>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</si>
  <si>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</si>
  <si>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</si>
  <si>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</si>
  <si>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</si>
  <si>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</si>
  <si>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</si>
  <si>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</si>
  <si>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</si>
  <si>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</si>
  <si>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</si>
  <si>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</si>
  <si>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</si>
  <si>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</si>
  <si>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</si>
  <si>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</si>
  <si>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</si>
  <si>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</si>
  <si>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</si>
  <si>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</si>
  <si>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</si>
  <si>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</si>
  <si>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</si>
  <si>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</si>
  <si>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</si>
  <si>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</si>
  <si>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</si>
  <si>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</si>
  <si>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</si>
  <si>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</si>
  <si>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</si>
  <si>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</si>
  <si>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</si>
  <si>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</si>
  <si>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</si>
  <si>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</si>
  <si>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</si>
  <si>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</si>
  <si>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</si>
  <si>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</si>
  <si>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</si>
  <si>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</si>
  <si>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</si>
  <si>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</si>
  <si>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</si>
  <si>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</si>
  <si>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</si>
  <si>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</si>
  <si>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</si>
  <si>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</si>
  <si>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</si>
  <si>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</si>
  <si>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</si>
  <si>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</si>
  <si>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</si>
  <si>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</si>
  <si>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</si>
  <si>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(ต่างจังหวัด)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</si>
  <si>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</si>
  <si>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</si>
  <si>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</si>
  <si>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</si>
  <si>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</si>
  <si>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</si>
  <si>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</si>
  <si>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</si>
  <si>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</si>
  <si>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</si>
  <si>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</si>
  <si>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</si>
  <si>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</si>
  <si>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ค่าตอบแทนในการปฏิบัติงานเวรหรือผลัดบ่ายและหรือผลัดดึกของพยาบาล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</si>
  <si>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</si>
  <si>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</si>
  <si>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</si>
  <si>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</si>
  <si>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</si>
  <si>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</si>
  <si>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</si>
  <si>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</si>
  <si>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</si>
  <si>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</si>
  <si>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</si>
  <si>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</si>
  <si>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</si>
  <si>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</si>
  <si>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</si>
  <si>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</si>
  <si>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</si>
  <si>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</si>
  <si>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</si>
  <si>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</si>
  <si>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</si>
  <si>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</si>
  <si>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</si>
  <si>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</si>
  <si>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</si>
  <si>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</si>
  <si>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</si>
  <si>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</si>
  <si>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</si>
  <si>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</si>
  <si>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</si>
  <si>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</si>
  <si>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</si>
  <si>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</si>
  <si>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</si>
  <si>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</si>
  <si>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</si>
  <si>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</si>
  <si>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</si>
  <si>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</si>
  <si>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</si>
  <si>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</si>
  <si>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</si>
  <si>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</si>
  <si>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</si>
  <si>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</si>
  <si>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</si>
  <si>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</si>
  <si>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</si>
  <si>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</si>
  <si>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</si>
  <si>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</si>
  <si>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</si>
  <si>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</si>
  <si>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</si>
  <si>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</si>
  <si>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</si>
  <si>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</si>
  <si>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</si>
  <si>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</si>
  <si>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</si>
  <si>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</si>
  <si>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</si>
  <si>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</si>
  <si>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</si>
  <si>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</si>
  <si>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</si>
  <si>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</si>
  <si>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</si>
  <si>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</si>
  <si>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</si>
  <si>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</si>
  <si>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</si>
  <si>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</si>
  <si>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</si>
  <si>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</si>
  <si>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</si>
  <si>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</si>
  <si>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</si>
  <si>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</si>
  <si>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</si>
  <si>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</si>
  <si>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</si>
  <si>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</si>
  <si>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</si>
  <si>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</si>
  <si>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</si>
  <si>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</si>
  <si>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</si>
  <si>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</si>
  <si>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</si>
  <si>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</si>
  <si>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</si>
  <si>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</si>
  <si>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</si>
  <si>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</si>
  <si>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</si>
  <si>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นำค่ามาวางไว้ตามที่มาร์คสีไว้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</si>
  <si>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</si>
  <si>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</si>
  <si>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</si>
  <si>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</si>
  <si>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</si>
  <si>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</si>
  <si>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</si>
  <si>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</si>
  <si>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</si>
  <si>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</si>
  <si>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</si>
  <si>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 xml:space="preserve">  ประมาณการปี 2562 ทั้งปีจากส่วนกลาง 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</si>
  <si>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</si>
  <si>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</si>
  <si>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</si>
  <si>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</si>
  <si>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</si>
  <si>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</si>
  <si>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</si>
  <si>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WORKSHEET PLANFIN62 _1st</t>
  </si>
  <si>
    <t xml:space="preserve">    บรรทัดแรก ชื่อ WORKSHEET PLANFIN62_1st  ให้ลบออก</t>
  </si>
  <si>
    <t>คอลั่ม F - I  link มาจาก HGR2560</t>
  </si>
  <si>
    <t>Planfin2562</t>
  </si>
  <si>
    <t>HGR2560</t>
  </si>
  <si>
    <r>
      <t xml:space="preserve">คอลั่ม E  ใส่ข้อมูลบริการ  OPD=visit /  IPD=AdjRw  แยกตามสิทธิ   </t>
    </r>
    <r>
      <rPr>
        <sz val="16"/>
        <color rgb="FFFF0000"/>
        <rFont val="TH SarabunPSK"/>
        <family val="2"/>
      </rPr>
      <t xml:space="preserve"> ****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ต้องใส่ข้อมูลด้วยที่หน้าเว็บด้วย</t>
    </r>
  </si>
  <si>
    <t>คอลั่ม C   ให้นำข้อมูลในเว็บไซด์  planfin.cfo.in.th  ข้อมูลกองเศรษฐกิจฯ (โดยใช้ข้อมูลงบการเงิน ณ 30 มิถุนายน 2561 หาร 9 เดือน คูณ 12 เดือน)  มาใส่เพื่อดูผลเปรียบเทียบ</t>
  </si>
  <si>
    <t>จัดซื้อ จัดหาด้วยเงินบริจาค ของ รพ. ปี 2562</t>
  </si>
  <si>
    <t xml:space="preserve">จัดซื้อ จัดหาด้วยเงินบริจาค </t>
  </si>
  <si>
    <t>Update  28/9/2561</t>
  </si>
  <si>
    <t>รายได้ค่ารักษาเบิกจ่ายตรง-หน่วยงาน-OP</t>
  </si>
  <si>
    <t>รายได้ค่ารักษาเบิกจ่ายตรง-หน่วยงานอื่น- IP</t>
  </si>
  <si>
    <t>ส่วนต่างค่ารักษาที่สูงกว่าข้อตกลงในการจ่ายตาม DRG -เบิกจ่ายตรงหน่วยงานอื่น IP</t>
  </si>
  <si>
    <t>ส่วนต่างค่ารักษาที่ต่ำกว่าข้อตกลงในการจ่ายตาม DRG -เบิกจ่ายตรง</t>
  </si>
  <si>
    <t>รายได้ค่ารักษาเบิกจ่ายตรง- อปท.รูปแบบพิเศษ OP</t>
  </si>
  <si>
    <t>รายได้ค่ารักษาเบิกจ่ายตรง-  อปท.รูปแบบพิเศษ IP</t>
  </si>
  <si>
    <t>รายได้ค่ารักษาเบิกจ่ายตรง-อปท. IP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</si>
  <si>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</si>
  <si>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</si>
  <si>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รายได้ค่ารักษา UC OP - บริการเฉพาะ (CR)</t>
  </si>
  <si>
    <t>รายได้ค่ารักษา UC IP - บริการเฉพาะ (CR)</t>
  </si>
  <si>
    <r>
      <t>ส่วนต่างค่ารักษาที่</t>
    </r>
    <r>
      <rPr>
        <u/>
        <sz val="16"/>
        <color rgb="FF000000"/>
        <rFont val="TH SarabunPSK"/>
        <family val="2"/>
      </rPr>
      <t>ต่ำ</t>
    </r>
    <r>
      <rPr>
        <sz val="16"/>
        <color indexed="8"/>
        <rFont val="TH SarabunPSK"/>
        <family val="2"/>
      </rPr>
      <t>กว่าข้อตกลงในการจ่ายตามหลักเกณฑ์ฯเงินประกันสุขภาพ /แรงงานต่างด้าว - OP</t>
    </r>
  </si>
  <si>
    <t>เงินสมทบกองทุนประกันสังคมส่วนของนายจ้าง (เงินงบประมาณ)</t>
  </si>
  <si>
    <t>เงินสมทบกองทุนประกันสังคมส่วนของนายจ้าง (เงินนอกงบประมาณ)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</si>
  <si>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งินงบประมาณ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</si>
  <si>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</si>
  <si>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</si>
  <si>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</si>
  <si>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t>5101020114.122</t>
  </si>
  <si>
    <t>5101020114.123</t>
  </si>
  <si>
    <t>5101020114.124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</si>
  <si>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งินนอกประมาณ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</si>
  <si>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</si>
  <si>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5101020114.125</t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</si>
  <si>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เงินนอกประมาณ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</si>
  <si>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</si>
  <si>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5102010199.102</t>
  </si>
  <si>
    <t>5102030199.102</t>
  </si>
  <si>
    <t>5103010102.102</t>
  </si>
  <si>
    <t>ค่าใช้จ่ายด้านการฝึกอบรม-ในประเทศ (เงินนอกงบประมาณ)</t>
  </si>
  <si>
    <t>ค่าใช้จ่ายด้านการฝึกอบรม-บุคคลภายนอก  (เงินงบประมาณ)</t>
  </si>
  <si>
    <t>ค่าใช้จ่ายด้านการฝึกอบรม-ในประเทศ   (เงินงบประมาณ)</t>
  </si>
  <si>
    <t>ค่าใช้จ่ายด้านการฝึกอบรม-บุคคลภายนอก  (เงินนอกงบประมาณ)</t>
  </si>
  <si>
    <t>5103010103.102</t>
  </si>
  <si>
    <t>5103010199.102</t>
  </si>
  <si>
    <t>ค่าเบี้ยเลี้ยง-ในประเทศ (เงินงบประมาณ)</t>
  </si>
  <si>
    <t>ค่าเบี้ยเลี้ยง-ในประเทศ  (เงินนอกงบประมาณ)</t>
  </si>
  <si>
    <t>ค่าที่พัก-ในประเทศ   (เงินงบประมาณ)</t>
  </si>
  <si>
    <t>ค่าที่พัก-ในประเทศ  (เงินนอกงบประมาณ)</t>
  </si>
  <si>
    <t>ค่าใช้จ่ายเดินทางอื่น -ในประเทศ   (เงินงบประมาณ)</t>
  </si>
  <si>
    <t>ค่าใช้จ่ายเดินทางอื่น -ในประเทศ  (เงินนอกงบประมาณ)</t>
  </si>
  <si>
    <t>ค่าใช้จ่ายตามโครงการ (UC) (PP)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</si>
  <si>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</si>
  <si>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</si>
  <si>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</si>
  <si>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ค่าตอบแทนการปฎิบัติงานชันสูตรพลิกศพ  (เงินงบประมาณ)</t>
  </si>
  <si>
    <t>5104040199.111</t>
  </si>
  <si>
    <t>ค่าตอบแทนการปฎิบัติงานชันสูตรพลิกศพ  (เงินนอกงบประมาณ)</t>
  </si>
  <si>
    <t>ค่าสวัสดิการสังคมอื่น</t>
  </si>
  <si>
    <t>4301020104.108</t>
  </si>
  <si>
    <t>4301020104.109</t>
  </si>
  <si>
    <t>4301020104.110</t>
  </si>
  <si>
    <t>4301020104.111</t>
  </si>
  <si>
    <t>4301020106.519</t>
  </si>
  <si>
    <t>5101020106.101</t>
  </si>
  <si>
    <t>5101020106.102</t>
  </si>
  <si>
    <t>หนี้สูญ-ลูกหนี้ค่ารักษา UC -OP นอก CUP (ในจังหวัด)</t>
  </si>
  <si>
    <t>5112010103.101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</si>
  <si>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</si>
  <si>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ค่าตอบแทนตามผลการปฏิบัติงาน (บริการ) -เงินงบประมาณ</t>
  </si>
  <si>
    <t>ค่าตอบแทนตามผลการปฏิบัติงาน (สนับสนุน)  -เงินงบประมาณ</t>
  </si>
  <si>
    <t>ค่าตอบแทนการปฏิบัติงานในลักษณะค่าเบี้ยเลี้ยงเหมาจ่าย (บริการ) -เงินงบประมาณ</t>
  </si>
  <si>
    <t>ค่าตอบแทนการปฏิบัติงานในลักษณะค่าเบี้ยเลี้ยงเหมาจ่าย (สนับสนุน)  -เงินงบประมาณ</t>
  </si>
  <si>
    <t>ค่าตอบแทนตามผลการปฏิบัติงาน (บริการ) -เงินนอกประมาณ</t>
  </si>
  <si>
    <t>ค่าตอบแทนตามผลการปฏิบัติงาน (สนับสนุน)  -เงินนอกประมาณ</t>
  </si>
  <si>
    <t>ค่าตอบแทนการปฏิบัติงานในลักษณะค่าเบี้ยเลี้ยงเหมาจ่าย (บริการ) -เงินนอกประมาณ</t>
  </si>
  <si>
    <t>ค่าตอบแทนการปฏิบัติงานในลักษณะค่าเบี้ยเลี้ยงเหมาจ่าย (สนับสนุน)  -เงินนอกประมาณ</t>
  </si>
  <si>
    <t>รหัสPLANFIN62</t>
  </si>
  <si>
    <t>[8] สินค้าคงคลัง (ยา เวชภัณฑ์ฯ วัสดุวิทย์ฯ) ณ 30 ก.ย. 2561</t>
  </si>
  <si>
    <t>[9] แผนจัดซื้อปี 2562 นำไปกรอกใน planfin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</si>
  <si>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</si>
  <si>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</si>
  <si>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</si>
  <si>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</si>
  <si>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[3] มูลค่าจัดซื้อปี 2561</t>
  </si>
  <si>
    <t>[2] มูลค่าจัดซื้อปี 2560</t>
  </si>
  <si>
    <t>[1] มูลค่าจัดซื้อปี 2559</t>
  </si>
  <si>
    <t>[6] แผนจัดซื้อปี 2562 นำไปกรอกใน planfin2562</t>
  </si>
  <si>
    <t>[5] วัสดุคงคลัง ณ 30 ก.ย. 2561</t>
  </si>
  <si>
    <t>[4] มูลค่าการใช้ใน รพ. ปี 2561</t>
  </si>
  <si>
    <t>[1] หนี้สินค้างชำระ ณ 30 ก.ย.2561</t>
  </si>
  <si>
    <t>[2] ประมาณการหนี้สินปี 2562</t>
  </si>
  <si>
    <t>(5) = [3] -[4] ภาระหนี้สินคงเหลือสิ้นปี 2562</t>
  </si>
  <si>
    <t>ปี 2565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</si>
  <si>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</si>
  <si>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</si>
  <si>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</si>
  <si>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</si>
  <si>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</si>
  <si>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</si>
  <si>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5101020116.101</t>
  </si>
  <si>
    <t xml:space="preserve">เงินสมทบกองทุนเงินทดแทน-เงินงบประมาณ </t>
  </si>
  <si>
    <t>5101020116.102</t>
  </si>
  <si>
    <t xml:space="preserve">เงินสมทบกองทุนเงินทดแทน-เงินนอกงบประมาณ </t>
  </si>
  <si>
    <t>4301020106.502</t>
  </si>
  <si>
    <t>รายได้กองทุนแรงงานต่างด้าว</t>
  </si>
  <si>
    <t>P121</t>
  </si>
  <si>
    <t>P251</t>
  </si>
  <si>
    <t>ค่าใช้จ่ายอื่น (ระบบบัญชีบันทึกอัตโนมัติ)</t>
  </si>
  <si>
    <t>(รายได้ไม่รวมรายได้งบลงทุน) -(ค่าใช้จ่ายไม่รวมค่าเสื่อมราคาและค่าตัดจำหน่าย)</t>
  </si>
  <si>
    <t>การเปรียบเทียบ HGR ปี 2561</t>
  </si>
  <si>
    <t>CodeL1</t>
  </si>
  <si>
    <t>Account1</t>
  </si>
  <si>
    <t>ทุนสำรองสุทธิ (Networking Capital) ณ 30 กันยายน 2561</t>
  </si>
  <si>
    <t>เงินบำรุงคงเหลือ (หักหนี้สินและภาระผูกพัน) ณ 30 กันยายน.2561</t>
  </si>
  <si>
    <t>ทุนสำรองสุทธิ (Net working Capital)  ณ 30 กันยายน 2561</t>
  </si>
  <si>
    <t>เงินบำรุงคงเหลือ  ณ 30 กันยายน  2561</t>
  </si>
  <si>
    <t>หนี้สินและภาระผูกพัน   ณ 30 กันยายน 2561</t>
  </si>
  <si>
    <t>รายได้อื่น (ระบบบัญชีบันทึกอัตโนมัติ)</t>
  </si>
  <si>
    <t>* หมายเหตุ นโยบายการ Stock ยา ไม่ควรเกิน 2  เดือน</t>
  </si>
  <si>
    <t xml:space="preserve"> ตย. การคำนวณหา Inventory Turnover</t>
  </si>
  <si>
    <t xml:space="preserve">  ประมาณการใช้ไป ปี2562</t>
  </si>
  <si>
    <t xml:space="preserve">  ประมาณการคงเหลือสิ้นปี 2562</t>
  </si>
  <si>
    <t xml:space="preserve">  การ Turnover </t>
  </si>
  <si>
    <t xml:space="preserve">   อยู่ในคลัง</t>
  </si>
  <si>
    <t>สูตรการคำนวณ</t>
  </si>
  <si>
    <t>วันคงคลัง</t>
  </si>
  <si>
    <t>ใช้ต่อวัน</t>
  </si>
  <si>
    <t>ครั้ง</t>
  </si>
  <si>
    <t xml:space="preserve">  ยาใช้ไป</t>
  </si>
  <si>
    <t>วัน</t>
  </si>
  <si>
    <t xml:space="preserve">  ยาคงเหลือสิ้นปี</t>
  </si>
  <si>
    <t>เฉลี่ยต่อเดือน</t>
  </si>
  <si>
    <t>(F)แผนจัดซื้อปี 2562 นำไปกรอกใน planfin62</t>
  </si>
  <si>
    <t>ภาพรวม รพ. แผนจัดซื้อวัสดุอื่น ปี2562</t>
  </si>
  <si>
    <t>ประมาณการการใช้ ปี2562</t>
  </si>
  <si>
    <t>สินค้าคงเหลือ</t>
  </si>
  <si>
    <t>กลุ่มการพยาบาล</t>
  </si>
  <si>
    <t>กลุ่มงานเภสัชกรรม</t>
  </si>
  <si>
    <t>กลุ่มงานทันตกรรม</t>
  </si>
  <si>
    <t>กลุ่มงานเวชกรรมฟื้นฟู</t>
  </si>
  <si>
    <t>กลุ่มงานปฐมภูมิ</t>
  </si>
  <si>
    <t>กลุ่มงานเทคนิคบริการ</t>
  </si>
  <si>
    <t>กลุ่มงานบริหาร</t>
  </si>
  <si>
    <t>กลุ่มงานเทคโนโลยีสารสนเทศ</t>
  </si>
  <si>
    <t xml:space="preserve">วัสดุสำนักงาน </t>
  </si>
  <si>
    <t>วัสดุสำนักงาน (เทคโนโลยีสารสนเทศ)</t>
  </si>
  <si>
    <t>วัสดุสำนักงาน (เภสัชกรรม)</t>
  </si>
  <si>
    <t>วัสดุสำนักงาน (กายภาพ)</t>
  </si>
  <si>
    <t>วัสดุเชื้อเพลิงและหล่อลื่น(ยานพาหนะ+เครื่องปั่นไฟ)</t>
  </si>
  <si>
    <t>วัสดุเชื้อเพลิงและหล่อลื่น(แก๊สหุงต้ม)</t>
  </si>
  <si>
    <t>ประมาณการใช้ทั้งปี 62</t>
  </si>
  <si>
    <t>(E) วัสดุคงคลัง ณ 31 ก.ค. 2560</t>
  </si>
  <si>
    <t>แผน CSSD</t>
  </si>
  <si>
    <t>(D)มูลค่าการใช้ใน รพ.(ตค.61-มีค.62 ปี 62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</si>
  <si>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</si>
  <si>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</si>
  <si>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62</t>
  </si>
  <si>
    <t>ค่าบริหารจัดการ</t>
  </si>
  <si>
    <t>ค่าตอบแทนนอกเวลา</t>
  </si>
  <si>
    <t>เงินเดือน พกส.</t>
  </si>
  <si>
    <t>สมทบประกันสังคม5%</t>
  </si>
  <si>
    <t>กองทุนสำรองเลี้ยงชีพ พกส.2%</t>
  </si>
  <si>
    <t>เหมาจ่าย ฉบับ11 ข้าราชการ</t>
  </si>
  <si>
    <t>ค่าสอบเทียบเครื่องมือแพทย์ (การพยาบาล)</t>
  </si>
  <si>
    <t>ค่าสอบเทียบเครื่องมือแพทย์ (LAB)</t>
  </si>
  <si>
    <t xml:space="preserve"> PAP Smear </t>
  </si>
  <si>
    <t>แผนงานโครงการ</t>
  </si>
  <si>
    <t>ยา+ยาโรคเรื้อรัง+วัคซีน</t>
  </si>
  <si>
    <t>วัสดุเภสัชกรรม</t>
  </si>
  <si>
    <t>ยาสมุนไพร</t>
  </si>
  <si>
    <t>วัสดุการแพทย์(การพยาบาล)</t>
  </si>
  <si>
    <t>ออกซิเจน</t>
  </si>
  <si>
    <t>วัสดุการแพทย์(LAB)</t>
  </si>
  <si>
    <t>วัสดุทันตกรรม</t>
  </si>
  <si>
    <t>สอ.หนองติม</t>
  </si>
  <si>
    <t>M</t>
  </si>
  <si>
    <t>สอ.ทัพไทย</t>
  </si>
  <si>
    <t>S</t>
  </si>
  <si>
    <t>ศสช.นวมินทราชินี</t>
  </si>
  <si>
    <t>ศสช.โคคลาน</t>
  </si>
  <si>
    <t>สอ.หนองผักแว่น</t>
  </si>
  <si>
    <t>ศสช.กุดเวียน</t>
  </si>
  <si>
    <t>สอ.แสง์</t>
  </si>
  <si>
    <t>สอ.มะกอก</t>
  </si>
  <si>
    <t>สอ.โคกไพล</t>
  </si>
  <si>
    <t>สอ.รัตนะ</t>
  </si>
  <si>
    <t>สอ.ทับทิมสยาม 03</t>
  </si>
  <si>
    <t>ศสช.นางาม</t>
  </si>
  <si>
    <t>ศสช.โคกเพร็ก</t>
  </si>
  <si>
    <t>สอ.โคกแจง</t>
  </si>
  <si>
    <t>สอ.ทัพเซียม</t>
  </si>
  <si>
    <t>สอบเทียบเครื่องมือแพทย์</t>
  </si>
  <si>
    <t>ยา/วัสดุ ,pap</t>
  </si>
  <si>
    <t>รวมยอดสนับสนุน</t>
  </si>
  <si>
    <t>สนับสนุนเงินกองทุน OP</t>
  </si>
  <si>
    <t>สนับสนุนเงินกองทุน PP</t>
  </si>
  <si>
    <t>6.1 รายละเอียดการจัดซื้อ จัดหาด้วยเงินบำรุงและเงินนอกงบประมาณอื่น ๆ ของ รพ.</t>
  </si>
  <si>
    <t>กลุ่มงานบริหารทั่วไป</t>
  </si>
  <si>
    <t>กลุ่มงานสิทธิประโยชน์ฯ</t>
  </si>
  <si>
    <t>กลุ่มงานเทคโนโลยีฯ</t>
  </si>
  <si>
    <t>ภาพรวมทั้งโรงพยาบาล</t>
  </si>
  <si>
    <t>(B)ครุภัณฑ์ (จำนวนรายการ)</t>
  </si>
  <si>
    <t>(C) มูลค่ารวม</t>
  </si>
  <si>
    <t>ครุภัณฑ์วิทยาศาสตร์การแพทย์</t>
  </si>
  <si>
    <t>ครุภัณฑ์สำนักงาน</t>
  </si>
  <si>
    <t>ครุภัณฑ์งานบ้านงานครัว</t>
  </si>
  <si>
    <t>ครุภํณฑ์เกษตร</t>
  </si>
  <si>
    <t>ครุภัณฑ์คอมพิวเตอร์</t>
  </si>
  <si>
    <t>ครุภัณฑ์ไฟฟ้าและวิทยุ</t>
  </si>
  <si>
    <t>ครุภัณฑ์โฆษณาและเผยแพร่</t>
  </si>
  <si>
    <t>ครุภัณฑ์ก่อสร้าง</t>
  </si>
  <si>
    <t>อาคารและสิ่งปลูกสร้าง</t>
  </si>
  <si>
    <t>ครุภัณฑ์ต่ำกว่าเกณฑ์</t>
  </si>
  <si>
    <t>ครุภัณฑ์อื่น</t>
  </si>
  <si>
    <t>[7]=[3-4-5-6]</t>
  </si>
  <si>
    <t>ตย. การคำนวณหา อัตราหมุนเวียนของลูกหนี้ (Account Receivable Turnover)</t>
  </si>
  <si>
    <t>ลน.UC</t>
  </si>
  <si>
    <t xml:space="preserve">  ยอดลูกหนี้ที่เกิดขึ้นทั้งปี</t>
  </si>
  <si>
    <t xml:space="preserve">  ลูกหนี้คงเหลือสิ้นปี</t>
  </si>
  <si>
    <t xml:space="preserve">  Receivable Turnover</t>
  </si>
  <si>
    <t>4.25 ครั้ง</t>
  </si>
  <si>
    <t xml:space="preserve">  เวลาเฉลี่ยในการเรียกเก็บ (collection period)</t>
  </si>
  <si>
    <t>85.88 วัน</t>
  </si>
  <si>
    <t>รพร.ยังไม่ดำเนินการจ่าย</t>
  </si>
  <si>
    <t xml:space="preserve"> ลูกหนี้-สุทธิค้างชำระ ณ 30 ก.ย.2561</t>
  </si>
  <si>
    <t>ประมาณการลูกหนี้ปี 2562 เฉลี่ยต่อเดือน</t>
  </si>
  <si>
    <t>ประมาณการลูกหนี้ปี 2562 เรียกเก็บ</t>
  </si>
  <si>
    <t>[3] = [1] +[2]  รวมภาระหนี้สินปี 2562</t>
  </si>
  <si>
    <t>[4] แผนการจ่ายชำระปี 2562 (นำไปกรอกใน Planfin2562</t>
  </si>
  <si>
    <t>ปี 2566</t>
  </si>
  <si>
    <t>ตย. การคำนวณหา อัตราหมุนเวียนของเจ้าหนี้ (Payable Turnover)</t>
  </si>
  <si>
    <t>จน.ยา</t>
  </si>
  <si>
    <t>จน. วชภ</t>
  </si>
  <si>
    <t>จน. LAB</t>
  </si>
  <si>
    <t>จน.ตามจ่าย</t>
  </si>
  <si>
    <t>เจ้าหนี้ค่าครุภัณฑ์</t>
  </si>
  <si>
    <t xml:space="preserve">  ยอดซื้อเชื่อทั้งปี 2561</t>
  </si>
  <si>
    <t xml:space="preserve">  เจ้าหนี้คงเหลือสิ้นปี 2561</t>
  </si>
  <si>
    <t xml:space="preserve">  การ Turnover</t>
  </si>
  <si>
    <t xml:space="preserve"> ครั้ง</t>
  </si>
  <si>
    <t xml:space="preserve"> ระยะเวลาจ่ายคืน</t>
  </si>
  <si>
    <t>ต่อเดือน</t>
  </si>
  <si>
    <t>จ่าย10เดือน</t>
  </si>
  <si>
    <t>11เดือน</t>
  </si>
  <si>
    <t>ประมาณการหนี้สินปี62</t>
  </si>
  <si>
    <t>เอกสารแนบ</t>
  </si>
  <si>
    <t xml:space="preserve">   - วัสดุเภสัชกรรม</t>
  </si>
  <si>
    <t xml:space="preserve">   - วัสดุการแพทย์(ออกซิเจน)</t>
  </si>
  <si>
    <t xml:space="preserve">   - วัสดุการแพทย์(LAB)</t>
  </si>
  <si>
    <t xml:space="preserve">   - วัสดุการแพทย์(ปฐมภูมิ)</t>
  </si>
  <si>
    <t xml:space="preserve">   - วัสดุการแพทย์(กายอุปกรณ์)</t>
  </si>
  <si>
    <t xml:space="preserve">   - วัสดุทันตกรรม</t>
  </si>
  <si>
    <t>(C) มูลค่าจัดซื้อ (ตค.60-มิย.61) ปี 2561</t>
  </si>
  <si>
    <t>(C) เฉลี่ยมูลค่าจัดซื้อ ต่อเดือน  ปี 2561</t>
  </si>
  <si>
    <t>(C) ประมาณการมูลค่าจัดซื้อ (ตค.60-มิย.61) ปี 2561</t>
  </si>
  <si>
    <t>(D)มูลค่าการใช้ใน รพ.(ตค.60-มิย.61) ปี 2561</t>
  </si>
  <si>
    <t>(D)เฉลี่ยมูลค่าการใช้ใน รพ. ต่อเดือน ปี 2561</t>
  </si>
  <si>
    <t>(D)ประมาณการมูลค่าการใช้ใน รพ. (ตค.60-มิย.61) ปี 2561</t>
  </si>
  <si>
    <t>(E)มูลค่าการสนับสนุน รพ.สต.(ตค.60-มิย.61) ปี 2561</t>
  </si>
  <si>
    <t>(E)เฉลี่ยมูลค่าการสนับสนุน รพ.สต. ต่อเดือน   ปี 2561</t>
  </si>
  <si>
    <t>(E)ประมาณการมูลค่าการสนับสนุน รพ.สต. (ตค.60-มิย.61) ปี 2561</t>
  </si>
  <si>
    <t>(H) สินค้าคงคลัง (ยา เวชภัณฑ์ฯ วัสดุวิทย์ฯ) ณ 30 มิย.61</t>
  </si>
  <si>
    <t>(I)แผนจัดซื้อปี 2562 นำไปกรอกใน planfin</t>
  </si>
  <si>
    <t>รวมยอดจัดซื้อ ปี 2562</t>
  </si>
  <si>
    <t>ยอดจัดซื้อ ของโรงพยาบาล ปี2562</t>
  </si>
  <si>
    <t>ยอดสนับสนุน รพ.สต ปี2562</t>
  </si>
  <si>
    <t>รวมยา</t>
  </si>
  <si>
    <t>ยา-สมุนไพร</t>
  </si>
  <si>
    <t>ยา (สนับสนุน)</t>
  </si>
  <si>
    <t>ยา-สมุนไพร(สนับสนุน)</t>
  </si>
  <si>
    <t>รวมเวชภัณฑ์มิใช่ยาและวัสดุการแพทย์</t>
  </si>
  <si>
    <t xml:space="preserve">   - วัสดุการแพทย์(การพยาบาล)+เวชภัณฑ์</t>
  </si>
  <si>
    <t xml:space="preserve">   - วัสดุการแพทย์(เภสัชกรรม)</t>
  </si>
  <si>
    <t>รวมวัสดุวิทยาศาสตร์การแพทย์</t>
  </si>
  <si>
    <t>EBITDA - รายได้หักค่าใช้จ่าย(ไม่รวมงบลงทุน)</t>
  </si>
  <si>
    <t>PF_62000</t>
  </si>
  <si>
    <t>จัดซื้อ/จัดหาด้วยเงินบำรุงของ รพ. ปี 2562</t>
  </si>
  <si>
    <t>เทียบค่ากลาง: (0=น้อยกว่าหรือเท่ากับMean, 1=มากกว่าMean, 2=มากกว่าMean+1SD, 3=มากกว่าMean+2SD, 4=มากกว่าMean+3SD )</t>
  </si>
  <si>
    <t>บริหาร</t>
  </si>
  <si>
    <t>ปฐมภูมิ</t>
  </si>
  <si>
    <t>สิทธิประโยชน์</t>
  </si>
  <si>
    <t>เวชกรรมฟื้นฟู</t>
  </si>
  <si>
    <t>ทันตกรรม</t>
  </si>
  <si>
    <t>ตารางนี้ตกลงในที่ประชุมว่าจะจ่ายหนี้กี่เดือนจะให้คงเหลือเป็นปี63กี่เดือน</t>
  </si>
  <si>
    <t>แผนเกินดุล</t>
  </si>
  <si>
    <t>เกิน</t>
  </si>
  <si>
    <t>กลุ่มสิทธิ์ประโยชน์</t>
  </si>
  <si>
    <t>ข้อมูล ตค.61-มีค.62</t>
  </si>
  <si>
    <t>มูลค่าการจัดซื้อต้นปี 2562</t>
  </si>
  <si>
    <t>ต้นปี2562</t>
  </si>
  <si>
    <t>ปลายปี</t>
  </si>
  <si>
    <t>แผนต้นปี2562</t>
  </si>
  <si>
    <t>ประมาณการปีต้น 2562</t>
  </si>
  <si>
    <t>จำนวนเงินต้นปี2562</t>
  </si>
  <si>
    <t>รายได้ไม่รวมงบลงทุน</t>
  </si>
  <si>
    <t>กลางปี</t>
  </si>
  <si>
    <t>ต้นปี</t>
  </si>
  <si>
    <t>ต.ค61-มีค.62</t>
  </si>
  <si>
    <t>ประมาณการทั้งปีใหม่</t>
  </si>
  <si>
    <t xml:space="preserve"> </t>
  </si>
  <si>
    <t>ค่าใช้จ่ายไม่รวมงบค่าเสื่อม</t>
  </si>
  <si>
    <t xml:space="preserve">ประมาณการครึ่งปี 2562 </t>
  </si>
  <si>
    <t>จำนวนเงิน 6 เดือน เกินแผนต้นปีที่ตั้งไว้</t>
  </si>
  <si>
    <t>จำนวนเงินประมาณการใหม่มียอดสูงผิดปกติ</t>
  </si>
  <si>
    <t>วงเงินที่ลงทุนได้20%</t>
  </si>
  <si>
    <t>ลงทุนด้วยเงินบำรุง</t>
  </si>
  <si>
    <t>โรงพยาบาลตาพระยา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</si>
</sst>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.00_ ;[Red]\-#,##0.00\ "/>
    <numFmt numFmtId="188" formatCode="#,##0_ ;[Red]\-#,##0\ "/>
    <numFmt numFmtId="189" formatCode="0.000"/>
    <numFmt numFmtId="190" formatCode="#,##0.00_ ;\-#,##0.00\ "/>
    <numFmt numFmtId="191" formatCode="#,##0.000_ ;[Red]\-#,##0.000\ "/>
  </numFmts>
  <fonts count="8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u/>
      <sz val="16"/>
      <color rgb="FF000000"/>
      <name val="TH SarabunPSK"/>
      <family val="2"/>
    </font>
    <font>
      <b/>
      <sz val="10"/>
      <color rgb="FF0070C0"/>
      <name val="Tahoma"/>
      <family val="2"/>
    </font>
    <font>
      <sz val="10"/>
      <color rgb="FF0070C0"/>
      <name val="Tahoma"/>
      <family val="2"/>
    </font>
    <font>
      <sz val="10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0"/>
      <name val="Arial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  <scheme val="minor"/>
    </font>
    <font>
      <b/>
      <sz val="11"/>
      <name val="Tahoma"/>
      <family val="2"/>
      <scheme val="minor"/>
    </font>
    <font>
      <b/>
      <sz val="14"/>
      <color theme="1"/>
      <name val="TH SarabunIT๙"/>
      <family val="2"/>
    </font>
    <font>
      <sz val="14"/>
      <color indexed="8"/>
      <name val="TH SarabunIT๙"/>
      <family val="2"/>
    </font>
    <font>
      <sz val="14"/>
      <name val="TH SarabunIT๙"/>
      <family val="2"/>
    </font>
    <font>
      <sz val="12"/>
      <color theme="1"/>
      <name val="Tahoma"/>
      <family val="2"/>
      <charset val="222"/>
      <scheme val="minor"/>
    </font>
    <font>
      <b/>
      <sz val="18"/>
      <color rgb="FFFF0000"/>
      <name val="TH SarabunPSK"/>
      <family val="2"/>
    </font>
    <font>
      <b/>
      <sz val="9"/>
      <color theme="1"/>
      <name val="TH SarabunPSK"/>
      <family val="2"/>
    </font>
    <font>
      <b/>
      <u val="double"/>
      <sz val="9"/>
      <color theme="1"/>
      <name val="TH SarabunPSK"/>
      <family val="2"/>
    </font>
    <font>
      <sz val="11"/>
      <name val="TH SarabunPSK"/>
      <family val="2"/>
    </font>
  </fonts>
  <fills count="6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3" fontId="6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2" applyNumberFormat="0" applyFill="0" applyAlignment="0" applyProtection="0"/>
    <xf numFmtId="0" fontId="63" fillId="0" borderId="53" applyNumberFormat="0" applyFill="0" applyAlignment="0" applyProtection="0"/>
    <xf numFmtId="0" fontId="64" fillId="0" borderId="54" applyNumberFormat="0" applyFill="0" applyAlignment="0" applyProtection="0"/>
    <xf numFmtId="0" fontId="64" fillId="0" borderId="0" applyNumberFormat="0" applyFill="0" applyBorder="0" applyAlignment="0" applyProtection="0"/>
    <xf numFmtId="0" fontId="65" fillId="32" borderId="0" applyNumberFormat="0" applyBorder="0" applyAlignment="0" applyProtection="0"/>
    <xf numFmtId="0" fontId="66" fillId="33" borderId="0" applyNumberFormat="0" applyBorder="0" applyAlignment="0" applyProtection="0"/>
    <xf numFmtId="0" fontId="67" fillId="34" borderId="0" applyNumberFormat="0" applyBorder="0" applyAlignment="0" applyProtection="0"/>
    <xf numFmtId="0" fontId="68" fillId="35" borderId="55" applyNumberFormat="0" applyAlignment="0" applyProtection="0"/>
    <xf numFmtId="0" fontId="69" fillId="36" borderId="56" applyNumberFormat="0" applyAlignment="0" applyProtection="0"/>
    <xf numFmtId="0" fontId="70" fillId="36" borderId="55" applyNumberFormat="0" applyAlignment="0" applyProtection="0"/>
    <xf numFmtId="0" fontId="71" fillId="0" borderId="57" applyNumberFormat="0" applyFill="0" applyAlignment="0" applyProtection="0"/>
    <xf numFmtId="0" fontId="72" fillId="37" borderId="58" applyNumberFormat="0" applyAlignment="0" applyProtection="0"/>
    <xf numFmtId="0" fontId="73" fillId="0" borderId="0" applyNumberFormat="0" applyFill="0" applyBorder="0" applyAlignment="0" applyProtection="0"/>
    <xf numFmtId="0" fontId="6" fillId="38" borderId="59" applyNumberFormat="0" applyFont="0" applyAlignment="0" applyProtection="0"/>
    <xf numFmtId="0" fontId="74" fillId="0" borderId="0" applyNumberFormat="0" applyFill="0" applyBorder="0" applyAlignment="0" applyProtection="0"/>
    <xf numFmtId="0" fontId="58" fillId="0" borderId="60" applyNumberFormat="0" applyFill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2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6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50" borderId="0" applyNumberFormat="0" applyBorder="0" applyAlignment="0" applyProtection="0"/>
    <xf numFmtId="0" fontId="75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75" fillId="54" borderId="0" applyNumberFormat="0" applyBorder="0" applyAlignment="0" applyProtection="0"/>
    <xf numFmtId="0" fontId="75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75" fillId="62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</cellStyleXfs>
  <cellXfs count="7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3" fontId="1" fillId="0" borderId="0" xfId="3" applyFont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 wrapText="1"/>
    </xf>
    <xf numFmtId="43" fontId="3" fillId="0" borderId="2" xfId="3" applyFont="1" applyBorder="1"/>
    <xf numFmtId="0" fontId="3" fillId="6" borderId="2" xfId="0" applyFont="1" applyFill="1" applyBorder="1"/>
    <xf numFmtId="0" fontId="3" fillId="0" borderId="0" xfId="0" applyFont="1"/>
    <xf numFmtId="43" fontId="3" fillId="0" borderId="0" xfId="3" applyFont="1"/>
    <xf numFmtId="0" fontId="3" fillId="0" borderId="2" xfId="0" applyFont="1" applyBorder="1"/>
    <xf numFmtId="43" fontId="13" fillId="0" borderId="0" xfId="3" applyFont="1"/>
    <xf numFmtId="0" fontId="18" fillId="0" borderId="2" xfId="2" applyFont="1" applyBorder="1" applyAlignment="1">
      <alignment horizontal="center"/>
    </xf>
    <xf numFmtId="187" fontId="15" fillId="0" borderId="2" xfId="3" applyNumberFormat="1" applyFont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15" fillId="0" borderId="2" xfId="0" applyFont="1" applyBorder="1"/>
    <xf numFmtId="187" fontId="3" fillId="0" borderId="0" xfId="0" applyNumberFormat="1" applyFont="1"/>
    <xf numFmtId="187" fontId="1" fillId="0" borderId="0" xfId="0" applyNumberFormat="1" applyFont="1"/>
    <xf numFmtId="0" fontId="16" fillId="0" borderId="18" xfId="0" applyFont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/>
    <xf numFmtId="0" fontId="1" fillId="12" borderId="20" xfId="0" applyFont="1" applyFill="1" applyBorder="1"/>
    <xf numFmtId="0" fontId="1" fillId="12" borderId="0" xfId="0" applyFont="1" applyFill="1"/>
    <xf numFmtId="0" fontId="1" fillId="0" borderId="20" xfId="0" applyFont="1" applyBorder="1" applyAlignment="1">
      <alignment horizontal="left"/>
    </xf>
    <xf numFmtId="187" fontId="1" fillId="0" borderId="22" xfId="0" applyNumberFormat="1" applyFont="1" applyBorder="1"/>
    <xf numFmtId="187" fontId="4" fillId="0" borderId="22" xfId="0" applyNumberFormat="1" applyFont="1" applyBorder="1"/>
    <xf numFmtId="0" fontId="9" fillId="0" borderId="0" xfId="0" applyFont="1"/>
    <xf numFmtId="0" fontId="4" fillId="0" borderId="20" xfId="0" applyFont="1" applyBorder="1" applyAlignment="1">
      <alignment horizontal="left"/>
    </xf>
    <xf numFmtId="0" fontId="7" fillId="0" borderId="0" xfId="0" applyFont="1"/>
    <xf numFmtId="0" fontId="1" fillId="0" borderId="22" xfId="0" applyFont="1" applyBorder="1"/>
    <xf numFmtId="187" fontId="2" fillId="0" borderId="22" xfId="0" applyNumberFormat="1" applyFont="1" applyBorder="1"/>
    <xf numFmtId="0" fontId="1" fillId="0" borderId="20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Border="1"/>
    <xf numFmtId="187" fontId="4" fillId="0" borderId="21" xfId="0" applyNumberFormat="1" applyFont="1" applyBorder="1"/>
    <xf numFmtId="0" fontId="4" fillId="0" borderId="21" xfId="0" applyFont="1" applyBorder="1"/>
    <xf numFmtId="0" fontId="4" fillId="0" borderId="28" xfId="0" applyFont="1" applyBorder="1"/>
    <xf numFmtId="187" fontId="3" fillId="0" borderId="2" xfId="3" applyNumberFormat="1" applyFont="1" applyBorder="1"/>
    <xf numFmtId="0" fontId="25" fillId="0" borderId="0" xfId="0" applyFont="1"/>
    <xf numFmtId="0" fontId="0" fillId="0" borderId="2" xfId="0" applyBorder="1"/>
    <xf numFmtId="0" fontId="12" fillId="0" borderId="2" xfId="0" applyFont="1" applyBorder="1"/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43" fontId="13" fillId="0" borderId="2" xfId="3" applyFont="1" applyBorder="1"/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2" fillId="0" borderId="0" xfId="0" applyFont="1"/>
    <xf numFmtId="0" fontId="1" fillId="6" borderId="0" xfId="0" applyFont="1" applyFill="1"/>
    <xf numFmtId="0" fontId="1" fillId="6" borderId="10" xfId="0" applyFont="1" applyFill="1" applyBorder="1"/>
    <xf numFmtId="0" fontId="4" fillId="6" borderId="0" xfId="0" applyFont="1" applyFill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34" fillId="0" borderId="0" xfId="0" applyFont="1"/>
    <xf numFmtId="0" fontId="3" fillId="0" borderId="2" xfId="0" applyFont="1" applyBorder="1" applyAlignment="1">
      <alignment vertical="top" wrapText="1"/>
    </xf>
    <xf numFmtId="0" fontId="37" fillId="0" borderId="0" xfId="0" applyFont="1"/>
    <xf numFmtId="0" fontId="38" fillId="0" borderId="0" xfId="0" applyFont="1"/>
    <xf numFmtId="0" fontId="12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/>
    <xf numFmtId="0" fontId="3" fillId="16" borderId="2" xfId="0" applyFont="1" applyFill="1" applyBorder="1"/>
    <xf numFmtId="0" fontId="0" fillId="16" borderId="0" xfId="0" applyFill="1"/>
    <xf numFmtId="187" fontId="0" fillId="0" borderId="0" xfId="0" applyNumberFormat="1"/>
    <xf numFmtId="0" fontId="22" fillId="0" borderId="0" xfId="0" applyFont="1"/>
    <xf numFmtId="187" fontId="4" fillId="0" borderId="0" xfId="3" applyNumberFormat="1" applyFont="1"/>
    <xf numFmtId="0" fontId="36" fillId="0" borderId="0" xfId="0" applyFont="1"/>
    <xf numFmtId="187" fontId="3" fillId="0" borderId="0" xfId="3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left"/>
    </xf>
    <xf numFmtId="187" fontId="8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Border="1" applyAlignment="1">
      <alignment horizontal="center"/>
    </xf>
    <xf numFmtId="0" fontId="4" fillId="0" borderId="13" xfId="0" applyFont="1" applyBorder="1"/>
    <xf numFmtId="0" fontId="8" fillId="0" borderId="12" xfId="0" applyFont="1" applyBorder="1" applyAlignment="1">
      <alignment horizontal="center"/>
    </xf>
    <xf numFmtId="0" fontId="4" fillId="0" borderId="11" xfId="0" applyFont="1" applyBorder="1"/>
    <xf numFmtId="187" fontId="14" fillId="0" borderId="15" xfId="0" applyNumberFormat="1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187" fontId="21" fillId="0" borderId="9" xfId="0" applyNumberFormat="1" applyFont="1" applyBorder="1"/>
    <xf numFmtId="187" fontId="4" fillId="0" borderId="29" xfId="0" applyNumberFormat="1" applyFont="1" applyBorder="1"/>
    <xf numFmtId="187" fontId="4" fillId="21" borderId="3" xfId="0" applyNumberFormat="1" applyFont="1" applyFill="1" applyBorder="1"/>
    <xf numFmtId="187" fontId="4" fillId="21" borderId="4" xfId="0" applyNumberFormat="1" applyFont="1" applyFill="1" applyBorder="1"/>
    <xf numFmtId="187" fontId="4" fillId="21" borderId="11" xfId="0" applyNumberFormat="1" applyFont="1" applyFill="1" applyBorder="1"/>
    <xf numFmtId="187" fontId="3" fillId="21" borderId="14" xfId="3" applyNumberFormat="1" applyFont="1" applyFill="1" applyBorder="1"/>
    <xf numFmtId="187" fontId="3" fillId="21" borderId="2" xfId="3" applyNumberFormat="1" applyFont="1" applyFill="1" applyBorder="1"/>
    <xf numFmtId="0" fontId="3" fillId="21" borderId="3" xfId="0" applyFont="1" applyFill="1" applyBorder="1" applyAlignment="1">
      <alignment horizontal="center"/>
    </xf>
    <xf numFmtId="187" fontId="29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Border="1" applyAlignment="1">
      <alignment horizontal="center" vertical="center"/>
    </xf>
    <xf numFmtId="0" fontId="41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43" fontId="3" fillId="18" borderId="0" xfId="0" applyNumberFormat="1" applyFont="1" applyFill="1"/>
    <xf numFmtId="43" fontId="12" fillId="0" borderId="0" xfId="3" applyFont="1"/>
    <xf numFmtId="43" fontId="19" fillId="6" borderId="2" xfId="6" applyNumberFormat="1" applyFont="1" applyFill="1" applyBorder="1" applyAlignment="1">
      <alignment wrapText="1"/>
    </xf>
    <xf numFmtId="43" fontId="3" fillId="0" borderId="2" xfId="0" applyNumberFormat="1" applyFont="1" applyBorder="1"/>
    <xf numFmtId="0" fontId="19" fillId="4" borderId="2" xfId="6" applyFont="1" applyFill="1" applyBorder="1" applyAlignment="1">
      <alignment wrapText="1"/>
    </xf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43" fontId="4" fillId="18" borderId="2" xfId="3" applyFont="1" applyFill="1" applyBorder="1" applyAlignment="1">
      <alignment horizontal="center"/>
    </xf>
    <xf numFmtId="0" fontId="3" fillId="18" borderId="2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/>
    </xf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0" xfId="0" applyFont="1" applyBorder="1"/>
    <xf numFmtId="0" fontId="14" fillId="0" borderId="4" xfId="0" applyFont="1" applyBorder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3" fillId="0" borderId="0" xfId="0" applyFont="1" applyAlignment="1">
      <alignment horizontal="center" vertical="top" wrapText="1"/>
    </xf>
    <xf numFmtId="0" fontId="40" fillId="0" borderId="2" xfId="0" applyFont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3" fillId="0" borderId="14" xfId="3" applyNumberFormat="1" applyFont="1" applyBorder="1"/>
    <xf numFmtId="187" fontId="4" fillId="0" borderId="13" xfId="3" applyNumberFormat="1" applyFont="1" applyBorder="1"/>
    <xf numFmtId="43" fontId="3" fillId="0" borderId="2" xfId="3" applyFont="1" applyBorder="1" applyAlignment="1">
      <alignment vertical="top" wrapText="1"/>
    </xf>
    <xf numFmtId="0" fontId="36" fillId="6" borderId="0" xfId="0" applyFont="1" applyFill="1" applyAlignment="1">
      <alignment horizontal="center"/>
    </xf>
    <xf numFmtId="0" fontId="44" fillId="23" borderId="39" xfId="0" applyFont="1" applyFill="1" applyBorder="1" applyAlignment="1">
      <alignment horizontal="center" vertical="center" wrapText="1" readingOrder="1"/>
    </xf>
    <xf numFmtId="0" fontId="44" fillId="23" borderId="40" xfId="0" applyFont="1" applyFill="1" applyBorder="1" applyAlignment="1">
      <alignment horizontal="center" vertical="center" wrapText="1" readingOrder="1"/>
    </xf>
    <xf numFmtId="0" fontId="44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5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4" fillId="23" borderId="41" xfId="0" applyFont="1" applyFill="1" applyBorder="1" applyAlignment="1">
      <alignment horizontal="left" vertical="center" wrapText="1" readingOrder="1"/>
    </xf>
    <xf numFmtId="0" fontId="46" fillId="24" borderId="42" xfId="0" applyFont="1" applyFill="1" applyBorder="1" applyAlignment="1">
      <alignment horizontal="center" vertical="center" wrapText="1" readingOrder="1"/>
    </xf>
    <xf numFmtId="0" fontId="46" fillId="25" borderId="43" xfId="0" applyFont="1" applyFill="1" applyBorder="1" applyAlignment="1">
      <alignment horizontal="center" vertical="center" wrapText="1" readingOrder="1"/>
    </xf>
    <xf numFmtId="0" fontId="36" fillId="25" borderId="43" xfId="0" applyFont="1" applyFill="1" applyBorder="1" applyAlignment="1">
      <alignment horizontal="center" vertical="center" wrapText="1" readingOrder="1"/>
    </xf>
    <xf numFmtId="0" fontId="46" fillId="24" borderId="43" xfId="0" applyFont="1" applyFill="1" applyBorder="1" applyAlignment="1">
      <alignment horizontal="center" vertical="center" wrapText="1" readingOrder="1"/>
    </xf>
    <xf numFmtId="0" fontId="36" fillId="24" borderId="43" xfId="0" applyFont="1" applyFill="1" applyBorder="1" applyAlignment="1">
      <alignment horizontal="center" vertical="center" wrapText="1" readingOrder="1"/>
    </xf>
    <xf numFmtId="0" fontId="46" fillId="24" borderId="39" xfId="0" applyFont="1" applyFill="1" applyBorder="1" applyAlignment="1">
      <alignment horizontal="center" vertical="center" wrapText="1" readingOrder="1"/>
    </xf>
    <xf numFmtId="0" fontId="46" fillId="25" borderId="39" xfId="0" applyFont="1" applyFill="1" applyBorder="1" applyAlignment="1">
      <alignment horizontal="center" vertical="center" wrapText="1" readingOrder="1"/>
    </xf>
    <xf numFmtId="0" fontId="36" fillId="25" borderId="39" xfId="0" applyFont="1" applyFill="1" applyBorder="1" applyAlignment="1">
      <alignment horizontal="center" vertical="center" wrapText="1" readingOrder="1"/>
    </xf>
    <xf numFmtId="0" fontId="36" fillId="24" borderId="39" xfId="0" applyFont="1" applyFill="1" applyBorder="1" applyAlignment="1">
      <alignment horizontal="center" vertical="center" wrapText="1" readingOrder="1"/>
    </xf>
    <xf numFmtId="0" fontId="46" fillId="24" borderId="42" xfId="0" applyFont="1" applyFill="1" applyBorder="1" applyAlignment="1">
      <alignment horizontal="left" vertical="center" readingOrder="1"/>
    </xf>
    <xf numFmtId="0" fontId="46" fillId="25" borderId="43" xfId="0" applyFont="1" applyFill="1" applyBorder="1" applyAlignment="1">
      <alignment horizontal="left" vertical="center" readingOrder="1"/>
    </xf>
    <xf numFmtId="0" fontId="46" fillId="24" borderId="39" xfId="0" applyFont="1" applyFill="1" applyBorder="1" applyAlignment="1">
      <alignment horizontal="left" vertical="center" readingOrder="1"/>
    </xf>
    <xf numFmtId="0" fontId="46" fillId="25" borderId="39" xfId="0" applyFont="1" applyFill="1" applyBorder="1" applyAlignment="1">
      <alignment horizontal="left" vertical="center" readingOrder="1"/>
    </xf>
    <xf numFmtId="0" fontId="46" fillId="24" borderId="43" xfId="0" applyFont="1" applyFill="1" applyBorder="1" applyAlignment="1">
      <alignment horizontal="left" vertical="center" readingOrder="1"/>
    </xf>
    <xf numFmtId="0" fontId="1" fillId="0" borderId="2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/>
    </xf>
    <xf numFmtId="0" fontId="3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9" fontId="40" fillId="0" borderId="3" xfId="3" applyNumberFormat="1" applyFont="1" applyBorder="1" applyAlignment="1">
      <alignment horizontal="center" vertical="center" wrapText="1"/>
    </xf>
    <xf numFmtId="187" fontId="3" fillId="0" borderId="3" xfId="3" applyNumberFormat="1" applyFont="1" applyBorder="1"/>
    <xf numFmtId="187" fontId="12" fillId="18" borderId="3" xfId="3" applyNumberFormat="1" applyFont="1" applyFill="1" applyBorder="1"/>
    <xf numFmtId="187" fontId="3" fillId="18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40" fillId="5" borderId="3" xfId="3" applyNumberFormat="1" applyFont="1" applyFill="1" applyBorder="1" applyAlignment="1">
      <alignment horizontal="center" vertical="center" wrapText="1"/>
    </xf>
    <xf numFmtId="43" fontId="30" fillId="0" borderId="0" xfId="3" applyFont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48" fillId="23" borderId="39" xfId="0" applyFont="1" applyFill="1" applyBorder="1" applyAlignment="1">
      <alignment horizontal="center" vertical="center" wrapText="1" readingOrder="1"/>
    </xf>
    <xf numFmtId="0" fontId="48" fillId="23" borderId="40" xfId="0" applyFont="1" applyFill="1" applyBorder="1" applyAlignment="1">
      <alignment horizontal="center" vertical="center" wrapText="1" readingOrder="1"/>
    </xf>
    <xf numFmtId="0" fontId="48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49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48" fillId="23" borderId="41" xfId="0" applyFont="1" applyFill="1" applyBorder="1" applyAlignment="1">
      <alignment horizontal="left" vertical="center" wrapText="1" readingOrder="1"/>
    </xf>
    <xf numFmtId="0" fontId="50" fillId="24" borderId="42" xfId="0" applyFont="1" applyFill="1" applyBorder="1" applyAlignment="1">
      <alignment horizontal="center" vertical="center" wrapText="1" readingOrder="1"/>
    </xf>
    <xf numFmtId="0" fontId="50" fillId="24" borderId="42" xfId="0" applyFont="1" applyFill="1" applyBorder="1" applyAlignment="1">
      <alignment horizontal="left" vertical="center" readingOrder="1"/>
    </xf>
    <xf numFmtId="0" fontId="50" fillId="25" borderId="43" xfId="0" applyFont="1" applyFill="1" applyBorder="1" applyAlignment="1">
      <alignment horizontal="center" vertical="center" wrapText="1" readingOrder="1"/>
    </xf>
    <xf numFmtId="0" fontId="51" fillId="25" borderId="43" xfId="0" applyFont="1" applyFill="1" applyBorder="1" applyAlignment="1">
      <alignment horizontal="center" vertical="center" wrapText="1" readingOrder="1"/>
    </xf>
    <xf numFmtId="0" fontId="50" fillId="25" borderId="43" xfId="0" applyFont="1" applyFill="1" applyBorder="1" applyAlignment="1">
      <alignment horizontal="left" vertical="center" readingOrder="1"/>
    </xf>
    <xf numFmtId="0" fontId="50" fillId="24" borderId="39" xfId="0" applyFont="1" applyFill="1" applyBorder="1" applyAlignment="1">
      <alignment horizontal="center" vertical="center" wrapText="1" readingOrder="1"/>
    </xf>
    <xf numFmtId="0" fontId="50" fillId="24" borderId="39" xfId="0" applyFont="1" applyFill="1" applyBorder="1" applyAlignment="1">
      <alignment horizontal="left" vertical="center" readingOrder="1"/>
    </xf>
    <xf numFmtId="0" fontId="50" fillId="25" borderId="39" xfId="0" applyFont="1" applyFill="1" applyBorder="1" applyAlignment="1">
      <alignment horizontal="center" vertical="center" wrapText="1" readingOrder="1"/>
    </xf>
    <xf numFmtId="0" fontId="51" fillId="25" borderId="39" xfId="0" applyFont="1" applyFill="1" applyBorder="1" applyAlignment="1">
      <alignment horizontal="center" vertical="center" wrapText="1" readingOrder="1"/>
    </xf>
    <xf numFmtId="0" fontId="50" fillId="25" borderId="39" xfId="0" applyFont="1" applyFill="1" applyBorder="1" applyAlignment="1">
      <alignment horizontal="left" vertical="center" readingOrder="1"/>
    </xf>
    <xf numFmtId="0" fontId="50" fillId="24" borderId="43" xfId="0" applyFont="1" applyFill="1" applyBorder="1" applyAlignment="1">
      <alignment horizontal="center" vertical="center" wrapText="1" readingOrder="1"/>
    </xf>
    <xf numFmtId="0" fontId="51" fillId="24" borderId="43" xfId="0" applyFont="1" applyFill="1" applyBorder="1" applyAlignment="1">
      <alignment horizontal="center" vertical="center" wrapText="1" readingOrder="1"/>
    </xf>
    <xf numFmtId="0" fontId="50" fillId="24" borderId="43" xfId="0" applyFont="1" applyFill="1" applyBorder="1" applyAlignment="1">
      <alignment horizontal="left" vertical="center" readingOrder="1"/>
    </xf>
    <xf numFmtId="0" fontId="51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2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40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9" fillId="0" borderId="1" xfId="8" applyFont="1" applyBorder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47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47" fillId="7" borderId="12" xfId="0" applyFont="1" applyFill="1" applyBorder="1" applyAlignment="1">
      <alignment horizontal="centerContinuous" vertical="top"/>
    </xf>
    <xf numFmtId="0" fontId="47" fillId="7" borderId="0" xfId="0" applyFont="1" applyFill="1" applyAlignment="1">
      <alignment horizontal="centerContinuous" vertical="top"/>
    </xf>
    <xf numFmtId="0" fontId="3" fillId="0" borderId="2" xfId="0" applyFont="1" applyBorder="1" applyAlignment="1">
      <alignment horizontal="left"/>
    </xf>
    <xf numFmtId="0" fontId="19" fillId="0" borderId="1" xfId="8" applyFont="1" applyBorder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19" fillId="0" borderId="1" xfId="8" applyFont="1" applyBorder="1" applyAlignment="1">
      <alignment horizontal="center" vertical="top"/>
    </xf>
    <xf numFmtId="189" fontId="19" fillId="0" borderId="1" xfId="8" applyNumberFormat="1" applyFont="1" applyBorder="1" applyAlignment="1">
      <alignment horizontal="center" vertical="top"/>
    </xf>
    <xf numFmtId="0" fontId="3" fillId="9" borderId="0" xfId="0" applyFont="1" applyFill="1" applyAlignment="1">
      <alignment horizontal="center" vertical="top"/>
    </xf>
    <xf numFmtId="0" fontId="19" fillId="14" borderId="38" xfId="8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1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3" fillId="6" borderId="0" xfId="0" applyFont="1" applyFill="1" applyAlignment="1">
      <alignment horizontal="center" vertical="top"/>
    </xf>
    <xf numFmtId="0" fontId="3" fillId="28" borderId="0" xfId="0" applyFont="1" applyFill="1" applyAlignment="1">
      <alignment vertical="top"/>
    </xf>
    <xf numFmtId="0" fontId="3" fillId="28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10" borderId="0" xfId="0" applyFont="1" applyFill="1" applyAlignment="1">
      <alignment horizontal="center" vertical="top"/>
    </xf>
    <xf numFmtId="0" fontId="19" fillId="16" borderId="2" xfId="7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49" fontId="19" fillId="16" borderId="2" xfId="7" applyNumberFormat="1" applyFont="1" applyFill="1" applyBorder="1" applyAlignment="1">
      <alignment horizontal="center"/>
    </xf>
    <xf numFmtId="0" fontId="19" fillId="29" borderId="1" xfId="8" applyFont="1" applyFill="1" applyBorder="1" applyAlignment="1">
      <alignment horizontal="center" vertical="top"/>
    </xf>
    <xf numFmtId="0" fontId="19" fillId="29" borderId="1" xfId="8" applyFont="1" applyFill="1" applyBorder="1" applyAlignment="1">
      <alignment vertical="top"/>
    </xf>
    <xf numFmtId="0" fontId="19" fillId="29" borderId="1" xfId="8" applyFont="1" applyFill="1" applyBorder="1" applyAlignment="1">
      <alignment horizontal="left" vertical="top"/>
    </xf>
    <xf numFmtId="0" fontId="3" fillId="29" borderId="0" xfId="0" applyFont="1" applyFill="1" applyAlignment="1">
      <alignment vertical="top"/>
    </xf>
    <xf numFmtId="0" fontId="3" fillId="29" borderId="0" xfId="0" applyFont="1" applyFill="1" applyAlignment="1">
      <alignment horizontal="center" vertical="top"/>
    </xf>
    <xf numFmtId="189" fontId="19" fillId="29" borderId="1" xfId="8" applyNumberFormat="1" applyFont="1" applyFill="1" applyBorder="1" applyAlignment="1">
      <alignment horizontal="center" vertical="top"/>
    </xf>
    <xf numFmtId="0" fontId="12" fillId="29" borderId="2" xfId="0" applyFont="1" applyFill="1" applyBorder="1" applyAlignment="1">
      <alignment horizontal="center"/>
    </xf>
    <xf numFmtId="0" fontId="3" fillId="29" borderId="2" xfId="0" applyFont="1" applyFill="1" applyBorder="1"/>
    <xf numFmtId="187" fontId="15" fillId="29" borderId="2" xfId="3" applyNumberFormat="1" applyFont="1" applyFill="1" applyBorder="1"/>
    <xf numFmtId="43" fontId="3" fillId="29" borderId="2" xfId="3" applyFont="1" applyFill="1" applyBorder="1"/>
    <xf numFmtId="187" fontId="3" fillId="29" borderId="3" xfId="3" applyNumberFormat="1" applyFont="1" applyFill="1" applyBorder="1"/>
    <xf numFmtId="187" fontId="3" fillId="29" borderId="2" xfId="3" applyNumberFormat="1" applyFont="1" applyFill="1" applyBorder="1"/>
    <xf numFmtId="0" fontId="3" fillId="29" borderId="2" xfId="0" applyFont="1" applyFill="1" applyBorder="1" applyAlignment="1">
      <alignment horizontal="center"/>
    </xf>
    <xf numFmtId="43" fontId="32" fillId="0" borderId="0" xfId="3" applyFont="1"/>
    <xf numFmtId="0" fontId="55" fillId="18" borderId="0" xfId="0" applyFont="1" applyFill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15" fillId="4" borderId="2" xfId="3" applyFont="1" applyFill="1" applyBorder="1"/>
    <xf numFmtId="43" fontId="59" fillId="0" borderId="0" xfId="3" applyFont="1"/>
    <xf numFmtId="43" fontId="58" fillId="0" borderId="0" xfId="3" applyFont="1"/>
    <xf numFmtId="0" fontId="58" fillId="0" borderId="0" xfId="0" applyFont="1"/>
    <xf numFmtId="43" fontId="8" fillId="0" borderId="48" xfId="3" applyFont="1" applyFill="1" applyBorder="1" applyAlignment="1">
      <alignment horizontal="center" vertical="center" wrapText="1"/>
    </xf>
    <xf numFmtId="43" fontId="4" fillId="0" borderId="0" xfId="3" applyFont="1"/>
    <xf numFmtId="0" fontId="7" fillId="18" borderId="2" xfId="0" applyFont="1" applyFill="1" applyBorder="1" applyAlignment="1">
      <alignment horizontal="center"/>
    </xf>
    <xf numFmtId="0" fontId="12" fillId="30" borderId="2" xfId="0" applyFont="1" applyFill="1" applyBorder="1" applyAlignment="1">
      <alignment horizontal="center" vertical="center"/>
    </xf>
    <xf numFmtId="0" fontId="12" fillId="30" borderId="2" xfId="0" applyFont="1" applyFill="1" applyBorder="1" applyAlignment="1">
      <alignment horizontal="center" vertical="center" wrapText="1"/>
    </xf>
    <xf numFmtId="43" fontId="12" fillId="30" borderId="2" xfId="3" applyFont="1" applyFill="1" applyBorder="1" applyAlignment="1">
      <alignment horizontal="center" vertical="center" wrapText="1"/>
    </xf>
    <xf numFmtId="43" fontId="12" fillId="30" borderId="2" xfId="3" applyFont="1" applyFill="1" applyBorder="1" applyAlignment="1">
      <alignment horizontal="center" vertical="center"/>
    </xf>
    <xf numFmtId="43" fontId="12" fillId="30" borderId="2" xfId="3" applyFont="1" applyFill="1" applyBorder="1" applyAlignment="1">
      <alignment horizontal="center"/>
    </xf>
    <xf numFmtId="0" fontId="12" fillId="30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30" borderId="2" xfId="0" applyFont="1" applyFill="1" applyBorder="1" applyAlignment="1">
      <alignment horizontal="left"/>
    </xf>
    <xf numFmtId="0" fontId="28" fillId="0" borderId="2" xfId="1" applyFont="1" applyFill="1" applyBorder="1" applyAlignment="1"/>
    <xf numFmtId="43" fontId="26" fillId="0" borderId="2" xfId="3" applyFont="1" applyBorder="1"/>
    <xf numFmtId="43" fontId="12" fillId="0" borderId="2" xfId="0" applyNumberFormat="1" applyFont="1" applyBorder="1"/>
    <xf numFmtId="43" fontId="12" fillId="0" borderId="2" xfId="3" applyFont="1" applyBorder="1"/>
    <xf numFmtId="43" fontId="12" fillId="0" borderId="2" xfId="3" applyFont="1" applyFill="1" applyBorder="1"/>
    <xf numFmtId="43" fontId="12" fillId="4" borderId="2" xfId="0" applyNumberFormat="1" applyFont="1" applyFill="1" applyBorder="1"/>
    <xf numFmtId="43" fontId="12" fillId="4" borderId="2" xfId="3" applyFont="1" applyFill="1" applyBorder="1"/>
    <xf numFmtId="0" fontId="12" fillId="4" borderId="2" xfId="0" applyFont="1" applyFill="1" applyBorder="1"/>
    <xf numFmtId="43" fontId="51" fillId="30" borderId="2" xfId="3" applyFont="1" applyFill="1" applyBorder="1" applyAlignment="1">
      <alignment horizontal="center" vertical="center" wrapText="1"/>
    </xf>
    <xf numFmtId="43" fontId="0" fillId="0" borderId="2" xfId="3" applyFont="1" applyBorder="1"/>
    <xf numFmtId="43" fontId="0" fillId="0" borderId="0" xfId="0" applyNumberFormat="1"/>
    <xf numFmtId="0" fontId="4" fillId="4" borderId="2" xfId="0" applyFont="1" applyFill="1" applyBorder="1" applyAlignment="1">
      <alignment horizontal="center" vertical="center" wrapText="1"/>
    </xf>
    <xf numFmtId="0" fontId="4" fillId="31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43" fontId="3" fillId="0" borderId="14" xfId="3" applyFont="1" applyBorder="1" applyAlignment="1">
      <alignment horizontal="center"/>
    </xf>
    <xf numFmtId="43" fontId="3" fillId="0" borderId="2" xfId="3" applyFont="1" applyFill="1" applyBorder="1"/>
    <xf numFmtId="43" fontId="4" fillId="0" borderId="2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3" fillId="0" borderId="2" xfId="3" applyFont="1" applyBorder="1" applyAlignment="1">
      <alignment wrapText="1"/>
    </xf>
    <xf numFmtId="43" fontId="4" fillId="31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4" xfId="0" applyNumberFormat="1" applyFont="1" applyBorder="1" applyAlignment="1">
      <alignment horizontal="center" vertical="center"/>
    </xf>
    <xf numFmtId="43" fontId="4" fillId="31" borderId="2" xfId="0" applyNumberFormat="1" applyFont="1" applyFill="1" applyBorder="1" applyAlignment="1"/>
    <xf numFmtId="43" fontId="4" fillId="31" borderId="3" xfId="0" applyNumberFormat="1" applyFont="1" applyFill="1" applyBorder="1" applyAlignment="1"/>
    <xf numFmtId="43" fontId="4" fillId="31" borderId="30" xfId="0" applyNumberFormat="1" applyFont="1" applyFill="1" applyBorder="1" applyAlignment="1"/>
    <xf numFmtId="43" fontId="4" fillId="31" borderId="4" xfId="0" applyNumberFormat="1" applyFont="1" applyFill="1" applyBorder="1" applyAlignment="1"/>
    <xf numFmtId="43" fontId="4" fillId="0" borderId="2" xfId="3" applyFont="1" applyBorder="1"/>
    <xf numFmtId="0" fontId="12" fillId="0" borderId="0" xfId="0" applyFont="1" applyFill="1"/>
    <xf numFmtId="43" fontId="12" fillId="0" borderId="0" xfId="0" applyNumberFormat="1" applyFont="1"/>
    <xf numFmtId="43" fontId="3" fillId="0" borderId="2" xfId="3" applyFont="1" applyBorder="1" applyAlignment="1">
      <alignment horizontal="center" vertical="center"/>
    </xf>
    <xf numFmtId="43" fontId="3" fillId="0" borderId="2" xfId="3" applyFont="1" applyBorder="1" applyAlignment="1">
      <alignment horizontal="center" vertical="center" wrapText="1"/>
    </xf>
    <xf numFmtId="43" fontId="3" fillId="17" borderId="13" xfId="3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3" fontId="3" fillId="17" borderId="2" xfId="3" applyFont="1" applyFill="1" applyBorder="1" applyAlignment="1">
      <alignment horizontal="center" vertical="center"/>
    </xf>
    <xf numFmtId="43" fontId="3" fillId="17" borderId="4" xfId="3" applyFont="1" applyFill="1" applyBorder="1" applyAlignment="1">
      <alignment horizontal="center" vertical="center"/>
    </xf>
    <xf numFmtId="0" fontId="12" fillId="0" borderId="0" xfId="0" applyFont="1" applyAlignment="1"/>
    <xf numFmtId="43" fontId="0" fillId="0" borderId="0" xfId="3" applyFont="1" applyFill="1"/>
    <xf numFmtId="43" fontId="34" fillId="0" borderId="0" xfId="3" applyFont="1"/>
    <xf numFmtId="0" fontId="3" fillId="0" borderId="2" xfId="0" applyFont="1" applyFill="1" applyBorder="1" applyAlignment="1">
      <alignment horizontal="center" vertical="center" wrapText="1"/>
    </xf>
    <xf numFmtId="43" fontId="3" fillId="4" borderId="2" xfId="3" applyFont="1" applyFill="1" applyBorder="1"/>
    <xf numFmtId="43" fontId="38" fillId="0" borderId="2" xfId="3" applyFont="1" applyFill="1" applyBorder="1"/>
    <xf numFmtId="0" fontId="1" fillId="0" borderId="0" xfId="0" applyFont="1" applyFill="1" applyBorder="1" applyAlignment="1">
      <alignment horizontal="left"/>
    </xf>
    <xf numFmtId="43" fontId="1" fillId="0" borderId="0" xfId="0" applyNumberFormat="1" applyFont="1"/>
    <xf numFmtId="43" fontId="1" fillId="0" borderId="0" xfId="0" applyNumberFormat="1" applyFont="1" applyFill="1"/>
    <xf numFmtId="43" fontId="1" fillId="0" borderId="0" xfId="3" applyFont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Alignment="1">
      <alignment horizontal="center" vertical="top" wrapText="1"/>
    </xf>
    <xf numFmtId="0" fontId="3" fillId="18" borderId="0" xfId="0" applyFont="1" applyFill="1" applyAlignment="1">
      <alignment horizontal="center" vertical="top" wrapText="1"/>
    </xf>
    <xf numFmtId="43" fontId="4" fillId="0" borderId="0" xfId="0" applyNumberFormat="1" applyFont="1"/>
    <xf numFmtId="43" fontId="4" fillId="18" borderId="0" xfId="0" applyNumberFormat="1" applyFont="1" applyFill="1"/>
    <xf numFmtId="43" fontId="19" fillId="0" borderId="2" xfId="3" applyFont="1" applyFill="1" applyBorder="1" applyAlignment="1">
      <alignment wrapText="1"/>
    </xf>
    <xf numFmtId="43" fontId="19" fillId="4" borderId="2" xfId="3" applyFont="1" applyFill="1" applyBorder="1" applyAlignment="1">
      <alignment wrapText="1"/>
    </xf>
    <xf numFmtId="43" fontId="19" fillId="0" borderId="2" xfId="6" applyNumberFormat="1" applyFont="1" applyFill="1" applyBorder="1" applyAlignment="1">
      <alignment wrapText="1"/>
    </xf>
    <xf numFmtId="0" fontId="3" fillId="0" borderId="2" xfId="0" applyFont="1" applyFill="1" applyBorder="1"/>
    <xf numFmtId="43" fontId="19" fillId="0" borderId="0" xfId="3" applyFont="1" applyFill="1" applyBorder="1" applyAlignment="1">
      <alignment vertical="top" wrapText="1"/>
    </xf>
    <xf numFmtId="43" fontId="19" fillId="0" borderId="0" xfId="3" applyFont="1" applyFill="1" applyBorder="1" applyAlignment="1">
      <alignment wrapText="1"/>
    </xf>
    <xf numFmtId="0" fontId="19" fillId="6" borderId="0" xfId="6" applyFont="1" applyFill="1" applyBorder="1" applyAlignment="1">
      <alignment wrapText="1"/>
    </xf>
    <xf numFmtId="43" fontId="19" fillId="0" borderId="0" xfId="3" applyFont="1" applyFill="1" applyBorder="1" applyAlignment="1">
      <alignment horizontal="right" wrapText="1"/>
    </xf>
    <xf numFmtId="0" fontId="19" fillId="6" borderId="0" xfId="6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4" borderId="2" xfId="0" applyFont="1" applyFill="1" applyBorder="1" applyAlignment="1">
      <alignment horizontal="center" vertical="center" wrapText="1"/>
    </xf>
    <xf numFmtId="43" fontId="15" fillId="0" borderId="2" xfId="3" applyFont="1" applyFill="1" applyBorder="1"/>
    <xf numFmtId="43" fontId="3" fillId="30" borderId="2" xfId="0" applyNumberFormat="1" applyFont="1" applyFill="1" applyBorder="1"/>
    <xf numFmtId="43" fontId="3" fillId="30" borderId="2" xfId="3" applyFont="1" applyFill="1" applyBorder="1"/>
    <xf numFmtId="43" fontId="15" fillId="0" borderId="2" xfId="3" applyFont="1" applyBorder="1" applyAlignment="1" applyProtection="1">
      <alignment vertical="center"/>
    </xf>
    <xf numFmtId="43" fontId="12" fillId="0" borderId="0" xfId="3" applyFont="1" applyFill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15" fillId="0" borderId="0" xfId="0" applyFont="1" applyBorder="1"/>
    <xf numFmtId="0" fontId="3" fillId="0" borderId="51" xfId="0" applyFont="1" applyFill="1" applyBorder="1" applyAlignment="1">
      <alignment horizontal="center"/>
    </xf>
    <xf numFmtId="43" fontId="3" fillId="0" borderId="45" xfId="0" applyNumberFormat="1" applyFont="1" applyFill="1" applyBorder="1"/>
    <xf numFmtId="43" fontId="3" fillId="0" borderId="46" xfId="3" applyFont="1" applyBorder="1"/>
    <xf numFmtId="0" fontId="3" fillId="0" borderId="22" xfId="0" applyFont="1" applyBorder="1"/>
    <xf numFmtId="43" fontId="3" fillId="0" borderId="22" xfId="3" applyFont="1" applyBorder="1"/>
    <xf numFmtId="43" fontId="3" fillId="0" borderId="47" xfId="3" applyFont="1" applyBorder="1"/>
    <xf numFmtId="43" fontId="3" fillId="0" borderId="27" xfId="3" applyFont="1" applyBorder="1"/>
    <xf numFmtId="0" fontId="4" fillId="18" borderId="14" xfId="0" applyFont="1" applyFill="1" applyBorder="1" applyAlignment="1">
      <alignment horizontal="center" vertical="center"/>
    </xf>
    <xf numFmtId="43" fontId="4" fillId="18" borderId="14" xfId="0" applyNumberFormat="1" applyFont="1" applyFill="1" applyBorder="1" applyAlignment="1">
      <alignment horizontal="center" vertical="center" wrapText="1"/>
    </xf>
    <xf numFmtId="43" fontId="7" fillId="18" borderId="2" xfId="3" applyFont="1" applyFill="1" applyBorder="1"/>
    <xf numFmtId="43" fontId="3" fillId="4" borderId="0" xfId="3" applyFont="1" applyFill="1"/>
    <xf numFmtId="43" fontId="4" fillId="18" borderId="2" xfId="3" applyFont="1" applyFill="1" applyBorder="1"/>
    <xf numFmtId="43" fontId="4" fillId="18" borderId="2" xfId="0" applyNumberFormat="1" applyFont="1" applyFill="1" applyBorder="1"/>
    <xf numFmtId="43" fontId="25" fillId="0" borderId="0" xfId="0" applyNumberFormat="1" applyFont="1"/>
    <xf numFmtId="43" fontId="38" fillId="0" borderId="0" xfId="3" applyFont="1"/>
    <xf numFmtId="43" fontId="38" fillId="0" borderId="0" xfId="0" applyNumberFormat="1" applyFont="1"/>
    <xf numFmtId="43" fontId="36" fillId="0" borderId="0" xfId="3" applyFont="1"/>
    <xf numFmtId="4" fontId="15" fillId="0" borderId="2" xfId="0" applyNumberFormat="1" applyFont="1" applyBorder="1" applyAlignment="1">
      <alignment vertical="top"/>
    </xf>
    <xf numFmtId="43" fontId="15" fillId="0" borderId="2" xfId="0" applyNumberFormat="1" applyFont="1" applyBorder="1"/>
    <xf numFmtId="43" fontId="20" fillId="0" borderId="2" xfId="3" applyFont="1" applyBorder="1"/>
    <xf numFmtId="187" fontId="30" fillId="0" borderId="0" xfId="0" applyNumberFormat="1" applyFont="1"/>
    <xf numFmtId="0" fontId="38" fillId="0" borderId="2" xfId="0" applyFont="1" applyBorder="1" applyAlignment="1">
      <alignment horizontal="center" vertical="center" wrapText="1"/>
    </xf>
    <xf numFmtId="0" fontId="77" fillId="0" borderId="0" xfId="51" applyFont="1"/>
    <xf numFmtId="0" fontId="0" fillId="30" borderId="0" xfId="0" applyFill="1" applyAlignment="1">
      <alignment horizontal="center"/>
    </xf>
    <xf numFmtId="0" fontId="78" fillId="0" borderId="0" xfId="0" applyFont="1" applyAlignment="1">
      <alignment horizontal="center"/>
    </xf>
    <xf numFmtId="43" fontId="0" fillId="30" borderId="0" xfId="3" applyFont="1" applyFill="1" applyAlignment="1">
      <alignment horizontal="center"/>
    </xf>
    <xf numFmtId="43" fontId="30" fillId="30" borderId="0" xfId="3" applyFont="1" applyFill="1"/>
    <xf numFmtId="0" fontId="15" fillId="21" borderId="3" xfId="0" applyFont="1" applyFill="1" applyBorder="1"/>
    <xf numFmtId="187" fontId="30" fillId="30" borderId="0" xfId="0" applyNumberFormat="1" applyFont="1" applyFill="1" applyAlignment="1">
      <alignment horizontal="center"/>
    </xf>
    <xf numFmtId="0" fontId="15" fillId="21" borderId="11" xfId="0" applyFont="1" applyFill="1" applyBorder="1"/>
    <xf numFmtId="190" fontId="20" fillId="30" borderId="0" xfId="52" applyNumberFormat="1" applyFont="1" applyFill="1"/>
    <xf numFmtId="187" fontId="4" fillId="30" borderId="2" xfId="0" applyNumberFormat="1" applyFont="1" applyFill="1" applyBorder="1"/>
    <xf numFmtId="43" fontId="0" fillId="30" borderId="0" xfId="3" applyFont="1" applyFill="1"/>
    <xf numFmtId="187" fontId="0" fillId="30" borderId="0" xfId="0" applyNumberFormat="1" applyFill="1" applyAlignment="1">
      <alignment horizontal="center"/>
    </xf>
    <xf numFmtId="0" fontId="3" fillId="4" borderId="2" xfId="0" applyFont="1" applyFill="1" applyBorder="1" applyAlignment="1">
      <alignment vertical="center"/>
    </xf>
    <xf numFmtId="43" fontId="3" fillId="4" borderId="2" xfId="3" applyFont="1" applyFill="1" applyBorder="1" applyAlignment="1">
      <alignment vertical="top" wrapText="1"/>
    </xf>
    <xf numFmtId="187" fontId="1" fillId="0" borderId="37" xfId="0" applyNumberFormat="1" applyFont="1" applyBorder="1"/>
    <xf numFmtId="187" fontId="4" fillId="0" borderId="15" xfId="0" applyNumberFormat="1" applyFont="1" applyBorder="1"/>
    <xf numFmtId="0" fontId="7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3" fontId="2" fillId="0" borderId="2" xfId="3" applyFont="1" applyBorder="1" applyAlignment="1">
      <alignment horizontal="center" vertical="center" wrapText="1"/>
    </xf>
    <xf numFmtId="0" fontId="2" fillId="18" borderId="2" xfId="0" applyFont="1" applyFill="1" applyBorder="1" applyAlignment="1">
      <alignment horizontal="center" vertical="center" wrapText="1"/>
    </xf>
    <xf numFmtId="0" fontId="80" fillId="0" borderId="2" xfId="1" applyFont="1" applyBorder="1"/>
    <xf numFmtId="43" fontId="9" fillId="6" borderId="2" xfId="3" applyFont="1" applyFill="1" applyBorder="1"/>
    <xf numFmtId="43" fontId="9" fillId="0" borderId="2" xfId="3" applyFont="1" applyBorder="1"/>
    <xf numFmtId="43" fontId="9" fillId="18" borderId="2" xfId="3" applyFont="1" applyFill="1" applyBorder="1"/>
    <xf numFmtId="43" fontId="1" fillId="0" borderId="2" xfId="3" applyFont="1" applyBorder="1"/>
    <xf numFmtId="43" fontId="1" fillId="0" borderId="2" xfId="0" applyNumberFormat="1" applyFont="1" applyBorder="1"/>
    <xf numFmtId="0" fontId="81" fillId="6" borderId="2" xfId="1" applyFont="1" applyFill="1" applyBorder="1"/>
    <xf numFmtId="43" fontId="9" fillId="6" borderId="2" xfId="0" applyNumberFormat="1" applyFont="1" applyFill="1" applyBorder="1"/>
    <xf numFmtId="43" fontId="82" fillId="18" borderId="2" xfId="0" applyNumberFormat="1" applyFont="1" applyFill="1" applyBorder="1"/>
    <xf numFmtId="187" fontId="14" fillId="0" borderId="0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8" fillId="6" borderId="13" xfId="0" applyNumberFormat="1" applyFont="1" applyFill="1" applyBorder="1" applyAlignment="1">
      <alignment horizontal="right"/>
    </xf>
    <xf numFmtId="43" fontId="15" fillId="0" borderId="2" xfId="3" applyFont="1" applyBorder="1" applyAlignment="1">
      <alignment horizontal="left"/>
    </xf>
    <xf numFmtId="43" fontId="3" fillId="0" borderId="2" xfId="3" applyFont="1" applyBorder="1" applyAlignment="1">
      <alignment horizontal="left"/>
    </xf>
    <xf numFmtId="43" fontId="3" fillId="0" borderId="2" xfId="3" applyFont="1" applyBorder="1" applyAlignment="1">
      <alignment horizontal="left" vertical="top" wrapText="1"/>
    </xf>
    <xf numFmtId="43" fontId="15" fillId="0" borderId="2" xfId="3" applyFont="1" applyBorder="1" applyAlignment="1">
      <alignment horizontal="left" vertical="top"/>
    </xf>
    <xf numFmtId="43" fontId="19" fillId="0" borderId="2" xfId="3" applyFont="1" applyBorder="1" applyAlignment="1">
      <alignment horizontal="left"/>
    </xf>
    <xf numFmtId="43" fontId="3" fillId="0" borderId="2" xfId="3" applyFont="1" applyBorder="1" applyAlignment="1">
      <alignment horizontal="left" vertical="center"/>
    </xf>
    <xf numFmtId="43" fontId="2" fillId="0" borderId="0" xfId="3" applyFont="1"/>
    <xf numFmtId="187" fontId="1" fillId="6" borderId="10" xfId="3" applyNumberFormat="1" applyFont="1" applyFill="1" applyBorder="1"/>
    <xf numFmtId="0" fontId="1" fillId="0" borderId="0" xfId="0" applyFont="1" applyBorder="1"/>
    <xf numFmtId="0" fontId="4" fillId="0" borderId="0" xfId="0" applyFont="1" applyBorder="1"/>
    <xf numFmtId="0" fontId="1" fillId="6" borderId="0" xfId="0" applyFont="1" applyFill="1" applyBorder="1"/>
    <xf numFmtId="0" fontId="2" fillId="0" borderId="0" xfId="0" applyFont="1" applyBorder="1"/>
    <xf numFmtId="187" fontId="29" fillId="0" borderId="0" xfId="3" applyNumberFormat="1" applyFont="1"/>
    <xf numFmtId="43" fontId="83" fillId="0" borderId="0" xfId="0" applyNumberFormat="1" applyFont="1"/>
    <xf numFmtId="187" fontId="83" fillId="0" borderId="0" xfId="0" applyNumberFormat="1" applyFont="1"/>
    <xf numFmtId="43" fontId="29" fillId="0" borderId="0" xfId="0" applyNumberFormat="1" applyFont="1"/>
    <xf numFmtId="187" fontId="29" fillId="0" borderId="0" xfId="0" applyNumberFormat="1" applyFont="1"/>
    <xf numFmtId="0" fontId="2" fillId="0" borderId="0" xfId="0" applyFont="1" applyAlignment="1">
      <alignment horizontal="center"/>
    </xf>
    <xf numFmtId="187" fontId="3" fillId="6" borderId="2" xfId="3" applyNumberFormat="1" applyFont="1" applyFill="1" applyBorder="1"/>
    <xf numFmtId="43" fontId="3" fillId="6" borderId="2" xfId="3" applyFont="1" applyFill="1" applyBorder="1"/>
    <xf numFmtId="187" fontId="15" fillId="6" borderId="2" xfId="3" applyNumberFormat="1" applyFont="1" applyFill="1" applyBorder="1"/>
    <xf numFmtId="49" fontId="84" fillId="17" borderId="0" xfId="0" applyNumberFormat="1" applyFont="1" applyFill="1" applyAlignment="1">
      <alignment horizontal="center"/>
    </xf>
    <xf numFmtId="0" fontId="84" fillId="17" borderId="0" xfId="0" applyFont="1" applyFill="1" applyAlignment="1">
      <alignment horizontal="center"/>
    </xf>
    <xf numFmtId="40" fontId="84" fillId="4" borderId="0" xfId="0" applyNumberFormat="1" applyFont="1" applyFill="1" applyAlignment="1">
      <alignment horizontal="center"/>
    </xf>
    <xf numFmtId="40" fontId="47" fillId="22" borderId="0" xfId="0" applyNumberFormat="1" applyFont="1" applyFill="1" applyAlignment="1">
      <alignment horizontal="center"/>
    </xf>
    <xf numFmtId="43" fontId="84" fillId="16" borderId="2" xfId="3" applyFont="1" applyFill="1" applyBorder="1" applyAlignment="1">
      <alignment horizontal="center" vertical="center"/>
    </xf>
    <xf numFmtId="43" fontId="47" fillId="6" borderId="0" xfId="3" applyFont="1" applyFill="1"/>
    <xf numFmtId="0" fontId="47" fillId="16" borderId="0" xfId="0" applyFont="1" applyFill="1" applyAlignment="1">
      <alignment horizontal="center" vertical="center"/>
    </xf>
    <xf numFmtId="43" fontId="47" fillId="0" borderId="0" xfId="3" applyFont="1"/>
    <xf numFmtId="0" fontId="47" fillId="0" borderId="0" xfId="0" applyFont="1"/>
    <xf numFmtId="49" fontId="47" fillId="6" borderId="0" xfId="0" applyNumberFormat="1" applyFont="1" applyFill="1" applyAlignment="1">
      <alignment horizontal="center"/>
    </xf>
    <xf numFmtId="0" fontId="47" fillId="6" borderId="0" xfId="0" applyFont="1" applyFill="1"/>
    <xf numFmtId="40" fontId="47" fillId="6" borderId="0" xfId="0" applyNumberFormat="1" applyFont="1" applyFill="1"/>
    <xf numFmtId="49" fontId="47" fillId="0" borderId="0" xfId="0" applyNumberFormat="1" applyFont="1" applyAlignment="1">
      <alignment horizontal="center"/>
    </xf>
    <xf numFmtId="40" fontId="47" fillId="0" borderId="0" xfId="0" applyNumberFormat="1" applyFont="1"/>
    <xf numFmtId="0" fontId="47" fillId="27" borderId="0" xfId="0" applyFont="1" applyFill="1"/>
    <xf numFmtId="40" fontId="47" fillId="27" borderId="0" xfId="0" applyNumberFormat="1" applyFont="1" applyFill="1"/>
    <xf numFmtId="191" fontId="47" fillId="0" borderId="0" xfId="0" applyNumberFormat="1" applyFont="1"/>
    <xf numFmtId="0" fontId="47" fillId="4" borderId="0" xfId="0" applyFont="1" applyFill="1"/>
    <xf numFmtId="40" fontId="47" fillId="4" borderId="0" xfId="0" applyNumberFormat="1" applyFont="1" applyFill="1"/>
    <xf numFmtId="49" fontId="47" fillId="4" borderId="0" xfId="0" applyNumberFormat="1" applyFont="1" applyFill="1" applyAlignment="1">
      <alignment horizontal="center"/>
    </xf>
    <xf numFmtId="49" fontId="47" fillId="27" borderId="0" xfId="0" applyNumberFormat="1" applyFont="1" applyFill="1" applyAlignment="1">
      <alignment horizontal="center"/>
    </xf>
    <xf numFmtId="43" fontId="1" fillId="0" borderId="0" xfId="3" applyFont="1" applyBorder="1"/>
    <xf numFmtId="187" fontId="3" fillId="0" borderId="0" xfId="0" applyNumberFormat="1" applyFont="1" applyBorder="1"/>
    <xf numFmtId="43" fontId="1" fillId="0" borderId="37" xfId="3" applyFont="1" applyBorder="1"/>
    <xf numFmtId="0" fontId="1" fillId="0" borderId="37" xfId="0" applyFont="1" applyBorder="1"/>
    <xf numFmtId="187" fontId="1" fillId="0" borderId="10" xfId="0" applyNumberFormat="1" applyFont="1" applyBorder="1"/>
    <xf numFmtId="187" fontId="1" fillId="0" borderId="11" xfId="0" applyNumberFormat="1" applyFont="1" applyBorder="1"/>
    <xf numFmtId="43" fontId="1" fillId="0" borderId="12" xfId="3" applyFont="1" applyBorder="1"/>
    <xf numFmtId="187" fontId="3" fillId="0" borderId="12" xfId="0" applyNumberFormat="1" applyFont="1" applyBorder="1"/>
    <xf numFmtId="0" fontId="1" fillId="0" borderId="15" xfId="0" applyFont="1" applyBorder="1"/>
    <xf numFmtId="43" fontId="1" fillId="0" borderId="11" xfId="0" applyNumberFormat="1" applyFont="1" applyBorder="1"/>
    <xf numFmtId="43" fontId="1" fillId="0" borderId="15" xfId="0" applyNumberFormat="1" applyFont="1" applyBorder="1"/>
    <xf numFmtId="0" fontId="4" fillId="6" borderId="2" xfId="0" applyFont="1" applyFill="1" applyBorder="1" applyAlignment="1">
      <alignment horizontal="center"/>
    </xf>
    <xf numFmtId="43" fontId="1" fillId="6" borderId="2" xfId="3" applyFont="1" applyFill="1" applyBorder="1"/>
    <xf numFmtId="187" fontId="3" fillId="6" borderId="2" xfId="0" applyNumberFormat="1" applyFont="1" applyFill="1" applyBorder="1"/>
    <xf numFmtId="0" fontId="1" fillId="6" borderId="2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/>
    </xf>
    <xf numFmtId="187" fontId="4" fillId="0" borderId="37" xfId="0" applyNumberFormat="1" applyFont="1" applyBorder="1"/>
    <xf numFmtId="187" fontId="1" fillId="6" borderId="37" xfId="0" applyNumberFormat="1" applyFont="1" applyFill="1" applyBorder="1"/>
    <xf numFmtId="187" fontId="4" fillId="6" borderId="37" xfId="0" applyNumberFormat="1" applyFont="1" applyFill="1" applyBorder="1"/>
    <xf numFmtId="187" fontId="2" fillId="0" borderId="37" xfId="0" applyNumberFormat="1" applyFont="1" applyBorder="1"/>
    <xf numFmtId="187" fontId="4" fillId="0" borderId="61" xfId="0" applyNumberFormat="1" applyFont="1" applyBorder="1"/>
    <xf numFmtId="0" fontId="1" fillId="0" borderId="11" xfId="0" applyFont="1" applyBorder="1"/>
    <xf numFmtId="0" fontId="1" fillId="0" borderId="12" xfId="0" applyFont="1" applyBorder="1"/>
    <xf numFmtId="188" fontId="3" fillId="4" borderId="0" xfId="0" applyNumberFormat="1" applyFont="1" applyFill="1" applyBorder="1" applyAlignment="1">
      <alignment horizontal="center"/>
    </xf>
    <xf numFmtId="188" fontId="4" fillId="0" borderId="0" xfId="0" applyNumberFormat="1" applyFont="1" applyBorder="1" applyAlignment="1">
      <alignment horizontal="center" vertical="center" wrapText="1"/>
    </xf>
    <xf numFmtId="188" fontId="1" fillId="0" borderId="0" xfId="0" applyNumberFormat="1" applyFont="1" applyBorder="1"/>
    <xf numFmtId="188" fontId="4" fillId="0" borderId="0" xfId="0" applyNumberFormat="1" applyFont="1" applyBorder="1"/>
    <xf numFmtId="188" fontId="23" fillId="6" borderId="0" xfId="0" applyNumberFormat="1" applyFont="1" applyFill="1" applyBorder="1" applyAlignment="1">
      <alignment horizontal="center"/>
    </xf>
    <xf numFmtId="188" fontId="1" fillId="0" borderId="0" xfId="0" applyNumberFormat="1" applyFont="1"/>
    <xf numFmtId="188" fontId="1" fillId="6" borderId="0" xfId="0" applyNumberFormat="1" applyFont="1" applyFill="1" applyBorder="1"/>
    <xf numFmtId="188" fontId="4" fillId="6" borderId="0" xfId="0" applyNumberFormat="1" applyFont="1" applyFill="1" applyBorder="1"/>
    <xf numFmtId="188" fontId="2" fillId="0" borderId="0" xfId="0" applyNumberFormat="1" applyFont="1" applyBorder="1"/>
    <xf numFmtId="40" fontId="85" fillId="0" borderId="0" xfId="0" applyNumberFormat="1" applyFont="1"/>
    <xf numFmtId="0" fontId="22" fillId="0" borderId="0" xfId="0" applyFont="1" applyFill="1" applyBorder="1" applyAlignment="1"/>
    <xf numFmtId="0" fontId="0" fillId="0" borderId="0" xfId="0" applyFont="1" applyFill="1"/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center"/>
    </xf>
    <xf numFmtId="43" fontId="13" fillId="0" borderId="2" xfId="3" applyFont="1" applyFill="1" applyBorder="1" applyAlignment="1"/>
    <xf numFmtId="0" fontId="86" fillId="0" borderId="2" xfId="0" applyFont="1" applyFill="1" applyBorder="1" applyAlignment="1">
      <alignment horizontal="center"/>
    </xf>
    <xf numFmtId="43" fontId="13" fillId="0" borderId="2" xfId="0" applyNumberFormat="1" applyFont="1" applyFill="1" applyBorder="1" applyAlignment="1">
      <alignment horizontal="center" wrapText="1"/>
    </xf>
    <xf numFmtId="0" fontId="86" fillId="0" borderId="2" xfId="0" applyFont="1" applyFill="1" applyBorder="1" applyAlignment="1">
      <alignment wrapText="1"/>
    </xf>
    <xf numFmtId="43" fontId="86" fillId="0" borderId="14" xfId="9" applyFont="1" applyFill="1" applyBorder="1" applyAlignment="1">
      <alignment horizontal="right"/>
    </xf>
    <xf numFmtId="43" fontId="86" fillId="6" borderId="49" xfId="0" applyNumberFormat="1" applyFont="1" applyFill="1" applyBorder="1"/>
    <xf numFmtId="0" fontId="86" fillId="0" borderId="2" xfId="0" applyFont="1" applyFill="1" applyBorder="1" applyAlignment="1"/>
    <xf numFmtId="43" fontId="13" fillId="0" borderId="2" xfId="3" applyFont="1" applyFill="1" applyBorder="1" applyAlignment="1">
      <alignment horizontal="left"/>
    </xf>
    <xf numFmtId="0" fontId="13" fillId="0" borderId="0" xfId="0" applyFont="1" applyFill="1" applyAlignment="1"/>
    <xf numFmtId="43" fontId="22" fillId="0" borderId="50" xfId="0" applyNumberFormat="1" applyFont="1" applyFill="1" applyBorder="1" applyAlignment="1">
      <alignment horizontal="center" wrapText="1"/>
    </xf>
    <xf numFmtId="43" fontId="13" fillId="0" borderId="0" xfId="3" applyFont="1" applyFill="1" applyAlignment="1"/>
    <xf numFmtId="43" fontId="0" fillId="0" borderId="0" xfId="3" applyFont="1" applyFill="1" applyAlignment="1">
      <alignment horizontal="right"/>
    </xf>
    <xf numFmtId="187" fontId="4" fillId="0" borderId="18" xfId="3" applyNumberFormat="1" applyFont="1" applyFill="1" applyBorder="1" applyAlignment="1">
      <alignment horizontal="left"/>
    </xf>
    <xf numFmtId="187" fontId="4" fillId="0" borderId="62" xfId="3" applyNumberFormat="1" applyFont="1" applyFill="1" applyBorder="1"/>
    <xf numFmtId="187" fontId="4" fillId="0" borderId="44" xfId="0" applyNumberFormat="1" applyFont="1" applyFill="1" applyBorder="1" applyAlignment="1">
      <alignment horizontal="left"/>
    </xf>
    <xf numFmtId="187" fontId="4" fillId="0" borderId="45" xfId="0" applyNumberFormat="1" applyFont="1" applyFill="1" applyBorder="1" applyAlignment="1"/>
    <xf numFmtId="0" fontId="15" fillId="6" borderId="2" xfId="0" applyFont="1" applyFill="1" applyBorder="1"/>
    <xf numFmtId="0" fontId="82" fillId="0" borderId="0" xfId="0" applyFont="1" applyFill="1"/>
    <xf numFmtId="0" fontId="13" fillId="6" borderId="2" xfId="0" applyFont="1" applyFill="1" applyBorder="1" applyAlignment="1">
      <alignment horizontal="center"/>
    </xf>
    <xf numFmtId="43" fontId="13" fillId="6" borderId="2" xfId="3" applyFont="1" applyFill="1" applyBorder="1" applyAlignment="1"/>
    <xf numFmtId="43" fontId="22" fillId="0" borderId="44" xfId="3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7" fillId="18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35" fillId="0" borderId="2" xfId="0" applyFont="1" applyBorder="1" applyAlignment="1">
      <alignment horizontal="left"/>
    </xf>
    <xf numFmtId="0" fontId="19" fillId="0" borderId="2" xfId="1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top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4" fillId="23" borderId="39" xfId="0" applyFont="1" applyFill="1" applyBorder="1" applyAlignment="1">
      <alignment horizontal="center" vertical="center" wrapText="1" readingOrder="1"/>
    </xf>
    <xf numFmtId="0" fontId="44" fillId="23" borderId="40" xfId="0" applyFont="1" applyFill="1" applyBorder="1" applyAlignment="1">
      <alignment horizontal="center" vertical="center" wrapText="1" readingOrder="1"/>
    </xf>
    <xf numFmtId="0" fontId="44" fillId="23" borderId="41" xfId="0" applyFont="1" applyFill="1" applyBorder="1" applyAlignment="1">
      <alignment horizontal="center" vertical="center" wrapText="1" readingOrder="1"/>
    </xf>
    <xf numFmtId="0" fontId="42" fillId="18" borderId="0" xfId="0" applyFont="1" applyFill="1" applyAlignment="1">
      <alignment horizontal="center" vertical="top" wrapText="1"/>
    </xf>
    <xf numFmtId="0" fontId="42" fillId="18" borderId="12" xfId="0" applyFont="1" applyFill="1" applyBorder="1" applyAlignment="1">
      <alignment horizontal="center" vertical="top" wrapText="1"/>
    </xf>
    <xf numFmtId="0" fontId="42" fillId="19" borderId="0" xfId="0" applyFont="1" applyFill="1" applyAlignment="1">
      <alignment horizontal="center" vertical="top" wrapText="1"/>
    </xf>
    <xf numFmtId="0" fontId="42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2" fillId="30" borderId="9" xfId="0" applyFont="1" applyFill="1" applyBorder="1" applyAlignment="1">
      <alignment horizontal="center" vertical="center" wrapText="1"/>
    </xf>
    <xf numFmtId="0" fontId="12" fillId="30" borderId="8" xfId="0" applyFont="1" applyFill="1" applyBorder="1" applyAlignment="1">
      <alignment horizontal="center" vertical="center" wrapText="1"/>
    </xf>
    <xf numFmtId="0" fontId="12" fillId="30" borderId="2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80" fillId="18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43" fontId="4" fillId="18" borderId="9" xfId="3" applyFont="1" applyFill="1" applyBorder="1" applyAlignment="1">
      <alignment horizontal="center" vertical="center" wrapText="1"/>
    </xf>
    <xf numFmtId="43" fontId="4" fillId="18" borderId="11" xfId="3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4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8" fillId="23" borderId="39" xfId="0" applyFont="1" applyFill="1" applyBorder="1" applyAlignment="1">
      <alignment horizontal="center" vertical="center" wrapText="1" readingOrder="1"/>
    </xf>
    <xf numFmtId="0" fontId="48" fillId="23" borderId="40" xfId="0" applyFont="1" applyFill="1" applyBorder="1" applyAlignment="1">
      <alignment horizontal="center" vertical="center" wrapText="1" readingOrder="1"/>
    </xf>
    <xf numFmtId="0" fontId="48" fillId="23" borderId="41" xfId="0" applyFont="1" applyFill="1" applyBorder="1" applyAlignment="1">
      <alignment horizontal="center" vertical="center" wrapText="1" readingOrder="1"/>
    </xf>
    <xf numFmtId="0" fontId="8" fillId="0" borderId="0" xfId="0" applyFont="1" applyAlignment="1"/>
    <xf numFmtId="0" fontId="8" fillId="0" borderId="12" xfId="0" applyFont="1" applyBorder="1" applyAlignment="1"/>
    <xf numFmtId="4" fontId="3" fillId="0" borderId="2" xfId="0" applyNumberFormat="1" applyFont="1" applyBorder="1"/>
    <xf numFmtId="0" fontId="19" fillId="30" borderId="2" xfId="6" applyFont="1" applyFill="1" applyBorder="1" applyAlignment="1">
      <alignment horizontal="center" wrapText="1"/>
    </xf>
    <xf numFmtId="0" fontId="19" fillId="0" borderId="2" xfId="6" applyFont="1" applyFill="1" applyBorder="1" applyAlignment="1">
      <alignment horizontal="center" wrapText="1"/>
    </xf>
    <xf numFmtId="0" fontId="38" fillId="0" borderId="2" xfId="6" applyFont="1" applyFill="1" applyBorder="1" applyAlignment="1">
      <alignment horizontal="center" wrapText="1"/>
    </xf>
    <xf numFmtId="43" fontId="38" fillId="30" borderId="2" xfId="3" applyFont="1" applyFill="1" applyBorder="1" applyAlignment="1">
      <alignment wrapText="1"/>
    </xf>
    <xf numFmtId="43" fontId="19" fillId="6" borderId="2" xfId="3" applyFont="1" applyFill="1" applyBorder="1" applyAlignment="1">
      <alignment wrapText="1"/>
    </xf>
    <xf numFmtId="43" fontId="19" fillId="30" borderId="2" xfId="3" applyFont="1" applyFill="1" applyBorder="1" applyAlignment="1">
      <alignment wrapText="1"/>
    </xf>
    <xf numFmtId="43" fontId="19" fillId="30" borderId="2" xfId="3" applyFont="1" applyFill="1" applyBorder="1" applyAlignment="1">
      <alignment vertical="top" wrapText="1"/>
    </xf>
    <xf numFmtId="0" fontId="3" fillId="0" borderId="11" xfId="0" applyFont="1" applyBorder="1"/>
    <xf numFmtId="0" fontId="19" fillId="0" borderId="12" xfId="6" applyFont="1" applyFill="1" applyBorder="1" applyAlignment="1">
      <alignment wrapText="1"/>
    </xf>
    <xf numFmtId="43" fontId="19" fillId="0" borderId="15" xfId="3" applyFont="1" applyFill="1" applyBorder="1" applyAlignment="1">
      <alignment wrapText="1"/>
    </xf>
    <xf numFmtId="0" fontId="19" fillId="0" borderId="0" xfId="6" applyFont="1" applyFill="1" applyBorder="1" applyAlignment="1">
      <alignment wrapText="1"/>
    </xf>
    <xf numFmtId="0" fontId="29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3" fontId="4" fillId="0" borderId="12" xfId="3" applyFont="1" applyBorder="1" applyAlignment="1">
      <alignment vertical="center"/>
    </xf>
    <xf numFmtId="43" fontId="19" fillId="6" borderId="0" xfId="3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43" fontId="1" fillId="0" borderId="0" xfId="3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4" fillId="0" borderId="0" xfId="0" applyFont="1" applyFill="1"/>
    <xf numFmtId="43" fontId="34" fillId="0" borderId="0" xfId="0" applyNumberFormat="1" applyFont="1"/>
    <xf numFmtId="0" fontId="13" fillId="0" borderId="2" xfId="0" applyFont="1" applyFill="1" applyBorder="1" applyAlignment="1">
      <alignment horizontal="center" vertical="top" wrapText="1"/>
    </xf>
    <xf numFmtId="43" fontId="13" fillId="0" borderId="2" xfId="3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82" fillId="0" borderId="0" xfId="0" applyFont="1" applyFill="1" applyAlignment="1">
      <alignment vertical="top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34" fillId="0" borderId="0" xfId="0" applyFont="1" applyBorder="1"/>
    <xf numFmtId="0" fontId="34" fillId="0" borderId="0" xfId="0" applyFont="1" applyFill="1" applyBorder="1"/>
    <xf numFmtId="0" fontId="41" fillId="0" borderId="0" xfId="0" applyFont="1" applyBorder="1"/>
    <xf numFmtId="0" fontId="34" fillId="0" borderId="0" xfId="0" applyFont="1" applyFill="1" applyAlignment="1">
      <alignment vertical="top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43" fontId="4" fillId="4" borderId="2" xfId="0" applyNumberFormat="1" applyFont="1" applyFill="1" applyBorder="1"/>
    <xf numFmtId="0" fontId="3" fillId="0" borderId="0" xfId="0" applyFont="1" applyBorder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53">
    <cellStyle name="20% - ส่วนที่ถูกเน้น1" xfId="28" builtinId="30" customBuiltin="1"/>
    <cellStyle name="20% - ส่วนที่ถูกเน้น2" xfId="32" builtinId="34" customBuiltin="1"/>
    <cellStyle name="20% - ส่วนที่ถูกเน้น3" xfId="36" builtinId="38" customBuiltin="1"/>
    <cellStyle name="20% - ส่วนที่ถูกเน้น4" xfId="40" builtinId="42" customBuiltin="1"/>
    <cellStyle name="20% - ส่วนที่ถูกเน้น5" xfId="44" builtinId="46" customBuiltin="1"/>
    <cellStyle name="20% - ส่วนที่ถูกเน้น6" xfId="48" builtinId="50" customBuiltin="1"/>
    <cellStyle name="40% - ส่วนที่ถูกเน้น1" xfId="29" builtinId="31" customBuiltin="1"/>
    <cellStyle name="40% - ส่วนที่ถูกเน้น2" xfId="33" builtinId="35" customBuiltin="1"/>
    <cellStyle name="40% - ส่วนที่ถูกเน้น3" xfId="37" builtinId="39" customBuiltin="1"/>
    <cellStyle name="40% - ส่วนที่ถูกเน้น4" xfId="41" builtinId="43" customBuiltin="1"/>
    <cellStyle name="40% - ส่วนที่ถูกเน้น5" xfId="45" builtinId="47" customBuiltin="1"/>
    <cellStyle name="40% - ส่วนที่ถูกเน้น6" xfId="49" builtinId="51" customBuiltin="1"/>
    <cellStyle name="60% - ส่วนที่ถูกเน้น1" xfId="30" builtinId="32" customBuiltin="1"/>
    <cellStyle name="60% - ส่วนที่ถูกเน้น2" xfId="34" builtinId="36" customBuiltin="1"/>
    <cellStyle name="60% - ส่วนที่ถูกเน้น3" xfId="38" builtinId="40" customBuiltin="1"/>
    <cellStyle name="60% - ส่วนที่ถูกเน้น4" xfId="42" builtinId="44" customBuiltin="1"/>
    <cellStyle name="60% - ส่วนที่ถูกเน้น5" xfId="46" builtinId="48" customBuiltin="1"/>
    <cellStyle name="60% - ส่วนที่ถูกเน้น6" xfId="50" builtinId="52" customBuiltin="1"/>
    <cellStyle name="Comma 2" xfId="52" xr:uid="{00000000-0005-0000-0000-000013000000}"/>
    <cellStyle name="Normal 2" xfId="5" xr:uid="{00000000-0005-0000-0000-000015000000}"/>
    <cellStyle name="Normal 2 2" xfId="51" xr:uid="{00000000-0005-0000-0000-000016000000}"/>
    <cellStyle name="Normal_Sheet2" xfId="1" xr:uid="{00000000-0005-0000-0000-000017000000}"/>
    <cellStyle name="Normal_Sheet4" xfId="2" xr:uid="{00000000-0005-0000-0000-000018000000}"/>
    <cellStyle name="Normal_Sheet7" xfId="6" xr:uid="{00000000-0005-0000-0000-000019000000}"/>
    <cellStyle name="การคำนวณ" xfId="20" builtinId="22" customBuiltin="1"/>
    <cellStyle name="ข้อความเตือน" xfId="23" builtinId="11" customBuiltin="1"/>
    <cellStyle name="ข้อความอธิบาย" xfId="25" builtinId="53" customBuiltin="1"/>
    <cellStyle name="เครื่องหมายจุลภาค 2" xfId="9" xr:uid="{00000000-0005-0000-0000-00001E000000}"/>
    <cellStyle name="จุลภาค" xfId="3" builtinId="3"/>
    <cellStyle name="ชื่อเรื่อง" xfId="10" builtinId="15" customBuiltin="1"/>
    <cellStyle name="เซลล์ตรวจสอบ" xfId="22" builtinId="23" customBuiltin="1"/>
    <cellStyle name="เซลล์ที่มีลิงก์" xfId="21" builtinId="24" customBuiltin="1"/>
    <cellStyle name="ดี" xfId="15" builtinId="26" customBuiltin="1"/>
    <cellStyle name="ปกติ" xfId="0" builtinId="0"/>
    <cellStyle name="ปกติ_Sheet1" xfId="8" xr:uid="{00000000-0005-0000-0000-000023000000}"/>
    <cellStyle name="ปกติ_Sheet7" xfId="7" xr:uid="{00000000-0005-0000-0000-000024000000}"/>
    <cellStyle name="ป้อนค่า" xfId="18" builtinId="20" customBuiltin="1"/>
    <cellStyle name="ปานกลาง" xfId="17" builtinId="28" customBuiltin="1"/>
    <cellStyle name="เปอร์เซ็นต์" xfId="4" builtinId="5"/>
    <cellStyle name="ผลรวม" xfId="26" builtinId="25" customBuiltin="1"/>
    <cellStyle name="แย่" xfId="16" builtinId="27" customBuiltin="1"/>
    <cellStyle name="ส่วนที่ถูกเน้น1" xfId="27" builtinId="29" customBuiltin="1"/>
    <cellStyle name="ส่วนที่ถูกเน้น2" xfId="31" builtinId="33" customBuiltin="1"/>
    <cellStyle name="ส่วนที่ถูกเน้น3" xfId="35" builtinId="37" customBuiltin="1"/>
    <cellStyle name="ส่วนที่ถูกเน้น4" xfId="39" builtinId="41" customBuiltin="1"/>
    <cellStyle name="ส่วนที่ถูกเน้น5" xfId="43" builtinId="45" customBuiltin="1"/>
    <cellStyle name="ส่วนที่ถูกเน้น6" xfId="47" builtinId="49" customBuiltin="1"/>
    <cellStyle name="แสดงผล" xfId="19" builtinId="21" customBuiltin="1"/>
    <cellStyle name="หมายเหตุ" xfId="24" builtinId="10" customBuiltin="1"/>
    <cellStyle name="หัวเรื่อง 1" xfId="11" builtinId="16" customBuiltin="1"/>
    <cellStyle name="หัวเรื่อง 2" xfId="12" builtinId="17" customBuiltin="1"/>
    <cellStyle name="หัวเรื่อง 3" xfId="13" builtinId="18" customBuiltin="1"/>
    <cellStyle name="หัวเรื่อง 4" xfId="14" builtinId="19" customBuiltin="1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23;&#3617;&#3591;&#3634;&#3609;&#3610;&#3633;&#3597;&#3594;&#3637;&#3592;&#3634;&#3585;&#3649;&#3615;&#3621;&#3594;&#3652;&#3604;&#3619;&#3595;&#3660;(&#3649;&#3629;&#3619;&#3660;)/&#3649;&#3612;&#3609;&#3611;&#3619;&#3632;&#3617;&#3634;&#3603;&#3585;&#3634;&#3619;&#3619;&#3634;&#3618;&#3652;&#3604;&#3657;-&#3588;&#3656;&#3634;&#3651;&#3594;&#3657;&#3592;&#3656;&#3634;&#3618;%20Planfin%20&#3611;&#3637;2562/WorkSheetPlanfinPlus2562%20V3%20&#3619;&#3614;.&#3605;&#3634;&#3614;&#3619;&#3632;&#3618;&#36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fin2562"/>
      <sheetName val="Revenue"/>
      <sheetName val="Expense"/>
      <sheetName val="HGR2560"/>
      <sheetName val="การวิเคราะห์แผน 8 แบบ"/>
      <sheetName val="Mapping60"/>
      <sheetName val="1.WS-Re-Exp"/>
      <sheetName val="งบทดลอง รพ.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1แผนลงทุน"/>
      <sheetName val="7.WS-แผน รพ.สต."/>
      <sheetName val="7.1แผน รพ.สต."/>
      <sheetName val="PlanFin Analysis"/>
      <sheetName val="WS2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>
            <v>9260589.4199999999</v>
          </cell>
        </row>
        <row r="4">
          <cell r="J4">
            <v>4638217.9405000005</v>
          </cell>
        </row>
        <row r="5">
          <cell r="J5">
            <v>1066488.8999999999</v>
          </cell>
        </row>
      </sheetData>
      <sheetData sheetId="10">
        <row r="14">
          <cell r="G14">
            <v>5029933.7</v>
          </cell>
        </row>
      </sheetData>
      <sheetData sheetId="11"/>
      <sheetData sheetId="12"/>
      <sheetData sheetId="13">
        <row r="4">
          <cell r="G4">
            <v>5145250</v>
          </cell>
        </row>
      </sheetData>
      <sheetData sheetId="14"/>
      <sheetData sheetId="15"/>
      <sheetData sheetId="16">
        <row r="4">
          <cell r="X4">
            <v>0</v>
          </cell>
          <cell r="Z4">
            <v>788239.4</v>
          </cell>
          <cell r="AA4">
            <v>238328.10780000006</v>
          </cell>
        </row>
        <row r="5">
          <cell r="X5">
            <v>0</v>
          </cell>
          <cell r="Z5">
            <v>472106.4</v>
          </cell>
          <cell r="AA5">
            <v>185093.3064</v>
          </cell>
        </row>
        <row r="6">
          <cell r="X6">
            <v>0</v>
          </cell>
          <cell r="Z6">
            <v>1174448</v>
          </cell>
          <cell r="AA6">
            <v>350387.06640000001</v>
          </cell>
        </row>
        <row r="7">
          <cell r="X7">
            <v>0</v>
          </cell>
          <cell r="Z7">
            <v>1322928</v>
          </cell>
          <cell r="AA7">
            <v>330955.83920000005</v>
          </cell>
        </row>
        <row r="8">
          <cell r="X8">
            <v>0</v>
          </cell>
          <cell r="Z8">
            <v>900651.2</v>
          </cell>
          <cell r="AA8">
            <v>205141.7628</v>
          </cell>
        </row>
        <row r="9">
          <cell r="X9">
            <v>0</v>
          </cell>
          <cell r="Z9">
            <v>805910</v>
          </cell>
          <cell r="AA9">
            <v>184432.32389999999</v>
          </cell>
        </row>
        <row r="10">
          <cell r="X10">
            <v>0</v>
          </cell>
          <cell r="Z10">
            <v>708718</v>
          </cell>
          <cell r="AA10">
            <v>133171.2653</v>
          </cell>
        </row>
        <row r="11">
          <cell r="X11">
            <v>0</v>
          </cell>
          <cell r="Z11">
            <v>527936</v>
          </cell>
          <cell r="AA11">
            <v>342782.05560000002</v>
          </cell>
        </row>
        <row r="12">
          <cell r="X12">
            <v>0</v>
          </cell>
          <cell r="Z12">
            <v>478976</v>
          </cell>
          <cell r="AA12">
            <v>212504.4792</v>
          </cell>
        </row>
        <row r="13">
          <cell r="X13">
            <v>0</v>
          </cell>
          <cell r="Z13">
            <v>528920</v>
          </cell>
          <cell r="AA13">
            <v>109606.28419999999</v>
          </cell>
        </row>
        <row r="14">
          <cell r="X14">
            <v>0</v>
          </cell>
          <cell r="Z14">
            <v>647500</v>
          </cell>
          <cell r="AA14">
            <v>199603.70499999999</v>
          </cell>
        </row>
        <row r="15">
          <cell r="X15">
            <v>0</v>
          </cell>
          <cell r="Z15">
            <v>695960</v>
          </cell>
          <cell r="AA15">
            <v>183997.9878</v>
          </cell>
        </row>
        <row r="16">
          <cell r="X16">
            <v>0</v>
          </cell>
          <cell r="Z16">
            <v>618292</v>
          </cell>
          <cell r="AA16">
            <v>131822.0289</v>
          </cell>
        </row>
        <row r="17">
          <cell r="X17">
            <v>0</v>
          </cell>
          <cell r="Z17">
            <v>427834</v>
          </cell>
          <cell r="AA17">
            <v>188693.99420000002</v>
          </cell>
        </row>
        <row r="18">
          <cell r="X18">
            <v>0</v>
          </cell>
          <cell r="Z18">
            <v>653400</v>
          </cell>
          <cell r="AA18">
            <v>108999.217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1"/>
  <sheetViews>
    <sheetView workbookViewId="0">
      <selection activeCell="B4" sqref="B4"/>
    </sheetView>
  </sheetViews>
  <sheetFormatPr defaultColWidth="9" defaultRowHeight="17.25" x14ac:dyDescent="0.4"/>
  <cols>
    <col min="1" max="1" width="16.875" style="16" customWidth="1"/>
    <col min="2" max="2" width="87.375" style="16" bestFit="1" customWidth="1"/>
    <col min="3" max="16384" width="9" style="16"/>
  </cols>
  <sheetData>
    <row r="1" spans="1:2" ht="27.75" x14ac:dyDescent="0.65">
      <c r="A1" s="66" t="s">
        <v>776</v>
      </c>
      <c r="B1" s="115" t="s">
        <v>1276</v>
      </c>
    </row>
    <row r="2" spans="1:2" ht="27.75" x14ac:dyDescent="0.65">
      <c r="A2" s="15" t="s">
        <v>1244</v>
      </c>
      <c r="B2" s="267" t="s">
        <v>1245</v>
      </c>
    </row>
    <row r="3" spans="1:2" s="21" customFormat="1" ht="24" x14ac:dyDescent="0.55000000000000004">
      <c r="A3" s="21" t="s">
        <v>786</v>
      </c>
      <c r="B3" s="21" t="s">
        <v>1248</v>
      </c>
    </row>
    <row r="4" spans="1:2" s="21" customFormat="1" ht="27.75" x14ac:dyDescent="0.65">
      <c r="B4" s="21" t="s">
        <v>1249</v>
      </c>
    </row>
    <row r="5" spans="1:2" s="21" customFormat="1" ht="24" x14ac:dyDescent="0.55000000000000004">
      <c r="B5" s="112" t="s">
        <v>780</v>
      </c>
    </row>
    <row r="6" spans="1:2" s="21" customFormat="1" ht="24" x14ac:dyDescent="0.55000000000000004">
      <c r="B6" s="113" t="s">
        <v>781</v>
      </c>
    </row>
    <row r="7" spans="1:2" s="21" customFormat="1" ht="24" x14ac:dyDescent="0.55000000000000004">
      <c r="B7" s="113" t="s">
        <v>1268</v>
      </c>
    </row>
    <row r="8" spans="1:2" s="21" customFormat="1" ht="24" x14ac:dyDescent="0.55000000000000004">
      <c r="B8" s="113" t="s">
        <v>782</v>
      </c>
    </row>
    <row r="9" spans="1:2" s="21" customFormat="1" ht="24" x14ac:dyDescent="0.55000000000000004">
      <c r="B9" s="113" t="s">
        <v>1246</v>
      </c>
    </row>
    <row r="10" spans="1:2" s="21" customFormat="1" ht="24" x14ac:dyDescent="0.55000000000000004">
      <c r="B10" s="113"/>
    </row>
    <row r="11" spans="1:2" s="21" customFormat="1" ht="24" x14ac:dyDescent="0.55000000000000004">
      <c r="B11" s="113" t="s">
        <v>1147</v>
      </c>
    </row>
    <row r="12" spans="1:2" s="21" customFormat="1" ht="24" x14ac:dyDescent="0.55000000000000004">
      <c r="B12" s="113" t="s">
        <v>1148</v>
      </c>
    </row>
    <row r="13" spans="1:2" s="21" customFormat="1" ht="24" x14ac:dyDescent="0.55000000000000004">
      <c r="B13" s="113"/>
    </row>
    <row r="14" spans="1:2" s="21" customFormat="1" ht="24" x14ac:dyDescent="0.55000000000000004">
      <c r="B14" s="113"/>
    </row>
    <row r="15" spans="1:2" s="21" customFormat="1" ht="24" x14ac:dyDescent="0.55000000000000004">
      <c r="B15" s="113"/>
    </row>
    <row r="16" spans="1:2" s="21" customFormat="1" ht="24" x14ac:dyDescent="0.55000000000000004">
      <c r="B16" s="113"/>
    </row>
    <row r="17" spans="1:2" s="21" customFormat="1" ht="24" x14ac:dyDescent="0.55000000000000004">
      <c r="B17" s="113"/>
    </row>
    <row r="18" spans="1:2" s="21" customFormat="1" ht="24" x14ac:dyDescent="0.55000000000000004">
      <c r="B18" s="113"/>
    </row>
    <row r="19" spans="1:2" s="21" customFormat="1" ht="24" x14ac:dyDescent="0.55000000000000004">
      <c r="B19" s="113"/>
    </row>
    <row r="20" spans="1:2" s="21" customFormat="1" ht="24" x14ac:dyDescent="0.55000000000000004">
      <c r="B20" s="113"/>
    </row>
    <row r="21" spans="1:2" s="21" customFormat="1" ht="24" x14ac:dyDescent="0.55000000000000004">
      <c r="B21" s="113"/>
    </row>
    <row r="22" spans="1:2" s="21" customFormat="1" ht="24" x14ac:dyDescent="0.55000000000000004">
      <c r="A22" s="7" t="s">
        <v>713</v>
      </c>
      <c r="B22" s="21" t="s">
        <v>1272</v>
      </c>
    </row>
    <row r="23" spans="1:2" s="21" customFormat="1" ht="24" x14ac:dyDescent="0.55000000000000004">
      <c r="A23" s="7"/>
      <c r="B23" s="21" t="s">
        <v>1250</v>
      </c>
    </row>
    <row r="24" spans="1:2" s="21" customFormat="1" ht="24" x14ac:dyDescent="0.55000000000000004">
      <c r="A24" s="7"/>
      <c r="B24" s="21" t="s">
        <v>784</v>
      </c>
    </row>
    <row r="25" spans="1:2" s="21" customFormat="1" ht="24" x14ac:dyDescent="0.55000000000000004">
      <c r="A25" s="7" t="s">
        <v>777</v>
      </c>
      <c r="B25" s="21" t="s">
        <v>785</v>
      </c>
    </row>
    <row r="26" spans="1:2" s="21" customFormat="1" ht="48" x14ac:dyDescent="0.55000000000000004">
      <c r="A26" s="269" t="s">
        <v>1270</v>
      </c>
      <c r="B26" s="268" t="s">
        <v>1273</v>
      </c>
    </row>
    <row r="27" spans="1:2" s="21" customFormat="1" ht="24" x14ac:dyDescent="0.55000000000000004">
      <c r="A27" s="7"/>
      <c r="B27" s="21" t="s">
        <v>778</v>
      </c>
    </row>
    <row r="28" spans="1:2" s="21" customFormat="1" ht="24" x14ac:dyDescent="0.55000000000000004">
      <c r="A28" s="7"/>
      <c r="B28" s="21" t="s">
        <v>779</v>
      </c>
    </row>
    <row r="29" spans="1:2" ht="24" x14ac:dyDescent="0.55000000000000004">
      <c r="A29" s="121"/>
      <c r="B29" s="21" t="s">
        <v>1269</v>
      </c>
    </row>
    <row r="30" spans="1:2" s="21" customFormat="1" ht="24" x14ac:dyDescent="0.55000000000000004">
      <c r="A30" s="269" t="s">
        <v>1271</v>
      </c>
      <c r="B30" s="268" t="s">
        <v>1251</v>
      </c>
    </row>
    <row r="31" spans="1:2" ht="24" x14ac:dyDescent="0.55000000000000004">
      <c r="B31" s="21" t="s">
        <v>1247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5"/>
  <sheetViews>
    <sheetView zoomScale="70" zoomScaleNormal="7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A16" sqref="A16:A17"/>
    </sheetView>
  </sheetViews>
  <sheetFormatPr defaultColWidth="9" defaultRowHeight="22.5" x14ac:dyDescent="0.3"/>
  <cols>
    <col min="1" max="1" width="29.375" style="60" customWidth="1"/>
    <col min="2" max="2" width="15.75" style="60" customWidth="1"/>
    <col min="3" max="3" width="14.625" style="60" customWidth="1"/>
    <col min="4" max="4" width="15.25" style="60" customWidth="1"/>
    <col min="5" max="5" width="15.875" style="60" customWidth="1"/>
    <col min="6" max="6" width="17.75" style="60" customWidth="1"/>
    <col min="7" max="7" width="16.625" style="60" customWidth="1"/>
    <col min="8" max="8" width="18.875" style="60" customWidth="1"/>
    <col min="9" max="10" width="18.25" style="60" customWidth="1"/>
    <col min="11" max="11" width="16.125" style="309" customWidth="1"/>
    <col min="12" max="12" width="19.75" style="60" customWidth="1"/>
    <col min="13" max="13" width="14.375" style="60" bestFit="1" customWidth="1"/>
    <col min="14" max="14" width="15.5" style="60" customWidth="1"/>
    <col min="15" max="16384" width="9" style="60"/>
  </cols>
  <sheetData>
    <row r="1" spans="1:15" ht="27.75" x14ac:dyDescent="0.3">
      <c r="A1" s="602" t="s">
        <v>674</v>
      </c>
      <c r="B1" s="602"/>
      <c r="C1" s="602"/>
      <c r="D1" s="602"/>
      <c r="E1" s="602"/>
      <c r="F1" s="602"/>
      <c r="G1" s="602"/>
      <c r="H1" s="602"/>
      <c r="I1" s="602"/>
      <c r="J1" s="602"/>
    </row>
    <row r="2" spans="1:15" s="158" customFormat="1" ht="72" x14ac:dyDescent="0.25">
      <c r="A2" s="17" t="s">
        <v>727</v>
      </c>
      <c r="B2" s="4" t="s">
        <v>1353</v>
      </c>
      <c r="C2" s="4" t="s">
        <v>1352</v>
      </c>
      <c r="D2" s="4" t="s">
        <v>1351</v>
      </c>
      <c r="E2" s="4" t="s">
        <v>1350</v>
      </c>
      <c r="F2" s="4" t="s">
        <v>1349</v>
      </c>
      <c r="G2" s="4" t="s">
        <v>1348</v>
      </c>
      <c r="H2" s="159" t="s">
        <v>1347</v>
      </c>
      <c r="I2" s="4" t="s">
        <v>1345</v>
      </c>
      <c r="J2" s="159" t="s">
        <v>1346</v>
      </c>
      <c r="K2" s="318"/>
      <c r="L2" s="319"/>
    </row>
    <row r="3" spans="1:15" s="110" customFormat="1" ht="24" x14ac:dyDescent="0.55000000000000004">
      <c r="A3" s="107" t="s">
        <v>594</v>
      </c>
      <c r="B3" s="108">
        <v>5780939.9699999997</v>
      </c>
      <c r="C3" s="108">
        <v>6990028.2436363632</v>
      </c>
      <c r="D3" s="109">
        <v>7098889.7333333334</v>
      </c>
      <c r="E3" s="109">
        <v>8101127.293333333</v>
      </c>
      <c r="F3" s="109">
        <v>3222232.6933333329</v>
      </c>
      <c r="G3" s="109">
        <v>0</v>
      </c>
      <c r="H3" s="160">
        <f>SUM(E3:G3)</f>
        <v>11323359.986666666</v>
      </c>
      <c r="I3" s="109">
        <v>3173804.74</v>
      </c>
      <c r="J3" s="160">
        <f>N19+N20</f>
        <v>9077064.7300000004</v>
      </c>
      <c r="K3" s="309"/>
    </row>
    <row r="4" spans="1:15" s="110" customFormat="1" ht="24" x14ac:dyDescent="0.55000000000000004">
      <c r="A4" s="31" t="s">
        <v>728</v>
      </c>
      <c r="B4" s="108">
        <v>2420016.2945454544</v>
      </c>
      <c r="C4" s="108">
        <v>3825025.2436363632</v>
      </c>
      <c r="D4" s="109">
        <v>2992837.6933333329</v>
      </c>
      <c r="E4" s="109">
        <v>2531041.0799999996</v>
      </c>
      <c r="F4" s="109">
        <v>284834.5333333335</v>
      </c>
      <c r="G4" s="109">
        <v>0</v>
      </c>
      <c r="H4" s="160">
        <f>SUM(E4:G4)</f>
        <v>2815875.6133333333</v>
      </c>
      <c r="I4" s="109">
        <v>1106465.8</v>
      </c>
      <c r="J4" s="160">
        <f>N23</f>
        <v>4348933.9105000002</v>
      </c>
      <c r="K4" s="317"/>
      <c r="L4" s="369"/>
      <c r="M4" s="369"/>
    </row>
    <row r="5" spans="1:15" s="110" customFormat="1" ht="24" x14ac:dyDescent="0.55000000000000004">
      <c r="A5" s="31" t="s">
        <v>729</v>
      </c>
      <c r="B5" s="108">
        <v>1884092.9454545453</v>
      </c>
      <c r="C5" s="108">
        <v>1827152.7272727271</v>
      </c>
      <c r="D5" s="109">
        <v>1768773.3333333335</v>
      </c>
      <c r="E5" s="109">
        <v>1760663.0933333333</v>
      </c>
      <c r="F5" s="109">
        <v>960</v>
      </c>
      <c r="G5" s="109">
        <v>0</v>
      </c>
      <c r="H5" s="160">
        <f>SUM(E5:G5)</f>
        <v>1761623.0933333333</v>
      </c>
      <c r="I5" s="109">
        <v>292233.8</v>
      </c>
      <c r="J5" s="160">
        <f>N32</f>
        <v>1016884.12</v>
      </c>
      <c r="K5" s="309"/>
    </row>
    <row r="6" spans="1:15" ht="26.25" x14ac:dyDescent="0.55000000000000004">
      <c r="A6" s="603" t="s">
        <v>637</v>
      </c>
      <c r="B6" s="603"/>
      <c r="C6" s="603"/>
      <c r="D6" s="603"/>
      <c r="E6" s="603"/>
      <c r="F6" s="603"/>
      <c r="G6" s="603"/>
      <c r="H6" s="603"/>
      <c r="I6" s="603"/>
      <c r="J6" s="163">
        <f>SUM(J3:J5)</f>
        <v>14442882.760500001</v>
      </c>
    </row>
    <row r="7" spans="1:15" s="359" customFormat="1" ht="28.5" thickBot="1" x14ac:dyDescent="0.7">
      <c r="A7" s="21" t="s">
        <v>1386</v>
      </c>
      <c r="B7" s="394"/>
      <c r="C7" s="394"/>
      <c r="D7" s="394"/>
      <c r="E7" s="394"/>
      <c r="F7" s="394"/>
      <c r="G7" s="394"/>
      <c r="H7" s="394"/>
      <c r="I7" s="394"/>
      <c r="J7" s="395"/>
      <c r="O7" s="401"/>
    </row>
    <row r="8" spans="1:15" s="359" customFormat="1" ht="28.5" thickBot="1" x14ac:dyDescent="0.7">
      <c r="A8" s="21" t="s">
        <v>1387</v>
      </c>
      <c r="B8" s="394"/>
      <c r="C8" s="402" t="s">
        <v>594</v>
      </c>
      <c r="D8" s="21"/>
      <c r="E8" s="403" t="s">
        <v>728</v>
      </c>
      <c r="F8" s="394"/>
      <c r="G8" s="404" t="s">
        <v>729</v>
      </c>
      <c r="H8" s="404"/>
      <c r="I8" s="405" t="s">
        <v>1392</v>
      </c>
      <c r="J8" s="406"/>
      <c r="O8" s="401"/>
    </row>
    <row r="9" spans="1:15" s="15" customFormat="1" ht="27.75" x14ac:dyDescent="0.65">
      <c r="A9" s="21" t="s">
        <v>1388</v>
      </c>
      <c r="C9" s="419">
        <f>Planfin2562!E18</f>
        <v>8252608.1900000004</v>
      </c>
      <c r="D9" s="113"/>
      <c r="E9" s="420">
        <f>Planfin2562!E19</f>
        <v>2310000</v>
      </c>
      <c r="F9" s="113"/>
      <c r="G9" s="420">
        <f>Planfin2562!E21</f>
        <v>1066488.8999999999</v>
      </c>
      <c r="H9" s="21"/>
      <c r="I9" s="407">
        <v>60</v>
      </c>
      <c r="J9" s="408" t="s">
        <v>1393</v>
      </c>
      <c r="O9" s="164"/>
    </row>
    <row r="10" spans="1:15" s="15" customFormat="1" ht="27.75" x14ac:dyDescent="0.65">
      <c r="A10" s="21" t="s">
        <v>1389</v>
      </c>
      <c r="C10" s="22">
        <v>1356600</v>
      </c>
      <c r="D10" s="21"/>
      <c r="E10" s="22">
        <v>453700</v>
      </c>
      <c r="F10" s="21"/>
      <c r="G10" s="315">
        <v>175315</v>
      </c>
      <c r="H10" s="22"/>
      <c r="I10" s="407">
        <f>I11/365</f>
        <v>2921.8873972602737</v>
      </c>
      <c r="J10" s="409" t="s">
        <v>1394</v>
      </c>
      <c r="K10" s="164"/>
      <c r="O10" s="164"/>
    </row>
    <row r="11" spans="1:15" s="15" customFormat="1" ht="27.75" x14ac:dyDescent="0.65">
      <c r="A11" s="21" t="s">
        <v>1390</v>
      </c>
      <c r="C11" s="22">
        <f>+C9/C10</f>
        <v>6.083302513637034</v>
      </c>
      <c r="D11" s="21" t="s">
        <v>1395</v>
      </c>
      <c r="E11" s="22">
        <f>+E9/E10</f>
        <v>5.091470134450077</v>
      </c>
      <c r="F11" s="21" t="s">
        <v>1395</v>
      </c>
      <c r="G11" s="22">
        <f>+G9/G10</f>
        <v>6.0832723954025605</v>
      </c>
      <c r="H11" s="22" t="s">
        <v>1395</v>
      </c>
      <c r="I11" s="407">
        <f>G9</f>
        <v>1066488.8999999999</v>
      </c>
      <c r="J11" s="409" t="s">
        <v>1396</v>
      </c>
      <c r="K11" s="360"/>
      <c r="O11" s="164"/>
    </row>
    <row r="12" spans="1:15" s="15" customFormat="1" ht="28.5" thickBot="1" x14ac:dyDescent="0.7">
      <c r="A12" s="21" t="s">
        <v>1391</v>
      </c>
      <c r="C12" s="22">
        <f>365/C11</f>
        <v>60.00030397662681</v>
      </c>
      <c r="D12" s="21" t="s">
        <v>1397</v>
      </c>
      <c r="E12" s="22">
        <f>365/E11</f>
        <v>71.688528138528142</v>
      </c>
      <c r="F12" s="21" t="s">
        <v>1397</v>
      </c>
      <c r="G12" s="22">
        <f>365/G11</f>
        <v>60.000601037666691</v>
      </c>
      <c r="H12" s="22" t="s">
        <v>1397</v>
      </c>
      <c r="I12" s="410">
        <f>I10*I9</f>
        <v>175313.24383561642</v>
      </c>
      <c r="J12" s="411" t="s">
        <v>1398</v>
      </c>
      <c r="O12" s="164"/>
    </row>
    <row r="13" spans="1:15" s="15" customFormat="1" ht="27.75" x14ac:dyDescent="0.65">
      <c r="O13" s="164"/>
    </row>
    <row r="14" spans="1:15" s="15" customFormat="1" ht="27.75" x14ac:dyDescent="0.65">
      <c r="O14" s="164"/>
    </row>
    <row r="15" spans="1:15" s="15" customFormat="1" ht="27.75" x14ac:dyDescent="0.65">
      <c r="A15" s="7" t="s">
        <v>1513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</row>
    <row r="16" spans="1:15" s="15" customFormat="1" ht="27.75" x14ac:dyDescent="0.65">
      <c r="A16" s="604" t="s">
        <v>727</v>
      </c>
      <c r="B16" s="598" t="s">
        <v>1520</v>
      </c>
      <c r="C16" s="598" t="s">
        <v>1521</v>
      </c>
      <c r="D16" s="598" t="s">
        <v>1522</v>
      </c>
      <c r="E16" s="598" t="s">
        <v>1523</v>
      </c>
      <c r="F16" s="598" t="s">
        <v>1524</v>
      </c>
      <c r="G16" s="598" t="s">
        <v>1525</v>
      </c>
      <c r="H16" s="598" t="s">
        <v>1526</v>
      </c>
      <c r="I16" s="598" t="s">
        <v>1527</v>
      </c>
      <c r="J16" s="598" t="s">
        <v>1528</v>
      </c>
      <c r="K16" s="598" t="s">
        <v>1529</v>
      </c>
      <c r="L16" s="600" t="s">
        <v>1530</v>
      </c>
      <c r="M16" s="601"/>
      <c r="N16" s="598" t="s">
        <v>1531</v>
      </c>
      <c r="O16" s="22"/>
    </row>
    <row r="17" spans="1:15" s="15" customFormat="1" ht="48" x14ac:dyDescent="0.65">
      <c r="A17" s="605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396" t="s">
        <v>1532</v>
      </c>
      <c r="M17" s="396" t="s">
        <v>1533</v>
      </c>
      <c r="N17" s="599"/>
      <c r="O17" s="22"/>
    </row>
    <row r="18" spans="1:15" s="66" customFormat="1" ht="27.75" x14ac:dyDescent="0.65">
      <c r="A18" s="412" t="s">
        <v>1534</v>
      </c>
      <c r="B18" s="413">
        <f>SUM(B19:B22)</f>
        <v>5324167.3</v>
      </c>
      <c r="C18" s="413">
        <f t="shared" ref="C18:G18" si="0">SUM(C19:C22)</f>
        <v>591574.14444444433</v>
      </c>
      <c r="D18" s="413">
        <f t="shared" si="0"/>
        <v>7098889.7333333334</v>
      </c>
      <c r="E18" s="413">
        <f t="shared" si="0"/>
        <v>6075845.4700000007</v>
      </c>
      <c r="F18" s="413">
        <f t="shared" si="0"/>
        <v>675093.94111111108</v>
      </c>
      <c r="G18" s="413">
        <f t="shared" si="0"/>
        <v>8101127.293333333</v>
      </c>
      <c r="H18" s="413">
        <f>SUM(H19:H22)</f>
        <v>2416674.5199999996</v>
      </c>
      <c r="I18" s="413">
        <f t="shared" ref="I18:N18" si="1">SUM(I19:I22)</f>
        <v>268519.39111111104</v>
      </c>
      <c r="J18" s="413">
        <f t="shared" si="1"/>
        <v>9251235.0500000007</v>
      </c>
      <c r="K18" s="413">
        <f t="shared" si="1"/>
        <v>3173804.74</v>
      </c>
      <c r="L18" s="413">
        <f t="shared" si="1"/>
        <v>6836505.7521666661</v>
      </c>
      <c r="M18" s="413">
        <f t="shared" si="1"/>
        <v>2514679.9778333339</v>
      </c>
      <c r="N18" s="413">
        <f t="shared" si="1"/>
        <v>9351185.7300000004</v>
      </c>
      <c r="O18" s="321"/>
    </row>
    <row r="19" spans="1:15" s="15" customFormat="1" ht="27.75" x14ac:dyDescent="0.65">
      <c r="A19" s="107" t="s">
        <v>594</v>
      </c>
      <c r="B19" s="109">
        <v>5278667.3</v>
      </c>
      <c r="C19" s="109">
        <f>B19/9</f>
        <v>586518.58888888883</v>
      </c>
      <c r="D19" s="109">
        <f>C19*12</f>
        <v>7038223.0666666664</v>
      </c>
      <c r="E19" s="109">
        <v>4284827.03</v>
      </c>
      <c r="F19" s="397">
        <f>E19/9</f>
        <v>476091.89222222223</v>
      </c>
      <c r="G19" s="316">
        <f>F19*12</f>
        <v>5713102.706666667</v>
      </c>
      <c r="H19" s="109">
        <f>4759433.02-E19</f>
        <v>474605.98999999929</v>
      </c>
      <c r="I19" s="19">
        <f>H19/9</f>
        <v>52733.998888888811</v>
      </c>
      <c r="J19" s="371">
        <f>I19*12</f>
        <v>632807.98666666576</v>
      </c>
      <c r="K19" s="347">
        <v>1406674.62</v>
      </c>
      <c r="L19" s="422">
        <v>6372610.7521666661</v>
      </c>
      <c r="M19" s="422">
        <v>2117234.9778333339</v>
      </c>
      <c r="N19" s="398">
        <f>SUM(L19:M19)</f>
        <v>8489845.7300000004</v>
      </c>
      <c r="O19" s="22"/>
    </row>
    <row r="20" spans="1:15" s="15" customFormat="1" ht="27.75" x14ac:dyDescent="0.65">
      <c r="A20" s="107" t="s">
        <v>1535</v>
      </c>
      <c r="B20" s="109">
        <v>45500</v>
      </c>
      <c r="C20" s="109">
        <f>B20/9</f>
        <v>5055.5555555555557</v>
      </c>
      <c r="D20" s="109">
        <f>C20*12</f>
        <v>60666.666666666672</v>
      </c>
      <c r="E20" s="109">
        <v>22408</v>
      </c>
      <c r="F20" s="397">
        <f>E20/9</f>
        <v>2489.7777777777778</v>
      </c>
      <c r="G20" s="316">
        <f>F20*12</f>
        <v>29877.333333333336</v>
      </c>
      <c r="H20" s="109">
        <f>41848-E20</f>
        <v>19440</v>
      </c>
      <c r="I20" s="19">
        <f>H20/9</f>
        <v>2160</v>
      </c>
      <c r="J20" s="371">
        <f>I20*12</f>
        <v>25920</v>
      </c>
      <c r="K20" s="347">
        <v>7872</v>
      </c>
      <c r="L20" s="423">
        <v>189774</v>
      </c>
      <c r="M20" s="397">
        <v>397445</v>
      </c>
      <c r="N20" s="398">
        <f>SUM(L20:M20)</f>
        <v>587219</v>
      </c>
      <c r="O20" s="22"/>
    </row>
    <row r="21" spans="1:15" s="15" customFormat="1" ht="27.75" x14ac:dyDescent="0.65">
      <c r="A21" s="107" t="s">
        <v>1536</v>
      </c>
      <c r="B21" s="109">
        <v>0</v>
      </c>
      <c r="C21" s="109">
        <f t="shared" ref="C21:C22" si="2">B21/9</f>
        <v>0</v>
      </c>
      <c r="D21" s="109">
        <f t="shared" ref="D21:D22" si="3">C21*12</f>
        <v>0</v>
      </c>
      <c r="E21" s="109">
        <v>1715176.44</v>
      </c>
      <c r="F21" s="397">
        <f t="shared" ref="F21:F22" si="4">E21/9</f>
        <v>190575.16</v>
      </c>
      <c r="G21" s="316">
        <f t="shared" ref="G21:G22" si="5">F21*12</f>
        <v>2286901.92</v>
      </c>
      <c r="H21" s="109">
        <f>3560808.97-E21</f>
        <v>1845632.5300000003</v>
      </c>
      <c r="I21" s="19">
        <f>H21/9</f>
        <v>205070.28111111114</v>
      </c>
      <c r="J21" s="371">
        <v>8489845.7300000004</v>
      </c>
      <c r="K21" s="347">
        <v>1742933.12</v>
      </c>
      <c r="L21" s="422">
        <v>0</v>
      </c>
      <c r="M21" s="422">
        <v>0</v>
      </c>
      <c r="N21" s="398">
        <f t="shared" ref="N21:N22" si="6">SUM(L21:M21)</f>
        <v>0</v>
      </c>
      <c r="O21" s="22"/>
    </row>
    <row r="22" spans="1:15" s="15" customFormat="1" ht="27.75" x14ac:dyDescent="0.65">
      <c r="A22" s="107" t="s">
        <v>1537</v>
      </c>
      <c r="B22" s="109">
        <v>0</v>
      </c>
      <c r="C22" s="109">
        <f t="shared" si="2"/>
        <v>0</v>
      </c>
      <c r="D22" s="109">
        <f t="shared" si="3"/>
        <v>0</v>
      </c>
      <c r="E22" s="109">
        <v>53434</v>
      </c>
      <c r="F22" s="397">
        <f t="shared" si="4"/>
        <v>5937.1111111111113</v>
      </c>
      <c r="G22" s="316">
        <f t="shared" si="5"/>
        <v>71245.333333333343</v>
      </c>
      <c r="H22" s="109">
        <f>130430-E22</f>
        <v>76996</v>
      </c>
      <c r="I22" s="19">
        <f t="shared" ref="I22:I32" si="7">H22/9</f>
        <v>8555.1111111111113</v>
      </c>
      <c r="J22" s="371">
        <f t="shared" ref="J22" si="8">I22*12</f>
        <v>102661.33333333334</v>
      </c>
      <c r="K22" s="347">
        <v>16325</v>
      </c>
      <c r="L22" s="423">
        <v>274121</v>
      </c>
      <c r="M22" s="397">
        <v>0</v>
      </c>
      <c r="N22" s="398">
        <f t="shared" si="6"/>
        <v>274121</v>
      </c>
      <c r="O22" s="22"/>
    </row>
    <row r="23" spans="1:15" s="66" customFormat="1" ht="27.75" x14ac:dyDescent="0.65">
      <c r="A23" s="322" t="s">
        <v>1538</v>
      </c>
      <c r="B23" s="414">
        <f>SUM(B24:B31)</f>
        <v>2244628.27</v>
      </c>
      <c r="C23" s="414">
        <f t="shared" ref="C23:M23" si="9">SUM(C24:C31)</f>
        <v>249403.14111111112</v>
      </c>
      <c r="D23" s="414">
        <f t="shared" si="9"/>
        <v>2992837.6933333329</v>
      </c>
      <c r="E23" s="414">
        <f t="shared" si="9"/>
        <v>1898280.8099999998</v>
      </c>
      <c r="F23" s="414">
        <f t="shared" si="9"/>
        <v>210920.09</v>
      </c>
      <c r="G23" s="414">
        <f t="shared" si="9"/>
        <v>2531041.0799999996</v>
      </c>
      <c r="H23" s="414">
        <f t="shared" si="9"/>
        <v>213625.90000000011</v>
      </c>
      <c r="I23" s="414">
        <f t="shared" si="9"/>
        <v>23736.211111111126</v>
      </c>
      <c r="J23" s="414">
        <f t="shared" si="9"/>
        <v>284834.5333333335</v>
      </c>
      <c r="K23" s="414">
        <f t="shared" si="9"/>
        <v>1106465.8</v>
      </c>
      <c r="L23" s="414">
        <f t="shared" si="9"/>
        <v>3875204.26</v>
      </c>
      <c r="M23" s="414">
        <f t="shared" si="9"/>
        <v>473729.65050000005</v>
      </c>
      <c r="N23" s="414">
        <f>SUM(N24:N31)</f>
        <v>4348933.9105000002</v>
      </c>
      <c r="O23" s="321"/>
    </row>
    <row r="24" spans="1:15" s="15" customFormat="1" ht="27.75" x14ac:dyDescent="0.65">
      <c r="A24" s="31" t="s">
        <v>1514</v>
      </c>
      <c r="B24" s="109">
        <v>116750</v>
      </c>
      <c r="C24" s="109">
        <f t="shared" ref="C24:C32" si="10">B24/9</f>
        <v>12972.222222222223</v>
      </c>
      <c r="D24" s="109">
        <f t="shared" ref="D24:D32" si="11">C24*12</f>
        <v>155666.66666666669</v>
      </c>
      <c r="E24" s="109">
        <v>89566</v>
      </c>
      <c r="F24" s="397">
        <f t="shared" ref="F24:F32" si="12">E24/9</f>
        <v>9951.7777777777774</v>
      </c>
      <c r="G24" s="316">
        <f t="shared" ref="G24:G32" si="13">F24*12</f>
        <v>119421.33333333333</v>
      </c>
      <c r="H24" s="109">
        <f>101765-E24</f>
        <v>12199</v>
      </c>
      <c r="I24" s="19">
        <f t="shared" si="7"/>
        <v>1355.4444444444443</v>
      </c>
      <c r="J24" s="371">
        <f t="shared" ref="J24:J32" si="14">I24*12</f>
        <v>16265.333333333332</v>
      </c>
      <c r="K24" s="19">
        <v>33160</v>
      </c>
      <c r="L24" s="422">
        <v>116635</v>
      </c>
      <c r="M24" s="422">
        <v>16785</v>
      </c>
      <c r="N24" s="399">
        <f>L24+M24</f>
        <v>133420</v>
      </c>
      <c r="O24" s="415"/>
    </row>
    <row r="25" spans="1:15" s="15" customFormat="1" ht="27.75" x14ac:dyDescent="0.65">
      <c r="A25" s="31" t="s">
        <v>1515</v>
      </c>
      <c r="B25" s="109">
        <v>178347.6</v>
      </c>
      <c r="C25" s="109">
        <f t="shared" si="10"/>
        <v>19816.400000000001</v>
      </c>
      <c r="D25" s="109">
        <f t="shared" si="11"/>
        <v>237796.80000000002</v>
      </c>
      <c r="E25" s="109">
        <v>174741.7</v>
      </c>
      <c r="F25" s="397">
        <f t="shared" si="12"/>
        <v>19415.744444444445</v>
      </c>
      <c r="G25" s="316">
        <f t="shared" si="13"/>
        <v>232988.93333333335</v>
      </c>
      <c r="H25" s="109">
        <v>0</v>
      </c>
      <c r="I25" s="19">
        <f t="shared" si="7"/>
        <v>0</v>
      </c>
      <c r="J25" s="371">
        <f t="shared" si="14"/>
        <v>0</v>
      </c>
      <c r="K25" s="19">
        <v>4536.8</v>
      </c>
      <c r="L25" s="397">
        <f>353100-M25</f>
        <v>299172</v>
      </c>
      <c r="M25" s="397">
        <f>3595.2*15</f>
        <v>53928</v>
      </c>
      <c r="N25" s="398">
        <f t="shared" ref="N25:N30" si="15">SUM(L25:M25)</f>
        <v>353100</v>
      </c>
      <c r="O25" s="22"/>
    </row>
    <row r="26" spans="1:15" s="15" customFormat="1" ht="27.75" x14ac:dyDescent="0.65">
      <c r="A26" s="31" t="s">
        <v>1539</v>
      </c>
      <c r="B26" s="109">
        <v>1058685.79</v>
      </c>
      <c r="C26" s="109">
        <f t="shared" si="10"/>
        <v>117631.75444444445</v>
      </c>
      <c r="D26" s="109">
        <f t="shared" si="11"/>
        <v>1411581.0533333335</v>
      </c>
      <c r="E26" s="109">
        <v>861344.33</v>
      </c>
      <c r="F26" s="397">
        <f t="shared" si="12"/>
        <v>95704.925555555557</v>
      </c>
      <c r="G26" s="316">
        <f t="shared" si="13"/>
        <v>1148459.1066666667</v>
      </c>
      <c r="H26" s="109">
        <f>1001106.13-E26</f>
        <v>139761.80000000005</v>
      </c>
      <c r="I26" s="19">
        <f t="shared" si="7"/>
        <v>15529.088888888895</v>
      </c>
      <c r="J26" s="371">
        <f t="shared" si="14"/>
        <v>186349.06666666674</v>
      </c>
      <c r="K26" s="19">
        <v>629051.65</v>
      </c>
      <c r="L26" s="397">
        <v>2089799.4</v>
      </c>
      <c r="M26" s="397">
        <v>318535.65050000005</v>
      </c>
      <c r="N26" s="398">
        <f t="shared" si="15"/>
        <v>2408335.0504999999</v>
      </c>
      <c r="O26" s="22"/>
    </row>
    <row r="27" spans="1:15" s="15" customFormat="1" ht="27.75" x14ac:dyDescent="0.65">
      <c r="A27" s="31" t="s">
        <v>1516</v>
      </c>
      <c r="B27" s="109">
        <v>449195</v>
      </c>
      <c r="C27" s="109">
        <f t="shared" si="10"/>
        <v>49910.555555555555</v>
      </c>
      <c r="D27" s="109">
        <f t="shared" si="11"/>
        <v>598926.66666666663</v>
      </c>
      <c r="E27" s="109">
        <v>512873.42</v>
      </c>
      <c r="F27" s="397">
        <f t="shared" si="12"/>
        <v>56985.935555555552</v>
      </c>
      <c r="G27" s="316">
        <f t="shared" si="13"/>
        <v>683831.22666666657</v>
      </c>
      <c r="H27" s="109">
        <f>529910.92-E27</f>
        <v>17037.500000000058</v>
      </c>
      <c r="I27" s="19">
        <f t="shared" si="7"/>
        <v>1893.055555555562</v>
      </c>
      <c r="J27" s="371">
        <f t="shared" si="14"/>
        <v>22716.666666666744</v>
      </c>
      <c r="K27" s="19">
        <v>128027</v>
      </c>
      <c r="L27" s="397">
        <v>865733.64</v>
      </c>
      <c r="M27" s="397"/>
      <c r="N27" s="398">
        <f t="shared" si="15"/>
        <v>865733.64</v>
      </c>
      <c r="O27" s="22"/>
    </row>
    <row r="28" spans="1:15" s="15" customFormat="1" ht="27.75" x14ac:dyDescent="0.65">
      <c r="A28" s="31" t="s">
        <v>1540</v>
      </c>
      <c r="B28" s="109">
        <v>0</v>
      </c>
      <c r="C28" s="109">
        <f t="shared" si="10"/>
        <v>0</v>
      </c>
      <c r="D28" s="109">
        <f t="shared" si="11"/>
        <v>0</v>
      </c>
      <c r="E28" s="109">
        <v>0</v>
      </c>
      <c r="F28" s="397">
        <f t="shared" si="12"/>
        <v>0</v>
      </c>
      <c r="G28" s="316">
        <f t="shared" si="13"/>
        <v>0</v>
      </c>
      <c r="H28" s="109">
        <v>0</v>
      </c>
      <c r="I28" s="19">
        <f t="shared" si="7"/>
        <v>0</v>
      </c>
      <c r="J28" s="371">
        <f t="shared" si="14"/>
        <v>0</v>
      </c>
      <c r="K28" s="19">
        <v>1947.68</v>
      </c>
      <c r="L28" s="397">
        <v>0</v>
      </c>
      <c r="M28" s="397">
        <v>0</v>
      </c>
      <c r="N28" s="398">
        <f t="shared" si="15"/>
        <v>0</v>
      </c>
      <c r="O28" s="22"/>
    </row>
    <row r="29" spans="1:15" s="15" customFormat="1" ht="27.75" x14ac:dyDescent="0.65">
      <c r="A29" s="31" t="s">
        <v>1518</v>
      </c>
      <c r="B29" s="109">
        <v>91687.15</v>
      </c>
      <c r="C29" s="109">
        <f t="shared" si="10"/>
        <v>10187.46111111111</v>
      </c>
      <c r="D29" s="109">
        <f t="shared" si="11"/>
        <v>122249.53333333333</v>
      </c>
      <c r="E29" s="109">
        <v>111187.15</v>
      </c>
      <c r="F29" s="397">
        <f t="shared" si="12"/>
        <v>12354.127777777778</v>
      </c>
      <c r="G29" s="316">
        <f t="shared" si="13"/>
        <v>148249.53333333333</v>
      </c>
      <c r="H29" s="109">
        <v>0</v>
      </c>
      <c r="I29" s="19">
        <f t="shared" si="7"/>
        <v>0</v>
      </c>
      <c r="J29" s="371">
        <f t="shared" si="14"/>
        <v>0</v>
      </c>
      <c r="K29" s="19">
        <v>34850</v>
      </c>
      <c r="L29" s="397">
        <v>85650</v>
      </c>
      <c r="M29" s="397">
        <v>0</v>
      </c>
      <c r="N29" s="398">
        <f t="shared" si="15"/>
        <v>85650</v>
      </c>
      <c r="O29" s="415"/>
    </row>
    <row r="30" spans="1:15" s="15" customFormat="1" ht="27.75" x14ac:dyDescent="0.65">
      <c r="A30" s="31" t="s">
        <v>1517</v>
      </c>
      <c r="B30" s="109"/>
      <c r="C30" s="109"/>
      <c r="D30" s="109"/>
      <c r="E30" s="109"/>
      <c r="F30" s="397"/>
      <c r="G30" s="316"/>
      <c r="H30" s="109"/>
      <c r="I30" s="19"/>
      <c r="J30" s="371"/>
      <c r="K30" s="19"/>
      <c r="L30" s="397">
        <v>21280</v>
      </c>
      <c r="M30" s="397">
        <v>0</v>
      </c>
      <c r="N30" s="398">
        <f t="shared" si="15"/>
        <v>21280</v>
      </c>
      <c r="O30" s="22"/>
    </row>
    <row r="31" spans="1:15" s="15" customFormat="1" ht="27.75" x14ac:dyDescent="0.65">
      <c r="A31" s="31" t="s">
        <v>1519</v>
      </c>
      <c r="B31" s="109">
        <v>349962.73</v>
      </c>
      <c r="C31" s="109">
        <f t="shared" si="10"/>
        <v>38884.747777777775</v>
      </c>
      <c r="D31" s="109">
        <f t="shared" si="11"/>
        <v>466616.97333333327</v>
      </c>
      <c r="E31" s="400">
        <v>148568.21</v>
      </c>
      <c r="F31" s="397">
        <f t="shared" si="12"/>
        <v>16507.578888888889</v>
      </c>
      <c r="G31" s="316">
        <f t="shared" si="13"/>
        <v>198090.94666666666</v>
      </c>
      <c r="H31" s="109">
        <f>193195.81-E31</f>
        <v>44627.600000000006</v>
      </c>
      <c r="I31" s="19">
        <f t="shared" si="7"/>
        <v>4958.6222222222232</v>
      </c>
      <c r="J31" s="371">
        <f t="shared" si="14"/>
        <v>59503.466666666674</v>
      </c>
      <c r="K31" s="19">
        <v>274892.67</v>
      </c>
      <c r="L31" s="397">
        <v>396934.22</v>
      </c>
      <c r="M31" s="397">
        <v>84481</v>
      </c>
      <c r="N31" s="398">
        <f>SUM(L31:M31)</f>
        <v>481415.22</v>
      </c>
      <c r="O31" s="415"/>
    </row>
    <row r="32" spans="1:15" s="66" customFormat="1" ht="27.75" x14ac:dyDescent="0.65">
      <c r="A32" s="322" t="s">
        <v>1541</v>
      </c>
      <c r="B32" s="414">
        <v>1326580</v>
      </c>
      <c r="C32" s="414">
        <f t="shared" si="10"/>
        <v>147397.77777777778</v>
      </c>
      <c r="D32" s="414">
        <f t="shared" si="11"/>
        <v>1768773.3333333335</v>
      </c>
      <c r="E32" s="414">
        <v>1320497.32</v>
      </c>
      <c r="F32" s="414">
        <f t="shared" si="12"/>
        <v>146721.92444444445</v>
      </c>
      <c r="G32" s="414">
        <f t="shared" si="13"/>
        <v>1760663.0933333333</v>
      </c>
      <c r="H32" s="414">
        <f>1321217.32-E32</f>
        <v>720</v>
      </c>
      <c r="I32" s="416">
        <f t="shared" si="7"/>
        <v>80</v>
      </c>
      <c r="J32" s="416">
        <f t="shared" si="14"/>
        <v>960</v>
      </c>
      <c r="K32" s="416">
        <v>292233.8</v>
      </c>
      <c r="L32" s="416">
        <v>1013044.12</v>
      </c>
      <c r="M32" s="416">
        <v>3840</v>
      </c>
      <c r="N32" s="417">
        <f>SUM(L32:M32)</f>
        <v>1016884.12</v>
      </c>
      <c r="O32" s="321"/>
    </row>
    <row r="34" spans="10:12" x14ac:dyDescent="0.3">
      <c r="L34" s="418"/>
    </row>
    <row r="35" spans="10:12" x14ac:dyDescent="0.3">
      <c r="J35" s="418"/>
    </row>
  </sheetData>
  <mergeCells count="15">
    <mergeCell ref="K16:K17"/>
    <mergeCell ref="L16:M16"/>
    <mergeCell ref="N16:N17"/>
    <mergeCell ref="A1:J1"/>
    <mergeCell ref="A6:I6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</mergeCells>
  <pageMargins left="0.17" right="0.17" top="0.31" bottom="0.41" header="0.3" footer="0.17"/>
  <pageSetup paperSize="9" scale="7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7"/>
  <sheetViews>
    <sheetView zoomScaleNormal="100" workbookViewId="0">
      <selection sqref="A1:G14"/>
    </sheetView>
  </sheetViews>
  <sheetFormatPr defaultRowHeight="14.25" x14ac:dyDescent="0.2"/>
  <cols>
    <col min="1" max="1" width="19.875" customWidth="1"/>
    <col min="2" max="4" width="17" bestFit="1" customWidth="1"/>
    <col min="5" max="5" width="18.375" bestFit="1" customWidth="1"/>
    <col min="6" max="6" width="16.875" style="232" customWidth="1"/>
    <col min="7" max="7" width="17.5" customWidth="1"/>
    <col min="8" max="8" width="17" style="232" customWidth="1"/>
    <col min="9" max="9" width="17" customWidth="1"/>
    <col min="10" max="10" width="19.875" customWidth="1"/>
    <col min="11" max="11" width="17" customWidth="1"/>
    <col min="12" max="12" width="20.875" customWidth="1"/>
    <col min="13" max="15" width="17" customWidth="1"/>
    <col min="16" max="17" width="15.625" customWidth="1"/>
    <col min="18" max="18" width="12.625" customWidth="1"/>
  </cols>
  <sheetData>
    <row r="1" spans="1:8" ht="21.75" x14ac:dyDescent="0.2">
      <c r="A1" s="613" t="s">
        <v>730</v>
      </c>
      <c r="B1" s="613"/>
      <c r="C1" s="613"/>
      <c r="D1" s="613"/>
      <c r="E1" s="613"/>
      <c r="F1" s="613"/>
      <c r="G1" s="613"/>
    </row>
    <row r="2" spans="1:8" ht="65.25" x14ac:dyDescent="0.2">
      <c r="A2" s="443" t="s">
        <v>727</v>
      </c>
      <c r="B2" s="444" t="s">
        <v>1353</v>
      </c>
      <c r="C2" s="444" t="s">
        <v>1352</v>
      </c>
      <c r="D2" s="444" t="s">
        <v>1351</v>
      </c>
      <c r="E2" s="445" t="s">
        <v>1356</v>
      </c>
      <c r="F2" s="446" t="s">
        <v>1355</v>
      </c>
      <c r="G2" s="447" t="s">
        <v>1354</v>
      </c>
      <c r="H2" s="320"/>
    </row>
    <row r="3" spans="1:8" ht="21.75" x14ac:dyDescent="0.5">
      <c r="A3" s="448" t="s">
        <v>595</v>
      </c>
      <c r="B3" s="449">
        <v>120565.85</v>
      </c>
      <c r="C3" s="449">
        <v>168768</v>
      </c>
      <c r="D3" s="450">
        <v>181372</v>
      </c>
      <c r="E3" s="450">
        <v>205428.33333333334</v>
      </c>
      <c r="F3" s="450">
        <v>83832</v>
      </c>
      <c r="G3" s="451">
        <f>P32+P33+P34+P35</f>
        <v>952946</v>
      </c>
    </row>
    <row r="4" spans="1:8" ht="21.75" x14ac:dyDescent="0.5">
      <c r="A4" s="448" t="s">
        <v>596</v>
      </c>
      <c r="B4" s="449">
        <v>3000</v>
      </c>
      <c r="C4" s="449">
        <v>0</v>
      </c>
      <c r="D4" s="450">
        <v>0</v>
      </c>
      <c r="E4" s="450">
        <v>0</v>
      </c>
      <c r="F4" s="450">
        <v>0</v>
      </c>
      <c r="G4" s="451">
        <v>0</v>
      </c>
    </row>
    <row r="5" spans="1:8" ht="21.75" x14ac:dyDescent="0.5">
      <c r="A5" s="448" t="s">
        <v>597</v>
      </c>
      <c r="B5" s="449">
        <v>631529.21</v>
      </c>
      <c r="C5" s="449">
        <v>742404</v>
      </c>
      <c r="D5" s="450">
        <v>564215.19999999995</v>
      </c>
      <c r="E5" s="450">
        <v>621365.77777777775</v>
      </c>
      <c r="F5" s="450">
        <v>4984</v>
      </c>
      <c r="G5" s="451">
        <f t="shared" ref="G5" si="0">P37</f>
        <v>632685</v>
      </c>
    </row>
    <row r="6" spans="1:8" ht="21.75" x14ac:dyDescent="0.5">
      <c r="A6" s="448" t="s">
        <v>598</v>
      </c>
      <c r="B6" s="452">
        <v>0</v>
      </c>
      <c r="C6" s="452">
        <v>0</v>
      </c>
      <c r="D6" s="452">
        <v>0</v>
      </c>
      <c r="E6" s="453">
        <v>0</v>
      </c>
      <c r="F6" s="452">
        <v>0</v>
      </c>
      <c r="G6" s="451">
        <f>P39</f>
        <v>19950</v>
      </c>
    </row>
    <row r="7" spans="1:8" ht="21.75" x14ac:dyDescent="0.5">
      <c r="A7" s="448" t="s">
        <v>599</v>
      </c>
      <c r="B7" s="452">
        <v>0</v>
      </c>
      <c r="C7" s="452">
        <v>0</v>
      </c>
      <c r="D7" s="452">
        <v>0</v>
      </c>
      <c r="E7" s="453">
        <v>0</v>
      </c>
      <c r="F7" s="452">
        <v>0</v>
      </c>
      <c r="G7" s="451">
        <f t="shared" ref="G7:G13" si="1">P40</f>
        <v>0</v>
      </c>
    </row>
    <row r="8" spans="1:8" ht="21.75" x14ac:dyDescent="0.5">
      <c r="A8" s="448" t="s">
        <v>600</v>
      </c>
      <c r="B8" s="452">
        <v>375360</v>
      </c>
      <c r="C8" s="452">
        <v>184649.7</v>
      </c>
      <c r="D8" s="452">
        <v>226225</v>
      </c>
      <c r="E8" s="453">
        <v>176657</v>
      </c>
      <c r="F8" s="452">
        <v>142833</v>
      </c>
      <c r="G8" s="451">
        <f t="shared" si="1"/>
        <v>393270</v>
      </c>
    </row>
    <row r="9" spans="1:8" ht="21.75" x14ac:dyDescent="0.5">
      <c r="A9" s="454" t="s">
        <v>601</v>
      </c>
      <c r="B9" s="449">
        <v>184499</v>
      </c>
      <c r="C9" s="449">
        <v>401018.5</v>
      </c>
      <c r="D9" s="449">
        <v>423305</v>
      </c>
      <c r="E9" s="455">
        <v>469573.3666666667</v>
      </c>
      <c r="F9" s="449">
        <v>83777.55</v>
      </c>
      <c r="G9" s="451">
        <f t="shared" si="1"/>
        <v>1112711</v>
      </c>
    </row>
    <row r="10" spans="1:8" ht="21.75" x14ac:dyDescent="0.5">
      <c r="A10" s="448" t="s">
        <v>602</v>
      </c>
      <c r="B10" s="452">
        <v>505817</v>
      </c>
      <c r="C10" s="452">
        <v>496945</v>
      </c>
      <c r="D10" s="452">
        <v>338035</v>
      </c>
      <c r="E10" s="453">
        <v>398127.77777777775</v>
      </c>
      <c r="F10" s="452">
        <v>15420</v>
      </c>
      <c r="G10" s="451">
        <f t="shared" si="1"/>
        <v>694420</v>
      </c>
    </row>
    <row r="11" spans="1:8" ht="21.75" x14ac:dyDescent="0.5">
      <c r="A11" s="448" t="s">
        <v>603</v>
      </c>
      <c r="B11" s="452">
        <v>0</v>
      </c>
      <c r="C11" s="452">
        <v>0</v>
      </c>
      <c r="D11" s="452">
        <v>104350</v>
      </c>
      <c r="E11" s="453">
        <v>105277.77777777778</v>
      </c>
      <c r="F11" s="452">
        <v>0</v>
      </c>
      <c r="G11" s="451">
        <f t="shared" si="1"/>
        <v>174000</v>
      </c>
    </row>
    <row r="12" spans="1:8" ht="21.75" x14ac:dyDescent="0.5">
      <c r="A12" s="448" t="s">
        <v>604</v>
      </c>
      <c r="B12" s="452">
        <v>114574</v>
      </c>
      <c r="C12" s="452">
        <v>165205</v>
      </c>
      <c r="D12" s="452">
        <v>139824</v>
      </c>
      <c r="E12" s="453">
        <v>155360</v>
      </c>
      <c r="F12" s="452">
        <v>0</v>
      </c>
      <c r="G12" s="451">
        <f t="shared" si="1"/>
        <v>771974.5</v>
      </c>
    </row>
    <row r="13" spans="1:8" ht="21.75" x14ac:dyDescent="0.5">
      <c r="A13" s="448" t="s">
        <v>605</v>
      </c>
      <c r="B13" s="452">
        <v>39772</v>
      </c>
      <c r="C13" s="452">
        <v>2120</v>
      </c>
      <c r="D13" s="452"/>
      <c r="E13" s="453">
        <v>0</v>
      </c>
      <c r="F13" s="452">
        <v>0</v>
      </c>
      <c r="G13" s="451">
        <f t="shared" si="1"/>
        <v>76495</v>
      </c>
    </row>
    <row r="14" spans="1:8" ht="18.75" x14ac:dyDescent="0.3">
      <c r="A14" s="614" t="s">
        <v>637</v>
      </c>
      <c r="B14" s="614"/>
      <c r="C14" s="614"/>
      <c r="D14" s="614"/>
      <c r="E14" s="614"/>
      <c r="F14" s="614"/>
      <c r="G14" s="456">
        <f>SUM(G3:G13)</f>
        <v>4828451.5</v>
      </c>
    </row>
    <row r="30" spans="1:18" ht="83.25" x14ac:dyDescent="0.2">
      <c r="A30" s="323" t="s">
        <v>727</v>
      </c>
      <c r="B30" s="324" t="s">
        <v>1421</v>
      </c>
      <c r="C30" s="323" t="s">
        <v>1399</v>
      </c>
      <c r="D30" s="325" t="s">
        <v>1418</v>
      </c>
      <c r="E30" s="339" t="s">
        <v>1419</v>
      </c>
      <c r="F30" s="606" t="s">
        <v>1400</v>
      </c>
      <c r="G30" s="607"/>
      <c r="H30" s="607"/>
      <c r="I30" s="607"/>
      <c r="J30" s="607"/>
      <c r="K30" s="607"/>
      <c r="L30" s="607"/>
      <c r="M30" s="607"/>
      <c r="N30" s="607"/>
      <c r="O30" s="608"/>
      <c r="P30" s="609" t="s">
        <v>1401</v>
      </c>
      <c r="Q30" s="611" t="s">
        <v>1402</v>
      </c>
      <c r="R30" s="612" t="s">
        <v>1403</v>
      </c>
    </row>
    <row r="31" spans="1:18" ht="48" customHeight="1" x14ac:dyDescent="0.65">
      <c r="A31" s="323"/>
      <c r="B31" s="324"/>
      <c r="C31" s="323"/>
      <c r="D31" s="326"/>
      <c r="E31" s="325"/>
      <c r="F31" s="327" t="s">
        <v>1404</v>
      </c>
      <c r="G31" s="328" t="s">
        <v>1420</v>
      </c>
      <c r="H31" s="328" t="s">
        <v>1405</v>
      </c>
      <c r="I31" s="327" t="s">
        <v>1406</v>
      </c>
      <c r="J31" s="328" t="s">
        <v>1407</v>
      </c>
      <c r="K31" s="328" t="s">
        <v>1408</v>
      </c>
      <c r="L31" s="328" t="s">
        <v>1409</v>
      </c>
      <c r="M31" s="329" t="s">
        <v>1410</v>
      </c>
      <c r="N31" s="328" t="s">
        <v>1554</v>
      </c>
      <c r="O31" s="330" t="s">
        <v>1411</v>
      </c>
      <c r="P31" s="610"/>
      <c r="Q31" s="611"/>
      <c r="R31" s="612"/>
    </row>
    <row r="32" spans="1:18" ht="27.75" x14ac:dyDescent="0.65">
      <c r="A32" s="331" t="s">
        <v>1412</v>
      </c>
      <c r="B32" s="332"/>
      <c r="C32" s="333">
        <f>B32/6</f>
        <v>0</v>
      </c>
      <c r="D32" s="334">
        <f>B32+C32</f>
        <v>0</v>
      </c>
      <c r="E32" s="332">
        <v>88852.5</v>
      </c>
      <c r="F32" s="335">
        <v>2600</v>
      </c>
      <c r="G32" s="335">
        <v>1200</v>
      </c>
      <c r="H32" s="335"/>
      <c r="I32" s="335"/>
      <c r="J32" s="335"/>
      <c r="K32" s="335">
        <v>14000</v>
      </c>
      <c r="L32" s="335"/>
      <c r="M32" s="335">
        <v>714806</v>
      </c>
      <c r="N32" s="335">
        <v>26000</v>
      </c>
      <c r="O32" s="335"/>
      <c r="P32" s="336">
        <f>SUM(F32:O32)</f>
        <v>758606</v>
      </c>
      <c r="Q32" s="336">
        <f t="shared" ref="Q32:Q42" si="2">E32+P32-R32</f>
        <v>759458.5</v>
      </c>
      <c r="R32" s="337">
        <v>88000</v>
      </c>
    </row>
    <row r="33" spans="1:18" ht="27.75" x14ac:dyDescent="0.65">
      <c r="A33" s="331" t="s">
        <v>1413</v>
      </c>
      <c r="B33" s="332"/>
      <c r="C33" s="333">
        <f t="shared" ref="C33:C46" si="3">B33/6</f>
        <v>0</v>
      </c>
      <c r="D33" s="334">
        <f t="shared" ref="D33:D46" si="4">B33+C33</f>
        <v>0</v>
      </c>
      <c r="E33" s="332">
        <v>0</v>
      </c>
      <c r="F33" s="335"/>
      <c r="G33" s="335"/>
      <c r="H33" s="335"/>
      <c r="I33" s="335"/>
      <c r="J33" s="335"/>
      <c r="K33" s="335"/>
      <c r="L33" s="335"/>
      <c r="M33" s="335"/>
      <c r="N33" s="335"/>
      <c r="O33" s="335">
        <v>67340</v>
      </c>
      <c r="P33" s="336">
        <f t="shared" ref="P33:P42" si="5">SUM(F33:O33)</f>
        <v>67340</v>
      </c>
      <c r="Q33" s="336">
        <f t="shared" si="2"/>
        <v>67340</v>
      </c>
      <c r="R33" s="337">
        <v>0</v>
      </c>
    </row>
    <row r="34" spans="1:18" ht="27.75" x14ac:dyDescent="0.65">
      <c r="A34" s="331" t="s">
        <v>1414</v>
      </c>
      <c r="B34" s="332"/>
      <c r="C34" s="333">
        <f t="shared" si="3"/>
        <v>0</v>
      </c>
      <c r="D34" s="334">
        <f t="shared" si="4"/>
        <v>0</v>
      </c>
      <c r="E34" s="332">
        <v>0</v>
      </c>
      <c r="F34" s="335"/>
      <c r="G34" s="335"/>
      <c r="H34" s="335">
        <v>104000</v>
      </c>
      <c r="I34" s="335"/>
      <c r="J34" s="335"/>
      <c r="K34" s="335"/>
      <c r="L34" s="335"/>
      <c r="M34" s="335"/>
      <c r="N34" s="335"/>
      <c r="O34" s="335"/>
      <c r="P34" s="336">
        <f t="shared" si="5"/>
        <v>104000</v>
      </c>
      <c r="Q34" s="336">
        <f t="shared" si="2"/>
        <v>104000</v>
      </c>
      <c r="R34" s="337">
        <v>0</v>
      </c>
    </row>
    <row r="35" spans="1:18" ht="27.75" x14ac:dyDescent="0.65">
      <c r="A35" s="331" t="s">
        <v>1415</v>
      </c>
      <c r="B35" s="332"/>
      <c r="C35" s="333">
        <f t="shared" si="3"/>
        <v>0</v>
      </c>
      <c r="D35" s="334">
        <f t="shared" si="4"/>
        <v>0</v>
      </c>
      <c r="E35" s="334">
        <v>0</v>
      </c>
      <c r="F35" s="335"/>
      <c r="G35" s="335"/>
      <c r="H35" s="335"/>
      <c r="I35" s="335"/>
      <c r="J35" s="335"/>
      <c r="K35" s="335"/>
      <c r="L35" s="335">
        <v>23000</v>
      </c>
      <c r="M35" s="335"/>
      <c r="N35" s="335"/>
      <c r="O35" s="335"/>
      <c r="P35" s="336">
        <f t="shared" si="5"/>
        <v>23000</v>
      </c>
      <c r="Q35" s="336">
        <f t="shared" si="2"/>
        <v>23000</v>
      </c>
      <c r="R35" s="337">
        <v>0</v>
      </c>
    </row>
    <row r="36" spans="1:18" ht="27.75" x14ac:dyDescent="0.65">
      <c r="A36" s="331" t="s">
        <v>596</v>
      </c>
      <c r="B36" s="334"/>
      <c r="C36" s="333">
        <f t="shared" si="3"/>
        <v>0</v>
      </c>
      <c r="D36" s="334">
        <f t="shared" si="4"/>
        <v>0</v>
      </c>
      <c r="E36" s="334">
        <v>0</v>
      </c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6">
        <f t="shared" si="5"/>
        <v>0</v>
      </c>
      <c r="Q36" s="336">
        <f t="shared" si="2"/>
        <v>0</v>
      </c>
      <c r="R36" s="337">
        <v>0</v>
      </c>
    </row>
    <row r="37" spans="1:18" ht="27.75" x14ac:dyDescent="0.65">
      <c r="A37" s="331" t="s">
        <v>1416</v>
      </c>
      <c r="B37" s="334"/>
      <c r="C37" s="333">
        <f t="shared" si="3"/>
        <v>0</v>
      </c>
      <c r="D37" s="334">
        <f t="shared" si="4"/>
        <v>0</v>
      </c>
      <c r="E37" s="334">
        <v>102171.5</v>
      </c>
      <c r="F37" s="335">
        <v>21840</v>
      </c>
      <c r="G37" s="335"/>
      <c r="H37" s="335"/>
      <c r="I37" s="335"/>
      <c r="J37" s="335"/>
      <c r="K37" s="335"/>
      <c r="L37" s="335"/>
      <c r="M37" s="335">
        <v>610845</v>
      </c>
      <c r="N37" s="335"/>
      <c r="O37" s="335"/>
      <c r="P37" s="336">
        <f t="shared" si="5"/>
        <v>632685</v>
      </c>
      <c r="Q37" s="336">
        <f t="shared" si="2"/>
        <v>584856.5</v>
      </c>
      <c r="R37" s="337">
        <v>150000</v>
      </c>
    </row>
    <row r="38" spans="1:18" ht="27.75" x14ac:dyDescent="0.65">
      <c r="A38" s="331" t="s">
        <v>1417</v>
      </c>
      <c r="B38" s="334"/>
      <c r="C38" s="333">
        <f t="shared" si="3"/>
        <v>0</v>
      </c>
      <c r="D38" s="334">
        <f t="shared" si="4"/>
        <v>0</v>
      </c>
      <c r="E38" s="334">
        <v>105058.58</v>
      </c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6">
        <f t="shared" si="5"/>
        <v>0</v>
      </c>
      <c r="Q38" s="336">
        <f t="shared" si="2"/>
        <v>58.580000000001746</v>
      </c>
      <c r="R38" s="337">
        <v>105000</v>
      </c>
    </row>
    <row r="39" spans="1:18" ht="27.75" x14ac:dyDescent="0.65">
      <c r="A39" s="331" t="s">
        <v>598</v>
      </c>
      <c r="B39" s="334"/>
      <c r="C39" s="333">
        <f t="shared" si="3"/>
        <v>0</v>
      </c>
      <c r="D39" s="334">
        <f t="shared" si="4"/>
        <v>0</v>
      </c>
      <c r="E39" s="334">
        <v>0</v>
      </c>
      <c r="F39" s="335"/>
      <c r="G39" s="335"/>
      <c r="H39" s="335"/>
      <c r="I39" s="335"/>
      <c r="J39" s="335"/>
      <c r="K39" s="335">
        <v>19950</v>
      </c>
      <c r="L39" s="335"/>
      <c r="M39" s="335"/>
      <c r="N39" s="335"/>
      <c r="O39" s="335"/>
      <c r="P39" s="336">
        <f t="shared" si="5"/>
        <v>19950</v>
      </c>
      <c r="Q39" s="336">
        <f t="shared" si="2"/>
        <v>19950</v>
      </c>
      <c r="R39" s="338">
        <v>0</v>
      </c>
    </row>
    <row r="40" spans="1:18" ht="27.75" x14ac:dyDescent="0.65">
      <c r="A40" s="331" t="s">
        <v>599</v>
      </c>
      <c r="B40" s="334"/>
      <c r="C40" s="333">
        <f t="shared" si="3"/>
        <v>0</v>
      </c>
      <c r="D40" s="334">
        <f t="shared" si="4"/>
        <v>0</v>
      </c>
      <c r="E40" s="334">
        <v>0</v>
      </c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6">
        <f t="shared" si="5"/>
        <v>0</v>
      </c>
      <c r="Q40" s="336">
        <f t="shared" si="2"/>
        <v>0</v>
      </c>
      <c r="R40" s="338">
        <v>0</v>
      </c>
    </row>
    <row r="41" spans="1:18" ht="27.75" x14ac:dyDescent="0.65">
      <c r="A41" s="331" t="s">
        <v>600</v>
      </c>
      <c r="B41" s="334"/>
      <c r="C41" s="333">
        <f t="shared" si="3"/>
        <v>0</v>
      </c>
      <c r="D41" s="334">
        <f t="shared" si="4"/>
        <v>0</v>
      </c>
      <c r="E41" s="334">
        <v>0</v>
      </c>
      <c r="F41" s="335"/>
      <c r="G41" s="335"/>
      <c r="H41" s="335"/>
      <c r="I41" s="335"/>
      <c r="J41" s="335"/>
      <c r="K41" s="335"/>
      <c r="L41" s="335"/>
      <c r="M41" s="335"/>
      <c r="N41" s="335"/>
      <c r="O41" s="335">
        <v>393270</v>
      </c>
      <c r="P41" s="336">
        <f t="shared" si="5"/>
        <v>393270</v>
      </c>
      <c r="Q41" s="336">
        <f t="shared" si="2"/>
        <v>393270</v>
      </c>
      <c r="R41" s="338">
        <v>0</v>
      </c>
    </row>
    <row r="42" spans="1:18" ht="27.75" x14ac:dyDescent="0.65">
      <c r="A42" s="331" t="s">
        <v>601</v>
      </c>
      <c r="B42" s="334"/>
      <c r="C42" s="333">
        <f t="shared" si="3"/>
        <v>0</v>
      </c>
      <c r="D42" s="334">
        <f t="shared" si="4"/>
        <v>0</v>
      </c>
      <c r="E42" s="334">
        <v>0</v>
      </c>
      <c r="F42" s="335">
        <v>45050</v>
      </c>
      <c r="G42" s="335">
        <v>17600</v>
      </c>
      <c r="H42" s="335">
        <v>17000</v>
      </c>
      <c r="I42" s="335"/>
      <c r="J42" s="335">
        <v>10180</v>
      </c>
      <c r="K42" s="335"/>
      <c r="L42" s="335"/>
      <c r="M42" s="335">
        <v>1022881</v>
      </c>
      <c r="N42" s="335"/>
      <c r="O42" s="335"/>
      <c r="P42" s="336">
        <f t="shared" si="5"/>
        <v>1112711</v>
      </c>
      <c r="Q42" s="336">
        <f t="shared" si="2"/>
        <v>1112711</v>
      </c>
      <c r="R42" s="338">
        <v>0</v>
      </c>
    </row>
    <row r="43" spans="1:18" ht="27.75" x14ac:dyDescent="0.65">
      <c r="A43" s="62" t="s">
        <v>602</v>
      </c>
      <c r="B43" s="62"/>
      <c r="C43" s="333"/>
      <c r="D43" s="334"/>
      <c r="E43" s="334"/>
      <c r="F43" s="334">
        <v>650000</v>
      </c>
      <c r="G43" s="334"/>
      <c r="H43" s="334"/>
      <c r="I43" s="334"/>
      <c r="J43" s="334"/>
      <c r="K43" s="334"/>
      <c r="L43" s="334"/>
      <c r="M43" s="334">
        <v>44420</v>
      </c>
      <c r="N43" s="334"/>
      <c r="O43" s="335"/>
      <c r="P43" s="336">
        <f t="shared" ref="P43:P46" si="6">SUM(F43:O43)</f>
        <v>694420</v>
      </c>
      <c r="Q43" s="336">
        <f t="shared" ref="Q43:Q46" si="7">E43+P43-R43</f>
        <v>694419</v>
      </c>
      <c r="R43" s="338">
        <v>1</v>
      </c>
    </row>
    <row r="44" spans="1:18" ht="27.75" x14ac:dyDescent="0.65">
      <c r="A44" s="62" t="s">
        <v>603</v>
      </c>
      <c r="B44" s="61"/>
      <c r="C44" s="333">
        <f t="shared" si="3"/>
        <v>0</v>
      </c>
      <c r="D44" s="334">
        <f t="shared" si="4"/>
        <v>0</v>
      </c>
      <c r="E44" s="61"/>
      <c r="F44" s="424">
        <v>174000</v>
      </c>
      <c r="G44" s="340"/>
      <c r="H44" s="61"/>
      <c r="I44" s="61"/>
      <c r="J44" s="61"/>
      <c r="K44" s="340"/>
      <c r="L44" s="61"/>
      <c r="M44" s="61"/>
      <c r="N44" s="61"/>
      <c r="O44" s="335"/>
      <c r="P44" s="336">
        <f t="shared" si="6"/>
        <v>174000</v>
      </c>
      <c r="Q44" s="336">
        <f t="shared" si="7"/>
        <v>173998</v>
      </c>
      <c r="R44" s="338">
        <v>2</v>
      </c>
    </row>
    <row r="45" spans="1:18" ht="27.75" x14ac:dyDescent="0.65">
      <c r="A45" s="62" t="s">
        <v>604</v>
      </c>
      <c r="B45" s="61"/>
      <c r="C45" s="333">
        <f t="shared" si="3"/>
        <v>0</v>
      </c>
      <c r="D45" s="334">
        <f t="shared" si="4"/>
        <v>0</v>
      </c>
      <c r="E45" s="61"/>
      <c r="F45" s="340"/>
      <c r="G45" s="340"/>
      <c r="H45" s="61"/>
      <c r="I45" s="61"/>
      <c r="J45" s="61"/>
      <c r="K45" s="340">
        <v>75400</v>
      </c>
      <c r="L45" s="61"/>
      <c r="M45" s="340">
        <v>696574.5</v>
      </c>
      <c r="N45" s="61"/>
      <c r="O45" s="335"/>
      <c r="P45" s="336">
        <f t="shared" si="6"/>
        <v>771974.5</v>
      </c>
      <c r="Q45" s="336">
        <f t="shared" si="7"/>
        <v>771971.5</v>
      </c>
      <c r="R45" s="338">
        <v>3</v>
      </c>
    </row>
    <row r="46" spans="1:18" ht="27.75" x14ac:dyDescent="0.65">
      <c r="A46" s="62" t="s">
        <v>605</v>
      </c>
      <c r="B46" s="61"/>
      <c r="C46" s="333">
        <f t="shared" si="3"/>
        <v>0</v>
      </c>
      <c r="D46" s="334">
        <f t="shared" si="4"/>
        <v>0</v>
      </c>
      <c r="E46" s="61"/>
      <c r="F46" s="340"/>
      <c r="G46" s="340"/>
      <c r="H46" s="61"/>
      <c r="I46" s="61"/>
      <c r="J46" s="61"/>
      <c r="K46" s="340">
        <v>21000</v>
      </c>
      <c r="L46" s="61"/>
      <c r="M46" s="340">
        <v>55495</v>
      </c>
      <c r="N46" s="61"/>
      <c r="O46" s="335"/>
      <c r="P46" s="336">
        <f t="shared" si="6"/>
        <v>76495</v>
      </c>
      <c r="Q46" s="336">
        <f t="shared" si="7"/>
        <v>76491</v>
      </c>
      <c r="R46" s="338">
        <v>4</v>
      </c>
    </row>
    <row r="47" spans="1:18" x14ac:dyDescent="0.2">
      <c r="B47" s="341">
        <f>SUM(B32:B46)</f>
        <v>0</v>
      </c>
      <c r="C47" s="341">
        <f t="shared" ref="C47:R47" si="8">SUM(C32:C46)</f>
        <v>0</v>
      </c>
      <c r="D47" s="341">
        <f t="shared" si="8"/>
        <v>0</v>
      </c>
      <c r="E47" s="341">
        <f t="shared" si="8"/>
        <v>296082.58</v>
      </c>
      <c r="F47" s="232">
        <f t="shared" si="8"/>
        <v>893490</v>
      </c>
      <c r="G47" s="341">
        <f t="shared" si="8"/>
        <v>18800</v>
      </c>
      <c r="H47" s="341">
        <f t="shared" si="8"/>
        <v>121000</v>
      </c>
      <c r="I47" s="341">
        <f t="shared" si="8"/>
        <v>0</v>
      </c>
      <c r="J47" s="341">
        <f t="shared" si="8"/>
        <v>10180</v>
      </c>
      <c r="K47" s="341">
        <f t="shared" si="8"/>
        <v>130350</v>
      </c>
      <c r="L47" s="341">
        <f t="shared" si="8"/>
        <v>23000</v>
      </c>
      <c r="M47" s="341">
        <f t="shared" si="8"/>
        <v>3145021.5</v>
      </c>
      <c r="N47" s="341">
        <f t="shared" si="8"/>
        <v>26000</v>
      </c>
      <c r="O47" s="341">
        <f t="shared" si="8"/>
        <v>460610</v>
      </c>
      <c r="P47" s="341">
        <f t="shared" si="8"/>
        <v>4828451.5</v>
      </c>
      <c r="Q47" s="341">
        <f t="shared" si="8"/>
        <v>4781524.08</v>
      </c>
      <c r="R47" s="341">
        <f t="shared" si="8"/>
        <v>343010</v>
      </c>
    </row>
  </sheetData>
  <mergeCells count="6">
    <mergeCell ref="F30:O30"/>
    <mergeCell ref="P30:P31"/>
    <mergeCell ref="Q30:Q31"/>
    <mergeCell ref="R30:R31"/>
    <mergeCell ref="A1:G1"/>
    <mergeCell ref="A14:F14"/>
  </mergeCells>
  <pageMargins left="0.38" right="0.1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zoomScaleNormal="100" workbookViewId="0">
      <selection activeCell="G32" sqref="G32"/>
    </sheetView>
  </sheetViews>
  <sheetFormatPr defaultColWidth="9" defaultRowHeight="24" x14ac:dyDescent="0.55000000000000004"/>
  <cols>
    <col min="1" max="1" width="21.75" style="21" customWidth="1"/>
    <col min="2" max="2" width="17.5" style="21" customWidth="1"/>
    <col min="3" max="3" width="18.25" style="21" customWidth="1"/>
    <col min="4" max="5" width="20" style="22" customWidth="1"/>
    <col min="6" max="6" width="16.5" style="21" customWidth="1"/>
    <col min="7" max="7" width="15.625" style="21" bestFit="1" customWidth="1"/>
    <col min="8" max="8" width="13.125" style="21" bestFit="1" customWidth="1"/>
    <col min="9" max="10" width="12.25" style="21" bestFit="1" customWidth="1"/>
    <col min="11" max="16384" width="9" style="21"/>
  </cols>
  <sheetData>
    <row r="1" spans="1:10" x14ac:dyDescent="0.55000000000000004">
      <c r="A1" s="673" t="s">
        <v>723</v>
      </c>
      <c r="C1" s="674"/>
      <c r="D1" s="675"/>
      <c r="E1" s="675"/>
      <c r="F1" s="674"/>
      <c r="G1" s="674"/>
      <c r="H1" s="674"/>
      <c r="I1" s="674"/>
      <c r="J1" s="674"/>
    </row>
    <row r="2" spans="1:10" x14ac:dyDescent="0.55000000000000004">
      <c r="A2" s="617" t="s">
        <v>727</v>
      </c>
      <c r="B2" s="619" t="s">
        <v>1357</v>
      </c>
      <c r="C2" s="619" t="s">
        <v>1358</v>
      </c>
      <c r="D2" s="621" t="s">
        <v>1495</v>
      </c>
      <c r="E2" s="623" t="s">
        <v>1496</v>
      </c>
      <c r="F2" s="615" t="s">
        <v>1359</v>
      </c>
      <c r="G2" s="616" t="s">
        <v>731</v>
      </c>
      <c r="H2" s="616"/>
      <c r="I2" s="616"/>
      <c r="J2" s="616"/>
    </row>
    <row r="3" spans="1:10" ht="41.25" customHeight="1" x14ac:dyDescent="0.55000000000000004">
      <c r="A3" s="618"/>
      <c r="B3" s="620"/>
      <c r="C3" s="620"/>
      <c r="D3" s="622"/>
      <c r="E3" s="624"/>
      <c r="F3" s="615"/>
      <c r="G3" s="563" t="s">
        <v>732</v>
      </c>
      <c r="H3" s="563" t="s">
        <v>733</v>
      </c>
      <c r="I3" s="563" t="s">
        <v>1360</v>
      </c>
      <c r="J3" s="563" t="s">
        <v>1497</v>
      </c>
    </row>
    <row r="4" spans="1:10" x14ac:dyDescent="0.55000000000000004">
      <c r="A4" s="23" t="s">
        <v>734</v>
      </c>
      <c r="B4" s="384">
        <v>1647061.12</v>
      </c>
      <c r="C4" s="165">
        <f>SUM('[1]2.WS-ยา วชภฯ'!J3)</f>
        <v>9260589.4199999999</v>
      </c>
      <c r="D4" s="384">
        <f>SUM(B4:C4)</f>
        <v>10907650.539999999</v>
      </c>
      <c r="E4" s="154">
        <v>9364218.9700000007</v>
      </c>
      <c r="F4" s="166">
        <f>SUM(D4-E4)</f>
        <v>1543431.5699999984</v>
      </c>
      <c r="G4" s="166">
        <f>F4</f>
        <v>1543431.5699999984</v>
      </c>
      <c r="H4" s="23"/>
      <c r="I4" s="23"/>
      <c r="J4" s="23"/>
    </row>
    <row r="5" spans="1:10" x14ac:dyDescent="0.55000000000000004">
      <c r="A5" s="23" t="s">
        <v>735</v>
      </c>
      <c r="B5" s="384">
        <v>597625.4</v>
      </c>
      <c r="C5" s="165">
        <f>SUM('[1]2.WS-ยา วชภฯ'!J4)</f>
        <v>4638217.9405000005</v>
      </c>
      <c r="D5" s="384">
        <f t="shared" ref="D5:D16" si="0">SUM(B5:C5)</f>
        <v>5235843.3405000009</v>
      </c>
      <c r="E5" s="154">
        <v>4445073.68</v>
      </c>
      <c r="F5" s="19">
        <f t="shared" ref="F5:F16" si="1">+D5-E5</f>
        <v>790769.66050000116</v>
      </c>
      <c r="G5" s="166">
        <f>F5</f>
        <v>790769.66050000116</v>
      </c>
      <c r="H5" s="23"/>
      <c r="I5" s="23"/>
      <c r="J5" s="23"/>
    </row>
    <row r="6" spans="1:10" x14ac:dyDescent="0.55000000000000004">
      <c r="A6" s="23" t="s">
        <v>736</v>
      </c>
      <c r="B6" s="384">
        <v>732467</v>
      </c>
      <c r="C6" s="165">
        <f>SUM('[1]2.WS-ยา วชภฯ'!J5)</f>
        <v>1066488.8999999999</v>
      </c>
      <c r="D6" s="384">
        <f t="shared" si="0"/>
        <v>1798955.9</v>
      </c>
      <c r="E6" s="154">
        <v>1621207.75</v>
      </c>
      <c r="F6" s="19">
        <f t="shared" si="1"/>
        <v>177748.14999999991</v>
      </c>
      <c r="G6" s="166">
        <f>F6</f>
        <v>177748.14999999991</v>
      </c>
      <c r="H6" s="23"/>
      <c r="I6" s="23"/>
      <c r="J6" s="23"/>
    </row>
    <row r="7" spans="1:10" x14ac:dyDescent="0.55000000000000004">
      <c r="A7" s="23" t="s">
        <v>737</v>
      </c>
      <c r="B7" s="384">
        <v>414828.05</v>
      </c>
      <c r="C7" s="384">
        <v>4100000</v>
      </c>
      <c r="D7" s="384">
        <f t="shared" si="0"/>
        <v>4514828.05</v>
      </c>
      <c r="E7" s="154">
        <v>4173161.38</v>
      </c>
      <c r="F7" s="19">
        <f t="shared" si="1"/>
        <v>341666.66999999993</v>
      </c>
      <c r="G7" s="166">
        <f>F7</f>
        <v>341666.66999999993</v>
      </c>
      <c r="H7" s="23"/>
      <c r="I7" s="23"/>
      <c r="J7" s="23"/>
    </row>
    <row r="8" spans="1:10" x14ac:dyDescent="0.55000000000000004">
      <c r="A8" s="23"/>
      <c r="B8" s="385"/>
      <c r="C8" s="167"/>
      <c r="D8" s="384">
        <f t="shared" si="0"/>
        <v>0</v>
      </c>
      <c r="E8" s="154"/>
      <c r="F8" s="19">
        <f t="shared" si="1"/>
        <v>0</v>
      </c>
      <c r="G8" s="23"/>
      <c r="H8" s="23"/>
      <c r="I8" s="23"/>
      <c r="J8" s="23"/>
    </row>
    <row r="9" spans="1:10" x14ac:dyDescent="0.55000000000000004">
      <c r="A9" s="23"/>
      <c r="B9" s="385"/>
      <c r="C9" s="167"/>
      <c r="D9" s="384">
        <f t="shared" si="0"/>
        <v>0</v>
      </c>
      <c r="E9" s="154"/>
      <c r="F9" s="19">
        <f t="shared" si="1"/>
        <v>0</v>
      </c>
      <c r="G9" s="23"/>
      <c r="H9" s="23"/>
      <c r="I9" s="23"/>
      <c r="J9" s="23"/>
    </row>
    <row r="10" spans="1:10" x14ac:dyDescent="0.55000000000000004">
      <c r="A10" s="23"/>
      <c r="B10" s="385"/>
      <c r="C10" s="167"/>
      <c r="D10" s="384">
        <f t="shared" si="0"/>
        <v>0</v>
      </c>
      <c r="E10" s="154"/>
      <c r="F10" s="19">
        <f t="shared" si="1"/>
        <v>0</v>
      </c>
      <c r="G10" s="23"/>
      <c r="H10" s="23"/>
      <c r="I10" s="23"/>
      <c r="J10" s="23"/>
    </row>
    <row r="11" spans="1:10" x14ac:dyDescent="0.55000000000000004">
      <c r="A11" s="23"/>
      <c r="B11" s="385"/>
      <c r="C11" s="167"/>
      <c r="D11" s="384">
        <f t="shared" si="0"/>
        <v>0</v>
      </c>
      <c r="E11" s="154"/>
      <c r="F11" s="19">
        <f t="shared" si="1"/>
        <v>0</v>
      </c>
      <c r="G11" s="23"/>
      <c r="H11" s="23"/>
      <c r="I11" s="23"/>
      <c r="J11" s="23"/>
    </row>
    <row r="12" spans="1:10" x14ac:dyDescent="0.55000000000000004">
      <c r="A12" s="23"/>
      <c r="B12" s="385"/>
      <c r="C12" s="167"/>
      <c r="D12" s="384">
        <f t="shared" si="0"/>
        <v>0</v>
      </c>
      <c r="E12" s="154"/>
      <c r="F12" s="19">
        <f t="shared" si="1"/>
        <v>0</v>
      </c>
      <c r="G12" s="23"/>
      <c r="H12" s="23"/>
      <c r="I12" s="23"/>
      <c r="J12" s="23"/>
    </row>
    <row r="13" spans="1:10" x14ac:dyDescent="0.55000000000000004">
      <c r="A13" s="23" t="s">
        <v>738</v>
      </c>
      <c r="B13" s="384">
        <v>3371380</v>
      </c>
      <c r="C13" s="384">
        <v>25816860</v>
      </c>
      <c r="D13" s="384">
        <f t="shared" si="0"/>
        <v>29188240</v>
      </c>
      <c r="E13" s="154">
        <v>27036835</v>
      </c>
      <c r="F13" s="19">
        <f t="shared" si="1"/>
        <v>2151405</v>
      </c>
      <c r="G13" s="166">
        <f>F13</f>
        <v>2151405</v>
      </c>
      <c r="H13" s="23"/>
      <c r="I13" s="23"/>
      <c r="J13" s="23"/>
    </row>
    <row r="14" spans="1:10" x14ac:dyDescent="0.55000000000000004">
      <c r="A14" s="23" t="s">
        <v>739</v>
      </c>
      <c r="B14" s="384">
        <v>110100</v>
      </c>
      <c r="C14" s="386">
        <f>'[1]6.WS-แผนลงทุน'!G4</f>
        <v>5145250</v>
      </c>
      <c r="D14" s="384">
        <f t="shared" si="0"/>
        <v>5255350</v>
      </c>
      <c r="E14" s="154">
        <v>4287708.333333333</v>
      </c>
      <c r="F14" s="19">
        <f t="shared" si="1"/>
        <v>967641.66666666698</v>
      </c>
      <c r="G14" s="166">
        <f>F14</f>
        <v>967641.66666666698</v>
      </c>
      <c r="H14" s="23"/>
      <c r="I14" s="23"/>
      <c r="J14" s="23"/>
    </row>
    <row r="15" spans="1:10" x14ac:dyDescent="0.55000000000000004">
      <c r="A15" s="387" t="s">
        <v>774</v>
      </c>
      <c r="B15" s="384">
        <v>317150.40000000002</v>
      </c>
      <c r="C15" s="386">
        <f>'[1]3.WS-วัสดุอื่น'!G14</f>
        <v>5029933.7</v>
      </c>
      <c r="D15" s="384">
        <f t="shared" ref="D15" si="2">SUM(B15:C15)</f>
        <v>5347084.1000000006</v>
      </c>
      <c r="E15" s="154">
        <v>4508761.8166666664</v>
      </c>
      <c r="F15" s="19">
        <f t="shared" si="1"/>
        <v>838322.28333333414</v>
      </c>
      <c r="G15" s="166">
        <f>F15</f>
        <v>838322.28333333414</v>
      </c>
      <c r="H15" s="23"/>
      <c r="I15" s="23"/>
      <c r="J15" s="23"/>
    </row>
    <row r="16" spans="1:10" x14ac:dyDescent="0.55000000000000004">
      <c r="A16" s="23" t="s">
        <v>606</v>
      </c>
      <c r="B16" s="384">
        <v>472997.61999999994</v>
      </c>
      <c r="C16" s="384">
        <v>4719827.8499999996</v>
      </c>
      <c r="D16" s="384">
        <f t="shared" si="0"/>
        <v>5192825.47</v>
      </c>
      <c r="E16" s="154">
        <v>4799506.4800000004</v>
      </c>
      <c r="F16" s="19">
        <f t="shared" si="1"/>
        <v>393318.98999999929</v>
      </c>
      <c r="G16" s="166">
        <f>F16</f>
        <v>393318.98999999929</v>
      </c>
      <c r="H16" s="23"/>
      <c r="I16" s="23"/>
      <c r="J16" s="23"/>
    </row>
    <row r="17" spans="1:10" x14ac:dyDescent="0.55000000000000004">
      <c r="A17" s="169" t="s">
        <v>740</v>
      </c>
      <c r="B17" s="170">
        <f>SUM(B4:B16)</f>
        <v>7663609.5900000008</v>
      </c>
      <c r="C17" s="170">
        <f t="shared" ref="C17:J17" si="3">SUM(C4:C16)</f>
        <v>59777167.810500003</v>
      </c>
      <c r="D17" s="170">
        <f t="shared" si="3"/>
        <v>67440777.4005</v>
      </c>
      <c r="E17" s="170">
        <f t="shared" si="3"/>
        <v>60236473.410000011</v>
      </c>
      <c r="F17" s="170">
        <f t="shared" si="3"/>
        <v>7204303.9905000003</v>
      </c>
      <c r="G17" s="170">
        <f t="shared" si="3"/>
        <v>7204303.9905000003</v>
      </c>
      <c r="H17" s="168">
        <f t="shared" si="3"/>
        <v>0</v>
      </c>
      <c r="I17" s="168">
        <f t="shared" si="3"/>
        <v>0</v>
      </c>
      <c r="J17" s="168">
        <f t="shared" si="3"/>
        <v>0</v>
      </c>
    </row>
    <row r="18" spans="1:10" x14ac:dyDescent="0.55000000000000004">
      <c r="B18" s="672"/>
      <c r="C18" s="672"/>
      <c r="D18" s="389"/>
      <c r="F18" s="315"/>
    </row>
    <row r="19" spans="1:10" x14ac:dyDescent="0.55000000000000004">
      <c r="B19" s="390"/>
      <c r="C19" s="390"/>
      <c r="D19" s="676"/>
    </row>
    <row r="20" spans="1:10" x14ac:dyDescent="0.55000000000000004">
      <c r="A20" s="21" t="s">
        <v>1498</v>
      </c>
      <c r="B20" s="389"/>
      <c r="C20" s="389"/>
      <c r="D20" s="389"/>
      <c r="E20" s="390"/>
    </row>
    <row r="21" spans="1:10" x14ac:dyDescent="0.55000000000000004">
      <c r="B21" s="391" t="s">
        <v>1499</v>
      </c>
      <c r="C21" s="389"/>
      <c r="D21" s="391" t="s">
        <v>1500</v>
      </c>
      <c r="E21" s="392" t="s">
        <v>1501</v>
      </c>
      <c r="F21" s="393" t="s">
        <v>1502</v>
      </c>
      <c r="G21" s="393" t="s">
        <v>738</v>
      </c>
      <c r="H21" s="393" t="s">
        <v>1503</v>
      </c>
      <c r="I21" s="393" t="s">
        <v>774</v>
      </c>
      <c r="J21" s="393" t="s">
        <v>606</v>
      </c>
    </row>
    <row r="22" spans="1:10" x14ac:dyDescent="0.55000000000000004">
      <c r="A22" s="21" t="s">
        <v>1504</v>
      </c>
      <c r="B22" s="389">
        <f>C4</f>
        <v>9260589.4199999999</v>
      </c>
      <c r="C22" s="389">
        <f t="shared" ref="C22" si="4">D4</f>
        <v>10907650.539999999</v>
      </c>
      <c r="D22" s="389">
        <f>D5</f>
        <v>5235843.3405000009</v>
      </c>
      <c r="E22" s="389">
        <f>D6</f>
        <v>1798955.9</v>
      </c>
      <c r="F22" s="389">
        <f>D7</f>
        <v>4514828.05</v>
      </c>
      <c r="G22" s="389">
        <f>D13</f>
        <v>29188240</v>
      </c>
      <c r="H22" s="389">
        <f>D14</f>
        <v>5255350</v>
      </c>
      <c r="I22" s="389">
        <f>D15</f>
        <v>5347084.1000000006</v>
      </c>
      <c r="J22" s="389">
        <f>D16</f>
        <v>5192825.47</v>
      </c>
    </row>
    <row r="23" spans="1:10" x14ac:dyDescent="0.55000000000000004">
      <c r="A23" s="21" t="s">
        <v>1505</v>
      </c>
      <c r="B23" s="389">
        <f>F5</f>
        <v>790769.66050000116</v>
      </c>
      <c r="C23" s="389"/>
      <c r="D23" s="389">
        <f>F6</f>
        <v>177748.14999999991</v>
      </c>
      <c r="E23" s="388">
        <f>F7</f>
        <v>341666.66999999993</v>
      </c>
      <c r="F23" s="22">
        <v>341666.66999999993</v>
      </c>
      <c r="G23" s="22">
        <f>F14</f>
        <v>967641.66666666698</v>
      </c>
      <c r="H23" s="22">
        <f>F15</f>
        <v>838322.28333333414</v>
      </c>
      <c r="I23" s="22">
        <f>F16</f>
        <v>393318.98999999929</v>
      </c>
      <c r="J23" s="22">
        <f>F17</f>
        <v>7204303.9905000003</v>
      </c>
    </row>
    <row r="24" spans="1:10" x14ac:dyDescent="0.55000000000000004">
      <c r="A24" s="21" t="s">
        <v>1506</v>
      </c>
      <c r="B24" s="389">
        <f>B22/B23</f>
        <v>11.710855742928425</v>
      </c>
      <c r="C24" s="389" t="s">
        <v>1507</v>
      </c>
      <c r="D24" s="389">
        <f>+D22/D23</f>
        <v>29.456527904791152</v>
      </c>
      <c r="E24" s="388">
        <f t="shared" ref="E24:J24" si="5">E22/E23</f>
        <v>5.2652367291196427</v>
      </c>
      <c r="F24" s="22">
        <f t="shared" si="5"/>
        <v>13.214130749130433</v>
      </c>
      <c r="G24" s="22">
        <f t="shared" si="5"/>
        <v>30.164306690665441</v>
      </c>
      <c r="H24" s="22">
        <f t="shared" si="5"/>
        <v>6.2688897867580184</v>
      </c>
      <c r="I24" s="22">
        <f t="shared" si="5"/>
        <v>13.594777358703199</v>
      </c>
      <c r="J24" s="22">
        <f t="shared" si="5"/>
        <v>0.72079488550837822</v>
      </c>
    </row>
    <row r="25" spans="1:10" x14ac:dyDescent="0.55000000000000004">
      <c r="A25" s="21" t="s">
        <v>1508</v>
      </c>
      <c r="B25" s="389">
        <f>365/B24</f>
        <v>31.167662552790343</v>
      </c>
      <c r="C25" s="389" t="s">
        <v>1397</v>
      </c>
      <c r="D25" s="389">
        <f t="shared" ref="D25:J25" si="6">365/D24</f>
        <v>12.391141317800464</v>
      </c>
      <c r="E25" s="389">
        <f t="shared" si="6"/>
        <v>69.322619053641048</v>
      </c>
      <c r="F25" s="22">
        <f t="shared" si="6"/>
        <v>27.621945546741252</v>
      </c>
      <c r="G25" s="22">
        <f t="shared" si="6"/>
        <v>12.100394142755214</v>
      </c>
      <c r="H25" s="22">
        <f t="shared" si="6"/>
        <v>58.224025691279735</v>
      </c>
      <c r="I25" s="22">
        <f t="shared" si="6"/>
        <v>26.848545611990605</v>
      </c>
      <c r="J25" s="22">
        <f t="shared" si="6"/>
        <v>506.38539109855736</v>
      </c>
    </row>
    <row r="26" spans="1:10" ht="47.25" customHeight="1" x14ac:dyDescent="0.55000000000000004">
      <c r="B26" s="390"/>
      <c r="C26" s="390"/>
      <c r="D26" s="676"/>
      <c r="E26" s="21"/>
    </row>
    <row r="27" spans="1:10" x14ac:dyDescent="0.55000000000000004">
      <c r="A27" s="23"/>
      <c r="B27" s="662" t="s">
        <v>1512</v>
      </c>
      <c r="C27" s="663" t="s">
        <v>1509</v>
      </c>
      <c r="D27" s="664" t="s">
        <v>1510</v>
      </c>
      <c r="E27" s="21"/>
    </row>
    <row r="28" spans="1:10" x14ac:dyDescent="0.55000000000000004">
      <c r="A28" s="23" t="s">
        <v>734</v>
      </c>
      <c r="B28" s="665">
        <v>8489845.7300000004</v>
      </c>
      <c r="C28" s="666">
        <f>B28/12</f>
        <v>707487.14416666667</v>
      </c>
      <c r="D28" s="666">
        <f>C28*10</f>
        <v>7074871.4416666664</v>
      </c>
      <c r="E28" s="21"/>
    </row>
    <row r="29" spans="1:10" x14ac:dyDescent="0.55000000000000004">
      <c r="A29" s="23" t="s">
        <v>735</v>
      </c>
      <c r="B29" s="667">
        <v>5308842.8585714288</v>
      </c>
      <c r="C29" s="666">
        <f t="shared" ref="C29:C35" si="7">B29/12</f>
        <v>442403.57154761907</v>
      </c>
      <c r="D29" s="666">
        <f t="shared" ref="D29:D34" si="8">C29*10</f>
        <v>4424035.7154761907</v>
      </c>
      <c r="E29" s="21"/>
    </row>
    <row r="30" spans="1:10" x14ac:dyDescent="0.55000000000000004">
      <c r="A30" s="23" t="s">
        <v>736</v>
      </c>
      <c r="B30" s="668">
        <v>2360843.08</v>
      </c>
      <c r="C30" s="666">
        <f t="shared" si="7"/>
        <v>196736.92333333334</v>
      </c>
      <c r="D30" s="666">
        <f t="shared" si="8"/>
        <v>1967369.2333333334</v>
      </c>
      <c r="E30" s="21"/>
    </row>
    <row r="31" spans="1:10" x14ac:dyDescent="0.55000000000000004">
      <c r="A31" s="23" t="s">
        <v>737</v>
      </c>
      <c r="B31" s="668">
        <v>3000000</v>
      </c>
      <c r="C31" s="666">
        <f t="shared" si="7"/>
        <v>250000</v>
      </c>
      <c r="D31" s="666">
        <f>C31*11</f>
        <v>2750000</v>
      </c>
      <c r="E31" s="21" t="s">
        <v>1511</v>
      </c>
    </row>
    <row r="32" spans="1:10" x14ac:dyDescent="0.55000000000000004">
      <c r="A32" s="23" t="s">
        <v>738</v>
      </c>
      <c r="B32" s="667">
        <v>13112620</v>
      </c>
      <c r="C32" s="666">
        <f t="shared" si="7"/>
        <v>1092718.3333333333</v>
      </c>
      <c r="D32" s="666">
        <f>C32*11</f>
        <v>12019901.666666666</v>
      </c>
      <c r="E32" s="21" t="s">
        <v>1511</v>
      </c>
    </row>
    <row r="33" spans="1:5" x14ac:dyDescent="0.55000000000000004">
      <c r="A33" s="23" t="s">
        <v>739</v>
      </c>
      <c r="B33" s="667">
        <v>4838980</v>
      </c>
      <c r="C33" s="666">
        <f t="shared" si="7"/>
        <v>403248.33333333331</v>
      </c>
      <c r="D33" s="666">
        <f>C33*9</f>
        <v>3629235</v>
      </c>
      <c r="E33" s="21"/>
    </row>
    <row r="34" spans="1:5" x14ac:dyDescent="0.55000000000000004">
      <c r="A34" s="23" t="s">
        <v>774</v>
      </c>
      <c r="B34" s="667">
        <v>4341047.7799999993</v>
      </c>
      <c r="C34" s="666">
        <f>B34/12</f>
        <v>361753.98166666663</v>
      </c>
      <c r="D34" s="666">
        <f t="shared" si="8"/>
        <v>3617539.8166666664</v>
      </c>
      <c r="E34" s="21"/>
    </row>
    <row r="35" spans="1:5" x14ac:dyDescent="0.55000000000000004">
      <c r="A35" s="23" t="s">
        <v>606</v>
      </c>
      <c r="B35" s="667">
        <v>11835565.18</v>
      </c>
      <c r="C35" s="666">
        <f t="shared" si="7"/>
        <v>986297.09833333327</v>
      </c>
      <c r="D35" s="666">
        <f>C35*10</f>
        <v>9862970.9833333325</v>
      </c>
      <c r="E35" s="21"/>
    </row>
    <row r="36" spans="1:5" x14ac:dyDescent="0.55000000000000004">
      <c r="A36" s="669"/>
      <c r="B36" s="670"/>
      <c r="C36" s="670"/>
      <c r="D36" s="671"/>
    </row>
    <row r="37" spans="1:5" x14ac:dyDescent="0.55000000000000004">
      <c r="A37" s="21" t="s">
        <v>1551</v>
      </c>
      <c r="B37" s="672"/>
      <c r="C37" s="672"/>
      <c r="D37" s="389"/>
    </row>
    <row r="38" spans="1:5" ht="26.1" customHeight="1" x14ac:dyDescent="0.55000000000000004">
      <c r="B38" s="672"/>
      <c r="C38" s="672"/>
      <c r="D38" s="389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21" right="0.17" top="0.28999999999999998" bottom="0.75" header="0.3" footer="0.3"/>
  <pageSetup paperSize="9" scale="8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2"/>
  <sheetViews>
    <sheetView topLeftCell="A24" zoomScale="120" zoomScaleNormal="120" workbookViewId="0">
      <selection activeCell="H25" sqref="H25"/>
    </sheetView>
  </sheetViews>
  <sheetFormatPr defaultRowHeight="19.5" x14ac:dyDescent="0.25"/>
  <cols>
    <col min="1" max="1" width="26.625" style="110" customWidth="1"/>
    <col min="2" max="2" width="17.5" style="110" customWidth="1"/>
    <col min="3" max="3" width="16.25" style="110" customWidth="1"/>
    <col min="4" max="4" width="17.125" style="110" customWidth="1"/>
    <col min="5" max="5" width="17.25" style="110" customWidth="1"/>
    <col min="6" max="6" width="17.125" style="682" customWidth="1"/>
    <col min="7" max="8" width="18.125" style="110" customWidth="1"/>
    <col min="9" max="9" width="12.25" style="110" bestFit="1" customWidth="1"/>
    <col min="10" max="16384" width="9" style="110"/>
  </cols>
  <sheetData>
    <row r="1" spans="1:9" ht="24" x14ac:dyDescent="0.55000000000000004">
      <c r="A1" s="681" t="s">
        <v>724</v>
      </c>
      <c r="B1" s="681"/>
      <c r="C1" s="681"/>
      <c r="D1" s="681"/>
      <c r="E1" s="681"/>
      <c r="F1" s="681"/>
      <c r="G1" s="681"/>
      <c r="H1" s="681"/>
    </row>
    <row r="2" spans="1:9" ht="24" x14ac:dyDescent="0.55000000000000004">
      <c r="A2" s="625" t="s">
        <v>727</v>
      </c>
      <c r="B2" s="72" t="s">
        <v>1153</v>
      </c>
      <c r="C2" s="72" t="s">
        <v>1154</v>
      </c>
      <c r="D2" s="72" t="s">
        <v>1158</v>
      </c>
      <c r="E2" s="72" t="s">
        <v>1156</v>
      </c>
      <c r="F2" s="370" t="s">
        <v>1150</v>
      </c>
      <c r="G2" s="72" t="s">
        <v>1152</v>
      </c>
      <c r="H2" s="72" t="s">
        <v>1482</v>
      </c>
    </row>
    <row r="3" spans="1:9" ht="72" x14ac:dyDescent="0.25">
      <c r="A3" s="626"/>
      <c r="B3" s="370" t="s">
        <v>1361</v>
      </c>
      <c r="C3" s="370" t="s">
        <v>1362</v>
      </c>
      <c r="D3" s="370" t="s">
        <v>1363</v>
      </c>
      <c r="E3" s="172" t="s">
        <v>1364</v>
      </c>
      <c r="F3" s="370" t="s">
        <v>1151</v>
      </c>
      <c r="G3" s="370" t="s">
        <v>1157</v>
      </c>
      <c r="H3" s="370" t="s">
        <v>1365</v>
      </c>
    </row>
    <row r="4" spans="1:9" ht="24" x14ac:dyDescent="0.55000000000000004">
      <c r="A4" s="23" t="s">
        <v>741</v>
      </c>
      <c r="B4" s="19">
        <v>1491929.46</v>
      </c>
      <c r="C4" s="19">
        <v>11490442.67</v>
      </c>
      <c r="D4" s="19">
        <f>SUM(B4:C4)</f>
        <v>12982372.129999999</v>
      </c>
      <c r="E4" s="154">
        <f t="shared" ref="E4:E10" si="0">F23</f>
        <v>9152224.5733333342</v>
      </c>
      <c r="F4" s="347">
        <v>1396284.66</v>
      </c>
      <c r="G4" s="23">
        <v>0</v>
      </c>
      <c r="H4" s="166">
        <f>D4-E4-F4-G4</f>
        <v>2433862.8966666646</v>
      </c>
    </row>
    <row r="5" spans="1:9" ht="24" x14ac:dyDescent="0.55000000000000004">
      <c r="A5" s="23" t="s">
        <v>742</v>
      </c>
      <c r="B5" s="371">
        <v>1383953.1</v>
      </c>
      <c r="C5" s="19">
        <v>1163478</v>
      </c>
      <c r="D5" s="19">
        <f t="shared" ref="D5:D10" si="1">SUM(B5:C5)</f>
        <v>2547431.1</v>
      </c>
      <c r="E5" s="154">
        <f t="shared" si="0"/>
        <v>1674822.6</v>
      </c>
      <c r="F5" s="372">
        <v>-40450</v>
      </c>
      <c r="G5" s="23">
        <v>0</v>
      </c>
      <c r="H5" s="166">
        <f t="shared" ref="H5:H10" si="2">D5-E5-F5-G5</f>
        <v>913058.5</v>
      </c>
    </row>
    <row r="6" spans="1:9" ht="24" x14ac:dyDescent="0.55000000000000004">
      <c r="A6" s="23" t="s">
        <v>743</v>
      </c>
      <c r="B6" s="371">
        <v>946711.28</v>
      </c>
      <c r="C6" s="19">
        <v>5370302.79</v>
      </c>
      <c r="D6" s="19">
        <f t="shared" si="1"/>
        <v>6317014.0700000003</v>
      </c>
      <c r="E6" s="154">
        <f t="shared" si="0"/>
        <v>4974438.3724999996</v>
      </c>
      <c r="F6" s="347">
        <v>163000</v>
      </c>
      <c r="G6" s="23">
        <v>0</v>
      </c>
      <c r="H6" s="166">
        <f t="shared" si="2"/>
        <v>1179575.6975000007</v>
      </c>
    </row>
    <row r="7" spans="1:9" ht="24" x14ac:dyDescent="0.55000000000000004">
      <c r="A7" s="23" t="s">
        <v>744</v>
      </c>
      <c r="B7" s="371">
        <v>0</v>
      </c>
      <c r="C7" s="19">
        <v>276939</v>
      </c>
      <c r="D7" s="19">
        <f t="shared" si="1"/>
        <v>276939</v>
      </c>
      <c r="E7" s="154">
        <f t="shared" si="0"/>
        <v>276939</v>
      </c>
      <c r="F7" s="347">
        <v>0</v>
      </c>
      <c r="G7" s="23">
        <v>0</v>
      </c>
      <c r="H7" s="166">
        <f t="shared" si="2"/>
        <v>0</v>
      </c>
    </row>
    <row r="8" spans="1:9" ht="24" x14ac:dyDescent="0.55000000000000004">
      <c r="A8" s="23" t="s">
        <v>745</v>
      </c>
      <c r="B8" s="19">
        <v>0</v>
      </c>
      <c r="C8" s="19">
        <v>149870</v>
      </c>
      <c r="D8" s="19">
        <f t="shared" si="1"/>
        <v>149870</v>
      </c>
      <c r="E8" s="154">
        <f t="shared" si="0"/>
        <v>124891.66666666666</v>
      </c>
      <c r="F8" s="347">
        <v>0</v>
      </c>
      <c r="G8" s="23">
        <v>0</v>
      </c>
      <c r="H8" s="166">
        <f t="shared" si="2"/>
        <v>24978.333333333343</v>
      </c>
    </row>
    <row r="9" spans="1:9" ht="24" x14ac:dyDescent="0.55000000000000004">
      <c r="A9" s="23" t="s">
        <v>746</v>
      </c>
      <c r="B9" s="371">
        <v>146041.76</v>
      </c>
      <c r="C9" s="19">
        <v>322221.71000000002</v>
      </c>
      <c r="D9" s="19">
        <f t="shared" si="1"/>
        <v>468263.47000000003</v>
      </c>
      <c r="E9" s="154">
        <f t="shared" si="0"/>
        <v>441411.66083333339</v>
      </c>
      <c r="F9" s="372">
        <v>-21000</v>
      </c>
      <c r="G9" s="23">
        <v>0</v>
      </c>
      <c r="H9" s="166">
        <f t="shared" si="2"/>
        <v>47851.809166666644</v>
      </c>
    </row>
    <row r="10" spans="1:9" ht="24" x14ac:dyDescent="0.55000000000000004">
      <c r="A10" s="23" t="s">
        <v>747</v>
      </c>
      <c r="B10" s="19">
        <v>1441019.34</v>
      </c>
      <c r="C10" s="19">
        <v>7419144.2999999998</v>
      </c>
      <c r="D10" s="19">
        <f t="shared" si="1"/>
        <v>8860163.6400000006</v>
      </c>
      <c r="E10" s="154">
        <f t="shared" si="0"/>
        <v>6387115.54</v>
      </c>
      <c r="F10" s="347">
        <v>0</v>
      </c>
      <c r="G10" s="19">
        <v>900000</v>
      </c>
      <c r="H10" s="166">
        <f t="shared" si="2"/>
        <v>1573048.1000000006</v>
      </c>
    </row>
    <row r="11" spans="1:9" ht="24" x14ac:dyDescent="0.55000000000000004">
      <c r="A11" s="173" t="s">
        <v>637</v>
      </c>
      <c r="B11" s="161">
        <f>SUM(B4:B10)</f>
        <v>5409654.9399999995</v>
      </c>
      <c r="C11" s="161">
        <f t="shared" ref="C11:H11" si="3">SUM(C4:C10)</f>
        <v>26192398.470000003</v>
      </c>
      <c r="D11" s="161">
        <f t="shared" si="3"/>
        <v>31602053.409999996</v>
      </c>
      <c r="E11" s="161">
        <f t="shared" si="3"/>
        <v>23031843.413333334</v>
      </c>
      <c r="F11" s="161">
        <f t="shared" si="3"/>
        <v>1497834.66</v>
      </c>
      <c r="G11" s="161">
        <f t="shared" si="3"/>
        <v>900000</v>
      </c>
      <c r="H11" s="161">
        <f t="shared" si="3"/>
        <v>6172375.336666666</v>
      </c>
    </row>
    <row r="13" spans="1:9" s="677" customFormat="1" ht="44.25" customHeight="1" x14ac:dyDescent="0.2">
      <c r="A13" s="677" t="s">
        <v>1483</v>
      </c>
      <c r="B13" s="678"/>
      <c r="C13" s="679" t="s">
        <v>1484</v>
      </c>
      <c r="D13" s="679" t="s">
        <v>742</v>
      </c>
      <c r="E13" s="679" t="s">
        <v>743</v>
      </c>
      <c r="F13" s="679" t="s">
        <v>744</v>
      </c>
      <c r="G13" s="679" t="s">
        <v>745</v>
      </c>
      <c r="H13" s="680" t="s">
        <v>746</v>
      </c>
      <c r="I13" s="679" t="s">
        <v>747</v>
      </c>
    </row>
    <row r="14" spans="1:9" s="1" customFormat="1" ht="21.75" x14ac:dyDescent="0.5">
      <c r="A14" s="373" t="s">
        <v>1485</v>
      </c>
      <c r="B14" s="5">
        <v>85000000</v>
      </c>
      <c r="C14" s="374">
        <f>C4</f>
        <v>11490442.67</v>
      </c>
      <c r="D14" s="374">
        <f>C5</f>
        <v>1163478</v>
      </c>
      <c r="E14" s="374">
        <f>C6</f>
        <v>5370302.79</v>
      </c>
      <c r="F14" s="374">
        <f>C7</f>
        <v>276939</v>
      </c>
      <c r="G14" s="374">
        <f>C8</f>
        <v>149870</v>
      </c>
      <c r="H14" s="375">
        <f>C9</f>
        <v>322221.71000000002</v>
      </c>
      <c r="I14" s="374">
        <f>C10</f>
        <v>7419144.2999999998</v>
      </c>
    </row>
    <row r="15" spans="1:9" s="1" customFormat="1" ht="21.75" x14ac:dyDescent="0.5">
      <c r="A15" s="373" t="s">
        <v>1486</v>
      </c>
      <c r="B15" s="5">
        <v>20000000</v>
      </c>
      <c r="C15" s="374">
        <f>H4</f>
        <v>2433862.8966666646</v>
      </c>
      <c r="D15" s="374">
        <f>H5</f>
        <v>913058.5</v>
      </c>
      <c r="E15" s="374">
        <f>H6</f>
        <v>1179575.6975000007</v>
      </c>
      <c r="F15" s="374">
        <f>H7</f>
        <v>0</v>
      </c>
      <c r="G15" s="374">
        <f>H8</f>
        <v>24978.333333333343</v>
      </c>
      <c r="H15" s="375">
        <f>H9</f>
        <v>47851.809166666644</v>
      </c>
      <c r="I15" s="374">
        <f>H10</f>
        <v>1573048.1000000006</v>
      </c>
    </row>
    <row r="16" spans="1:9" s="1" customFormat="1" ht="21.75" x14ac:dyDescent="0.5">
      <c r="A16" s="373" t="s">
        <v>1487</v>
      </c>
      <c r="B16" s="376" t="s">
        <v>1488</v>
      </c>
      <c r="C16" s="5">
        <f>C14/C15</f>
        <v>4.7210722862561063</v>
      </c>
      <c r="D16" s="5">
        <f t="shared" ref="D16:I16" si="4">D14/D15</f>
        <v>1.2742644638870346</v>
      </c>
      <c r="E16" s="5">
        <f t="shared" si="4"/>
        <v>4.5527411266456657</v>
      </c>
      <c r="F16" s="5" t="e">
        <f t="shared" si="4"/>
        <v>#DIV/0!</v>
      </c>
      <c r="G16" s="5">
        <f t="shared" si="4"/>
        <v>5.9999999999999973</v>
      </c>
      <c r="H16" s="5">
        <f t="shared" si="4"/>
        <v>6.7337414323815832</v>
      </c>
      <c r="I16" s="5">
        <f t="shared" si="4"/>
        <v>4.7164128674768415</v>
      </c>
    </row>
    <row r="17" spans="1:9" s="1" customFormat="1" ht="43.5" x14ac:dyDescent="0.5">
      <c r="A17" s="377" t="s">
        <v>1489</v>
      </c>
      <c r="B17" s="376" t="s">
        <v>1490</v>
      </c>
      <c r="C17" s="374">
        <f>365/C16</f>
        <v>77.312944574600323</v>
      </c>
      <c r="D17" s="374">
        <f t="shared" ref="D17:G17" si="5">365/D16</f>
        <v>286.4397543400047</v>
      </c>
      <c r="E17" s="374">
        <f t="shared" si="5"/>
        <v>80.171481278339655</v>
      </c>
      <c r="F17" s="374" t="e">
        <f t="shared" si="5"/>
        <v>#DIV/0!</v>
      </c>
      <c r="G17" s="374">
        <f t="shared" si="5"/>
        <v>60.833333333333357</v>
      </c>
      <c r="H17" s="374">
        <f>365/H16</f>
        <v>54.204635515817117</v>
      </c>
      <c r="I17" s="374">
        <f t="shared" ref="I17" si="6">365/I16</f>
        <v>77.389323253896038</v>
      </c>
    </row>
    <row r="18" spans="1:9" s="1" customFormat="1" ht="21.75" x14ac:dyDescent="0.5">
      <c r="D18" s="1" t="s">
        <v>1491</v>
      </c>
      <c r="F18" s="378"/>
    </row>
    <row r="19" spans="1:9" s="21" customFormat="1" ht="24" hidden="1" x14ac:dyDescent="0.55000000000000004">
      <c r="F19" s="379"/>
    </row>
    <row r="20" spans="1:9" s="21" customFormat="1" ht="24" hidden="1" x14ac:dyDescent="0.55000000000000004">
      <c r="F20" s="379"/>
    </row>
    <row r="21" spans="1:9" s="21" customFormat="1" ht="24" x14ac:dyDescent="0.55000000000000004">
      <c r="A21" s="314" t="s">
        <v>727</v>
      </c>
      <c r="B21" s="314" t="s">
        <v>1153</v>
      </c>
      <c r="C21" s="314" t="s">
        <v>1154</v>
      </c>
      <c r="F21" s="379"/>
    </row>
    <row r="22" spans="1:9" s="284" customFormat="1" ht="72" x14ac:dyDescent="0.2">
      <c r="B22" s="380" t="s">
        <v>1492</v>
      </c>
      <c r="C22" s="380" t="s">
        <v>1362</v>
      </c>
      <c r="D22" s="380" t="s">
        <v>1493</v>
      </c>
      <c r="E22" s="380" t="s">
        <v>1494</v>
      </c>
      <c r="F22" s="381" t="s">
        <v>1364</v>
      </c>
    </row>
    <row r="23" spans="1:9" s="21" customFormat="1" ht="24" x14ac:dyDescent="0.55000000000000004">
      <c r="A23" s="21" t="s">
        <v>741</v>
      </c>
      <c r="B23" s="22">
        <v>1491929.46</v>
      </c>
      <c r="C23" s="22">
        <v>11490442.67</v>
      </c>
      <c r="D23" s="315">
        <f>C23/12</f>
        <v>957536.88916666666</v>
      </c>
      <c r="E23" s="315">
        <f>D23*8</f>
        <v>7660295.1133333333</v>
      </c>
      <c r="F23" s="163">
        <f>B23+E23</f>
        <v>9152224.5733333342</v>
      </c>
    </row>
    <row r="24" spans="1:9" s="21" customFormat="1" ht="24" x14ac:dyDescent="0.55000000000000004">
      <c r="A24" s="21" t="s">
        <v>742</v>
      </c>
      <c r="B24" s="22">
        <v>1383953.1</v>
      </c>
      <c r="C24" s="22">
        <v>1163478</v>
      </c>
      <c r="D24" s="315">
        <f t="shared" ref="D24:D29" si="7">C24/12</f>
        <v>96956.5</v>
      </c>
      <c r="E24" s="315">
        <f>D24*3</f>
        <v>290869.5</v>
      </c>
      <c r="F24" s="163">
        <f t="shared" ref="F24:F29" si="8">B24+E24</f>
        <v>1674822.6</v>
      </c>
    </row>
    <row r="25" spans="1:9" s="21" customFormat="1" ht="24" x14ac:dyDescent="0.55000000000000004">
      <c r="A25" s="21" t="s">
        <v>743</v>
      </c>
      <c r="B25" s="22">
        <v>946711.28</v>
      </c>
      <c r="C25" s="22">
        <v>5370302.79</v>
      </c>
      <c r="D25" s="315">
        <f t="shared" si="7"/>
        <v>447525.23249999998</v>
      </c>
      <c r="E25" s="315">
        <f>D25*9</f>
        <v>4027727.0924999998</v>
      </c>
      <c r="F25" s="163">
        <f t="shared" si="8"/>
        <v>4974438.3724999996</v>
      </c>
      <c r="G25" s="315"/>
    </row>
    <row r="26" spans="1:9" s="21" customFormat="1" ht="24" x14ac:dyDescent="0.55000000000000004">
      <c r="A26" s="21" t="s">
        <v>744</v>
      </c>
      <c r="B26" s="22">
        <v>0</v>
      </c>
      <c r="C26" s="22">
        <v>276939</v>
      </c>
      <c r="D26" s="315">
        <f t="shared" si="7"/>
        <v>23078.25</v>
      </c>
      <c r="E26" s="315">
        <f t="shared" ref="E26:E27" si="9">D26*10</f>
        <v>230782.5</v>
      </c>
      <c r="F26" s="163">
        <v>276939</v>
      </c>
    </row>
    <row r="27" spans="1:9" s="21" customFormat="1" ht="24" x14ac:dyDescent="0.55000000000000004">
      <c r="A27" s="21" t="s">
        <v>745</v>
      </c>
      <c r="B27" s="22">
        <v>0</v>
      </c>
      <c r="C27" s="22">
        <v>149870</v>
      </c>
      <c r="D27" s="315">
        <f t="shared" si="7"/>
        <v>12489.166666666666</v>
      </c>
      <c r="E27" s="315">
        <f t="shared" si="9"/>
        <v>124891.66666666666</v>
      </c>
      <c r="F27" s="163">
        <f t="shared" si="8"/>
        <v>124891.66666666666</v>
      </c>
    </row>
    <row r="28" spans="1:9" s="21" customFormat="1" ht="24" x14ac:dyDescent="0.55000000000000004">
      <c r="A28" s="21" t="s">
        <v>746</v>
      </c>
      <c r="B28" s="22">
        <v>146041.76</v>
      </c>
      <c r="C28" s="22">
        <v>322221.71000000002</v>
      </c>
      <c r="D28" s="315">
        <f t="shared" si="7"/>
        <v>26851.80916666667</v>
      </c>
      <c r="E28" s="315">
        <f>D28*11</f>
        <v>295369.90083333338</v>
      </c>
      <c r="F28" s="163">
        <f t="shared" si="8"/>
        <v>441411.66083333339</v>
      </c>
    </row>
    <row r="29" spans="1:9" s="21" customFormat="1" ht="24" x14ac:dyDescent="0.55000000000000004">
      <c r="A29" s="21" t="s">
        <v>747</v>
      </c>
      <c r="B29" s="22">
        <v>1441019.34</v>
      </c>
      <c r="C29" s="22">
        <v>7419144.2999999998</v>
      </c>
      <c r="D29" s="315">
        <f t="shared" si="7"/>
        <v>618262.02500000002</v>
      </c>
      <c r="E29" s="315">
        <f>D29*8</f>
        <v>4946096.2</v>
      </c>
      <c r="F29" s="163">
        <f t="shared" si="8"/>
        <v>6387115.54</v>
      </c>
    </row>
    <row r="30" spans="1:9" s="7" customFormat="1" ht="24" x14ac:dyDescent="0.55000000000000004">
      <c r="A30" s="7" t="s">
        <v>637</v>
      </c>
      <c r="B30" s="321">
        <f>SUM(B23:B29)</f>
        <v>5409654.9399999995</v>
      </c>
      <c r="C30" s="321">
        <f t="shared" ref="C30:D30" si="10">SUM(C23:C29)</f>
        <v>26192398.470000003</v>
      </c>
      <c r="D30" s="321">
        <f t="shared" si="10"/>
        <v>2182699.8725000001</v>
      </c>
      <c r="E30" s="382">
        <f>SUM(E23:E29)</f>
        <v>17576031.973333333</v>
      </c>
      <c r="F30" s="383">
        <f>SUM(F23:F29)</f>
        <v>23031843.413333334</v>
      </c>
    </row>
    <row r="31" spans="1:9" s="21" customFormat="1" ht="24" x14ac:dyDescent="0.55000000000000004">
      <c r="F31" s="379"/>
      <c r="G31" s="315"/>
    </row>
    <row r="32" spans="1:9" x14ac:dyDescent="0.25">
      <c r="G32" s="683"/>
    </row>
  </sheetData>
  <mergeCells count="2">
    <mergeCell ref="A1:H1"/>
    <mergeCell ref="A2:A3"/>
  </mergeCells>
  <pageMargins left="0.17" right="0.17" top="0.28000000000000003" bottom="0.18" header="0.3" footer="0.17"/>
  <pageSetup paperSize="9" scale="7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"/>
  <sheetViews>
    <sheetView zoomScale="120" zoomScaleNormal="120" workbookViewId="0">
      <selection activeCell="G4" sqref="G4"/>
    </sheetView>
  </sheetViews>
  <sheetFormatPr defaultColWidth="9" defaultRowHeight="22.5" x14ac:dyDescent="0.3"/>
  <cols>
    <col min="1" max="1" width="44.125" style="60" customWidth="1"/>
    <col min="2" max="8" width="12.375" style="60" customWidth="1"/>
    <col min="9" max="16384" width="9" style="60"/>
  </cols>
  <sheetData>
    <row r="1" spans="1:8" ht="30.75" x14ac:dyDescent="0.7">
      <c r="A1" s="175" t="s">
        <v>748</v>
      </c>
      <c r="B1" s="176"/>
      <c r="C1" s="176"/>
      <c r="D1" s="176"/>
      <c r="E1" s="176"/>
      <c r="F1" s="176"/>
      <c r="G1" s="176"/>
      <c r="H1" s="177"/>
    </row>
    <row r="2" spans="1:8" ht="26.25" x14ac:dyDescent="0.55000000000000004">
      <c r="A2" s="625" t="s">
        <v>727</v>
      </c>
      <c r="B2" s="178"/>
      <c r="C2" s="627" t="s">
        <v>749</v>
      </c>
      <c r="D2" s="628"/>
      <c r="E2" s="628"/>
      <c r="F2" s="629"/>
      <c r="G2" s="630" t="s">
        <v>1366</v>
      </c>
      <c r="H2" s="632" t="s">
        <v>750</v>
      </c>
    </row>
    <row r="3" spans="1:8" ht="58.5" customHeight="1" x14ac:dyDescent="0.3">
      <c r="A3" s="626"/>
      <c r="B3" s="106" t="s">
        <v>1159</v>
      </c>
      <c r="C3" s="106" t="s">
        <v>1160</v>
      </c>
      <c r="D3" s="172" t="s">
        <v>1163</v>
      </c>
      <c r="E3" s="106" t="s">
        <v>1161</v>
      </c>
      <c r="F3" s="172" t="s">
        <v>1162</v>
      </c>
      <c r="G3" s="631"/>
      <c r="H3" s="633"/>
    </row>
    <row r="4" spans="1:8" s="64" customFormat="1" ht="48" x14ac:dyDescent="0.2">
      <c r="A4" s="111" t="s">
        <v>751</v>
      </c>
      <c r="B4" s="198"/>
      <c r="C4" s="198">
        <f>'6.1แผนลงทุน'!V17</f>
        <v>119</v>
      </c>
      <c r="D4" s="179">
        <f>'6.1แผนลงทุน'!W17-'6.WS-แผนลงทุน'!F4</f>
        <v>3599525</v>
      </c>
      <c r="E4" s="198">
        <f>'6.1แผนลงทุน'!P15</f>
        <v>5</v>
      </c>
      <c r="F4" s="179">
        <f>'6.1แผนลงทุน'!Q15</f>
        <v>1374800</v>
      </c>
      <c r="G4" s="179">
        <f>SUM(D4,F4)</f>
        <v>4974325</v>
      </c>
      <c r="H4" s="63"/>
    </row>
    <row r="5" spans="1:8" ht="27.75" x14ac:dyDescent="0.65">
      <c r="A5" s="439" t="s">
        <v>752</v>
      </c>
      <c r="B5" s="371">
        <v>2983786.02</v>
      </c>
      <c r="C5" s="371">
        <v>4</v>
      </c>
      <c r="D5" s="371">
        <v>1704794.27</v>
      </c>
      <c r="E5" s="371">
        <v>2</v>
      </c>
      <c r="F5" s="371">
        <v>1851965</v>
      </c>
      <c r="G5" s="440">
        <f>SUM(D5,F5)</f>
        <v>3556759.27</v>
      </c>
      <c r="H5" s="62"/>
    </row>
    <row r="6" spans="1:8" ht="27.75" x14ac:dyDescent="0.65">
      <c r="A6" s="23" t="s">
        <v>753</v>
      </c>
      <c r="B6" s="19"/>
      <c r="C6" s="23"/>
      <c r="D6" s="154"/>
      <c r="E6" s="19"/>
      <c r="F6" s="154"/>
      <c r="G6" s="179">
        <f>SUM(D6,F6)</f>
        <v>0</v>
      </c>
      <c r="H6" s="62"/>
    </row>
    <row r="7" spans="1:8" ht="27.75" x14ac:dyDescent="0.65">
      <c r="A7" s="23" t="s">
        <v>1275</v>
      </c>
      <c r="B7" s="19"/>
      <c r="C7" s="23"/>
      <c r="D7" s="154"/>
      <c r="E7" s="23"/>
      <c r="F7" s="154"/>
      <c r="G7" s="179">
        <f>SUM(D7,F7)</f>
        <v>0</v>
      </c>
      <c r="H7" s="62"/>
    </row>
    <row r="8" spans="1:8" ht="26.25" x14ac:dyDescent="0.55000000000000004">
      <c r="A8" s="180" t="s">
        <v>637</v>
      </c>
      <c r="B8" s="154">
        <f>SUM(B4:B6)</f>
        <v>2983786.02</v>
      </c>
      <c r="C8" s="20"/>
      <c r="D8" s="154">
        <f>SUM(D4:D6)</f>
        <v>5304319.2699999996</v>
      </c>
      <c r="E8" s="23"/>
      <c r="F8" s="154">
        <f>SUM(F4:F6)</f>
        <v>3226765</v>
      </c>
      <c r="G8" s="154">
        <f>SUM(G4:G6)</f>
        <v>8531084.2699999996</v>
      </c>
      <c r="H8" s="23"/>
    </row>
  </sheetData>
  <mergeCells count="4">
    <mergeCell ref="A2:A3"/>
    <mergeCell ref="C2:F2"/>
    <mergeCell ref="G2:G3"/>
    <mergeCell ref="H2:H3"/>
  </mergeCells>
  <pageMargins left="0.32" right="0.24" top="0.75" bottom="0.75" header="0.3" footer="0.3"/>
  <pageSetup paperSize="9" scale="9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19"/>
  <sheetViews>
    <sheetView zoomScale="110" zoomScaleNormal="110" workbookViewId="0">
      <pane xSplit="1" topLeftCell="B1" activePane="topRight" state="frozen"/>
      <selection pane="topRight" activeCell="Q20" sqref="Q19:Q20"/>
    </sheetView>
  </sheetViews>
  <sheetFormatPr defaultColWidth="19" defaultRowHeight="32.25" customHeight="1" x14ac:dyDescent="0.2"/>
  <cols>
    <col min="1" max="1" width="16" style="537" customWidth="1"/>
    <col min="2" max="2" width="7.125" style="537" customWidth="1"/>
    <col min="3" max="3" width="9.5" style="537" bestFit="1" customWidth="1"/>
    <col min="4" max="5" width="5" style="537" customWidth="1"/>
    <col min="6" max="6" width="6.875" style="537" customWidth="1"/>
    <col min="7" max="7" width="8.375" style="368" bestFit="1" customWidth="1"/>
    <col min="8" max="8" width="6.625" style="537" customWidth="1"/>
    <col min="9" max="9" width="8" style="537" bestFit="1" customWidth="1"/>
    <col min="10" max="10" width="6.875" style="537" customWidth="1"/>
    <col min="11" max="11" width="8" style="368" bestFit="1" customWidth="1"/>
    <col min="12" max="12" width="7.125" style="537" customWidth="1"/>
    <col min="13" max="13" width="8.375" style="537" bestFit="1" customWidth="1"/>
    <col min="14" max="14" width="7.25" style="537" customWidth="1"/>
    <col min="15" max="15" width="8.375" style="537" bestFit="1" customWidth="1"/>
    <col min="16" max="16" width="6.875" style="537" customWidth="1"/>
    <col min="17" max="17" width="9.5" style="537" bestFit="1" customWidth="1"/>
    <col min="18" max="18" width="7" style="537" customWidth="1"/>
    <col min="19" max="19" width="8.375" style="537" bestFit="1" customWidth="1"/>
    <col min="20" max="20" width="6.25" style="537" customWidth="1"/>
    <col min="21" max="21" width="8.375" style="537" bestFit="1" customWidth="1"/>
    <col min="22" max="22" width="6.25" style="537" customWidth="1"/>
    <col min="23" max="23" width="9.5" style="537" bestFit="1" customWidth="1"/>
    <col min="24" max="16384" width="19" style="537"/>
  </cols>
  <sheetData>
    <row r="1" spans="1:36" ht="32.25" customHeight="1" x14ac:dyDescent="0.4">
      <c r="A1" s="536" t="s">
        <v>1464</v>
      </c>
    </row>
    <row r="3" spans="1:36" s="557" customFormat="1" ht="18" x14ac:dyDescent="0.4">
      <c r="A3" s="688" t="s">
        <v>727</v>
      </c>
      <c r="B3" s="634" t="s">
        <v>1404</v>
      </c>
      <c r="C3" s="635"/>
      <c r="D3" s="634" t="s">
        <v>1420</v>
      </c>
      <c r="E3" s="635"/>
      <c r="F3" s="634" t="s">
        <v>1405</v>
      </c>
      <c r="G3" s="635"/>
      <c r="H3" s="634" t="s">
        <v>1406</v>
      </c>
      <c r="I3" s="635"/>
      <c r="J3" s="634" t="s">
        <v>1407</v>
      </c>
      <c r="K3" s="635"/>
      <c r="L3" s="634" t="s">
        <v>1408</v>
      </c>
      <c r="M3" s="635"/>
      <c r="N3" s="634" t="s">
        <v>1409</v>
      </c>
      <c r="O3" s="635"/>
      <c r="P3" s="634" t="s">
        <v>1465</v>
      </c>
      <c r="Q3" s="635"/>
      <c r="R3" s="634" t="s">
        <v>1466</v>
      </c>
      <c r="S3" s="635"/>
      <c r="T3" s="634" t="s">
        <v>1467</v>
      </c>
      <c r="U3" s="635"/>
      <c r="V3" s="634" t="s">
        <v>1468</v>
      </c>
      <c r="W3" s="635"/>
      <c r="X3" s="548"/>
      <c r="Y3" s="548"/>
      <c r="Z3" s="537"/>
      <c r="AA3" s="537"/>
      <c r="AB3" s="537"/>
      <c r="AC3" s="537"/>
      <c r="AD3" s="537"/>
      <c r="AE3" s="537"/>
      <c r="AF3" s="537"/>
      <c r="AG3" s="537"/>
      <c r="AH3" s="537"/>
      <c r="AI3" s="537"/>
      <c r="AJ3" s="537"/>
    </row>
    <row r="4" spans="1:36" s="687" customFormat="1" ht="51.75" x14ac:dyDescent="0.2">
      <c r="A4" s="689"/>
      <c r="B4" s="684" t="s">
        <v>1469</v>
      </c>
      <c r="C4" s="684" t="s">
        <v>1470</v>
      </c>
      <c r="D4" s="684" t="s">
        <v>1469</v>
      </c>
      <c r="E4" s="684" t="s">
        <v>1470</v>
      </c>
      <c r="F4" s="684" t="s">
        <v>1469</v>
      </c>
      <c r="G4" s="685" t="s">
        <v>1470</v>
      </c>
      <c r="H4" s="684" t="s">
        <v>1469</v>
      </c>
      <c r="I4" s="685" t="s">
        <v>1470</v>
      </c>
      <c r="J4" s="684" t="s">
        <v>1469</v>
      </c>
      <c r="K4" s="685" t="s">
        <v>1470</v>
      </c>
      <c r="L4" s="684" t="s">
        <v>1469</v>
      </c>
      <c r="M4" s="685" t="s">
        <v>1470</v>
      </c>
      <c r="N4" s="684" t="s">
        <v>1469</v>
      </c>
      <c r="O4" s="685" t="s">
        <v>1470</v>
      </c>
      <c r="P4" s="684" t="s">
        <v>1469</v>
      </c>
      <c r="Q4" s="684" t="s">
        <v>1470</v>
      </c>
      <c r="R4" s="684" t="s">
        <v>1469</v>
      </c>
      <c r="S4" s="685" t="s">
        <v>1470</v>
      </c>
      <c r="T4" s="684" t="s">
        <v>1469</v>
      </c>
      <c r="U4" s="684" t="s">
        <v>1470</v>
      </c>
      <c r="V4" s="684" t="s">
        <v>1469</v>
      </c>
      <c r="W4" s="684" t="s">
        <v>1470</v>
      </c>
      <c r="X4" s="686"/>
      <c r="Y4" s="686"/>
      <c r="Z4" s="686"/>
      <c r="AA4" s="686"/>
      <c r="AB4" s="686"/>
      <c r="AC4" s="686"/>
      <c r="AD4" s="686"/>
      <c r="AE4" s="686"/>
      <c r="AF4" s="686"/>
      <c r="AG4" s="686"/>
      <c r="AH4" s="686"/>
      <c r="AI4" s="686"/>
      <c r="AJ4" s="686"/>
    </row>
    <row r="5" spans="1:36" s="557" customFormat="1" ht="18" x14ac:dyDescent="0.4">
      <c r="A5" s="538" t="s">
        <v>1471</v>
      </c>
      <c r="B5" s="539">
        <v>23</v>
      </c>
      <c r="C5" s="540">
        <v>803550</v>
      </c>
      <c r="D5" s="540"/>
      <c r="E5" s="540"/>
      <c r="F5" s="539"/>
      <c r="G5" s="540"/>
      <c r="H5" s="539">
        <v>2</v>
      </c>
      <c r="I5" s="540">
        <v>70300</v>
      </c>
      <c r="J5" s="539"/>
      <c r="K5" s="540"/>
      <c r="L5" s="539">
        <v>1</v>
      </c>
      <c r="M5" s="540">
        <v>6500</v>
      </c>
      <c r="N5" s="541">
        <v>6</v>
      </c>
      <c r="O5" s="540">
        <v>558000</v>
      </c>
      <c r="P5" s="539"/>
      <c r="Q5" s="540"/>
      <c r="R5" s="539"/>
      <c r="S5" s="540"/>
      <c r="T5" s="538"/>
      <c r="U5" s="538"/>
      <c r="V5" s="542">
        <f>B5+D5+F5+H5+J5+L5+N5+P5+R5+T5</f>
        <v>32</v>
      </c>
      <c r="W5" s="542">
        <f>C5+E5+G5+I5+K5+M5+O5+Q5+S5+U5</f>
        <v>1438350</v>
      </c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</row>
    <row r="6" spans="1:36" s="557" customFormat="1" ht="18" x14ac:dyDescent="0.4">
      <c r="A6" s="543" t="s">
        <v>1472</v>
      </c>
      <c r="B6" s="539">
        <v>10</v>
      </c>
      <c r="C6" s="544">
        <v>483000</v>
      </c>
      <c r="D6" s="540"/>
      <c r="E6" s="540"/>
      <c r="F6" s="539">
        <v>3</v>
      </c>
      <c r="G6" s="540">
        <v>50500</v>
      </c>
      <c r="H6" s="539"/>
      <c r="I6" s="540"/>
      <c r="J6" s="539">
        <v>5</v>
      </c>
      <c r="K6" s="540">
        <v>16700</v>
      </c>
      <c r="L6" s="539"/>
      <c r="M6" s="540"/>
      <c r="N6" s="539">
        <v>4</v>
      </c>
      <c r="O6" s="540">
        <v>22000</v>
      </c>
      <c r="P6" s="539">
        <v>7</v>
      </c>
      <c r="Q6" s="540">
        <v>309800</v>
      </c>
      <c r="R6" s="539">
        <v>1</v>
      </c>
      <c r="S6" s="540">
        <v>150000</v>
      </c>
      <c r="T6" s="540">
        <v>2</v>
      </c>
      <c r="U6" s="540">
        <v>49400</v>
      </c>
      <c r="V6" s="542">
        <f t="shared" ref="V6:V16" si="0">B6+D6+F6+H6+J6+L6+N6+P6+R6+T6</f>
        <v>32</v>
      </c>
      <c r="W6" s="542">
        <f t="shared" ref="W6:W16" si="1">C6+E6+G6+I6+K6+M6+O6+Q6+S6+U6</f>
        <v>1081400</v>
      </c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/>
      <c r="AI6" s="537"/>
      <c r="AJ6" s="537"/>
    </row>
    <row r="7" spans="1:36" s="557" customFormat="1" ht="18.75" thickBot="1" x14ac:dyDescent="0.45">
      <c r="A7" s="543" t="s">
        <v>1473</v>
      </c>
      <c r="B7" s="539">
        <v>7</v>
      </c>
      <c r="C7" s="540">
        <v>84000</v>
      </c>
      <c r="D7" s="540"/>
      <c r="E7" s="540"/>
      <c r="F7" s="539">
        <v>2</v>
      </c>
      <c r="G7" s="540">
        <v>102000</v>
      </c>
      <c r="H7" s="539"/>
      <c r="I7" s="540"/>
      <c r="J7" s="539"/>
      <c r="K7" s="540"/>
      <c r="L7" s="539"/>
      <c r="M7" s="540"/>
      <c r="N7" s="539"/>
      <c r="O7" s="540"/>
      <c r="P7" s="539">
        <v>1</v>
      </c>
      <c r="Q7" s="545">
        <v>5500</v>
      </c>
      <c r="R7" s="539"/>
      <c r="S7" s="540"/>
      <c r="T7" s="538"/>
      <c r="U7" s="538"/>
      <c r="V7" s="542">
        <f t="shared" si="0"/>
        <v>10</v>
      </c>
      <c r="W7" s="542">
        <f t="shared" si="1"/>
        <v>191500</v>
      </c>
      <c r="X7" s="537"/>
      <c r="Y7" s="537"/>
      <c r="Z7" s="537"/>
      <c r="AA7" s="537"/>
      <c r="AB7" s="537"/>
      <c r="AC7" s="537"/>
      <c r="AD7" s="537"/>
      <c r="AE7" s="537"/>
      <c r="AF7" s="537"/>
      <c r="AG7" s="537"/>
      <c r="AH7" s="537"/>
      <c r="AI7" s="537"/>
      <c r="AJ7" s="537"/>
    </row>
    <row r="8" spans="1:36" s="557" customFormat="1" ht="18.75" thickTop="1" x14ac:dyDescent="0.4">
      <c r="A8" s="538" t="s">
        <v>1474</v>
      </c>
      <c r="B8" s="539"/>
      <c r="C8" s="540"/>
      <c r="D8" s="540"/>
      <c r="E8" s="540"/>
      <c r="F8" s="539"/>
      <c r="G8" s="540"/>
      <c r="H8" s="539"/>
      <c r="I8" s="540"/>
      <c r="J8" s="539"/>
      <c r="K8" s="540"/>
      <c r="L8" s="539">
        <v>4</v>
      </c>
      <c r="M8" s="540">
        <v>130500</v>
      </c>
      <c r="N8" s="539"/>
      <c r="O8" s="540"/>
      <c r="P8" s="539">
        <v>1</v>
      </c>
      <c r="Q8" s="540">
        <v>10200</v>
      </c>
      <c r="R8" s="539"/>
      <c r="S8" s="540"/>
      <c r="T8" s="540"/>
      <c r="U8" s="540"/>
      <c r="V8" s="542">
        <f t="shared" si="0"/>
        <v>5</v>
      </c>
      <c r="W8" s="542">
        <f t="shared" si="1"/>
        <v>140700</v>
      </c>
      <c r="X8" s="537"/>
      <c r="Y8" s="537"/>
      <c r="Z8" s="537"/>
      <c r="AA8" s="537"/>
      <c r="AB8" s="537"/>
      <c r="AC8" s="537"/>
      <c r="AD8" s="537"/>
      <c r="AE8" s="537"/>
      <c r="AF8" s="537"/>
      <c r="AG8" s="537"/>
      <c r="AH8" s="537"/>
      <c r="AI8" s="537"/>
      <c r="AJ8" s="537"/>
    </row>
    <row r="9" spans="1:36" s="557" customFormat="1" ht="18" x14ac:dyDescent="0.4">
      <c r="A9" s="538" t="s">
        <v>1475</v>
      </c>
      <c r="B9" s="539"/>
      <c r="C9" s="540"/>
      <c r="D9" s="540"/>
      <c r="E9" s="540"/>
      <c r="F9" s="539"/>
      <c r="G9" s="540"/>
      <c r="H9" s="539"/>
      <c r="I9" s="540"/>
      <c r="J9" s="539"/>
      <c r="K9" s="540"/>
      <c r="L9" s="539"/>
      <c r="M9" s="540"/>
      <c r="N9" s="539"/>
      <c r="O9" s="540"/>
      <c r="P9" s="539"/>
      <c r="Q9" s="540"/>
      <c r="R9" s="539"/>
      <c r="S9" s="540"/>
      <c r="T9" s="540">
        <v>9</v>
      </c>
      <c r="U9" s="540">
        <v>276000</v>
      </c>
      <c r="V9" s="542">
        <f t="shared" si="0"/>
        <v>9</v>
      </c>
      <c r="W9" s="542">
        <f t="shared" si="1"/>
        <v>276000</v>
      </c>
      <c r="X9" s="537"/>
      <c r="Y9" s="537"/>
      <c r="Z9" s="537"/>
      <c r="AA9" s="537"/>
      <c r="AB9" s="537"/>
      <c r="AC9" s="537"/>
      <c r="AD9" s="537"/>
      <c r="AE9" s="537"/>
      <c r="AF9" s="537"/>
      <c r="AG9" s="537"/>
      <c r="AH9" s="537"/>
      <c r="AI9" s="537"/>
      <c r="AJ9" s="537"/>
    </row>
    <row r="10" spans="1:36" s="557" customFormat="1" ht="18" x14ac:dyDescent="0.4">
      <c r="A10" s="538" t="s">
        <v>1476</v>
      </c>
      <c r="B10" s="539"/>
      <c r="C10" s="540"/>
      <c r="D10" s="540"/>
      <c r="E10" s="540"/>
      <c r="F10" s="539"/>
      <c r="G10" s="540"/>
      <c r="H10" s="539"/>
      <c r="I10" s="540"/>
      <c r="J10" s="539"/>
      <c r="K10" s="540"/>
      <c r="L10" s="539">
        <v>1</v>
      </c>
      <c r="M10" s="540">
        <v>12500</v>
      </c>
      <c r="N10" s="539"/>
      <c r="O10" s="540"/>
      <c r="P10" s="539"/>
      <c r="Q10" s="540"/>
      <c r="R10" s="539"/>
      <c r="S10" s="540"/>
      <c r="T10" s="540"/>
      <c r="U10" s="540"/>
      <c r="V10" s="542">
        <f t="shared" si="0"/>
        <v>1</v>
      </c>
      <c r="W10" s="542">
        <f t="shared" si="1"/>
        <v>12500</v>
      </c>
      <c r="X10" s="537"/>
      <c r="Y10" s="537"/>
      <c r="Z10" s="537"/>
      <c r="AA10" s="537"/>
      <c r="AB10" s="537"/>
      <c r="AC10" s="537"/>
      <c r="AD10" s="537"/>
      <c r="AE10" s="537"/>
      <c r="AF10" s="537"/>
      <c r="AG10" s="537"/>
      <c r="AH10" s="537"/>
      <c r="AI10" s="537"/>
      <c r="AJ10" s="537"/>
    </row>
    <row r="11" spans="1:36" s="557" customFormat="1" ht="18" x14ac:dyDescent="0.4">
      <c r="A11" s="538" t="s">
        <v>1477</v>
      </c>
      <c r="B11" s="539">
        <v>1</v>
      </c>
      <c r="C11" s="540">
        <v>7200</v>
      </c>
      <c r="D11" s="538"/>
      <c r="E11" s="538"/>
      <c r="F11" s="539"/>
      <c r="G11" s="540"/>
      <c r="H11" s="539"/>
      <c r="I11" s="540"/>
      <c r="J11" s="539"/>
      <c r="K11" s="540"/>
      <c r="L11" s="539"/>
      <c r="M11" s="540"/>
      <c r="N11" s="539"/>
      <c r="O11" s="540"/>
      <c r="P11" s="539"/>
      <c r="Q11" s="540"/>
      <c r="R11" s="539"/>
      <c r="S11" s="540"/>
      <c r="T11" s="540">
        <v>9</v>
      </c>
      <c r="U11" s="540">
        <v>366000</v>
      </c>
      <c r="V11" s="542">
        <f t="shared" si="0"/>
        <v>10</v>
      </c>
      <c r="W11" s="542">
        <f t="shared" si="1"/>
        <v>373200</v>
      </c>
      <c r="X11" s="537"/>
      <c r="Y11" s="537"/>
      <c r="Z11" s="537"/>
      <c r="AA11" s="537"/>
      <c r="AB11" s="537"/>
      <c r="AC11" s="537"/>
      <c r="AD11" s="537"/>
      <c r="AE11" s="537"/>
      <c r="AF11" s="537"/>
      <c r="AG11" s="537"/>
      <c r="AH11" s="537"/>
      <c r="AI11" s="537"/>
      <c r="AJ11" s="537"/>
    </row>
    <row r="12" spans="1:36" s="557" customFormat="1" ht="18" x14ac:dyDescent="0.4">
      <c r="A12" s="546" t="s">
        <v>1478</v>
      </c>
      <c r="B12" s="539"/>
      <c r="C12" s="540"/>
      <c r="D12" s="540"/>
      <c r="E12" s="540"/>
      <c r="F12" s="538"/>
      <c r="G12" s="540"/>
      <c r="H12" s="538"/>
      <c r="I12" s="540"/>
      <c r="J12" s="538"/>
      <c r="K12" s="540"/>
      <c r="L12" s="538"/>
      <c r="M12" s="540"/>
      <c r="N12" s="538"/>
      <c r="O12" s="540"/>
      <c r="P12" s="539"/>
      <c r="Q12" s="540"/>
      <c r="R12" s="538"/>
      <c r="S12" s="540"/>
      <c r="T12" s="538"/>
      <c r="U12" s="538"/>
      <c r="V12" s="542">
        <f t="shared" si="0"/>
        <v>0</v>
      </c>
      <c r="W12" s="542">
        <f t="shared" si="1"/>
        <v>0</v>
      </c>
      <c r="X12" s="537"/>
      <c r="Y12" s="537"/>
      <c r="Z12" s="537"/>
      <c r="AA12" s="537"/>
      <c r="AB12" s="537"/>
      <c r="AC12" s="537"/>
      <c r="AD12" s="537"/>
      <c r="AE12" s="537"/>
      <c r="AF12" s="537"/>
      <c r="AG12" s="537"/>
      <c r="AH12" s="537"/>
      <c r="AI12" s="537"/>
      <c r="AJ12" s="537"/>
    </row>
    <row r="13" spans="1:36" s="557" customFormat="1" ht="18" x14ac:dyDescent="0.4">
      <c r="A13" s="546" t="s">
        <v>1480</v>
      </c>
      <c r="B13" s="539"/>
      <c r="C13" s="540"/>
      <c r="D13" s="540"/>
      <c r="E13" s="540"/>
      <c r="F13" s="539">
        <v>5</v>
      </c>
      <c r="G13" s="540">
        <v>33200</v>
      </c>
      <c r="H13" s="538"/>
      <c r="I13" s="540"/>
      <c r="J13" s="558"/>
      <c r="K13" s="559"/>
      <c r="L13" s="538"/>
      <c r="M13" s="540"/>
      <c r="N13" s="538"/>
      <c r="O13" s="540"/>
      <c r="P13" s="539">
        <v>7</v>
      </c>
      <c r="Q13" s="540">
        <v>18100</v>
      </c>
      <c r="R13" s="538"/>
      <c r="S13" s="540"/>
      <c r="T13" s="538"/>
      <c r="U13" s="538"/>
      <c r="V13" s="542">
        <f t="shared" si="0"/>
        <v>12</v>
      </c>
      <c r="W13" s="542">
        <f t="shared" si="1"/>
        <v>51300</v>
      </c>
      <c r="X13" s="537"/>
      <c r="Y13" s="537"/>
      <c r="Z13" s="537"/>
      <c r="AA13" s="537"/>
      <c r="AB13" s="537"/>
      <c r="AC13" s="537"/>
      <c r="AD13" s="537"/>
      <c r="AE13" s="537"/>
      <c r="AF13" s="537"/>
      <c r="AG13" s="537"/>
      <c r="AH13" s="537"/>
      <c r="AI13" s="537"/>
      <c r="AJ13" s="537"/>
    </row>
    <row r="14" spans="1:36" s="557" customFormat="1" ht="18" x14ac:dyDescent="0.4">
      <c r="A14" s="546" t="s">
        <v>1481</v>
      </c>
      <c r="B14" s="539"/>
      <c r="C14" s="540"/>
      <c r="D14" s="540"/>
      <c r="E14" s="540"/>
      <c r="F14" s="538"/>
      <c r="G14" s="540"/>
      <c r="H14" s="538"/>
      <c r="I14" s="540"/>
      <c r="J14" s="538"/>
      <c r="K14" s="540"/>
      <c r="L14" s="538"/>
      <c r="M14" s="540"/>
      <c r="N14" s="538"/>
      <c r="O14" s="540"/>
      <c r="P14" s="539">
        <v>3</v>
      </c>
      <c r="Q14" s="540">
        <v>34575</v>
      </c>
      <c r="R14" s="538"/>
      <c r="S14" s="540"/>
      <c r="T14" s="538"/>
      <c r="U14" s="538"/>
      <c r="V14" s="542">
        <f t="shared" si="0"/>
        <v>3</v>
      </c>
      <c r="W14" s="542">
        <f t="shared" si="1"/>
        <v>34575</v>
      </c>
      <c r="X14" s="537"/>
      <c r="Y14" s="537"/>
      <c r="Z14" s="537"/>
      <c r="AA14" s="537"/>
      <c r="AB14" s="537"/>
      <c r="AC14" s="537"/>
      <c r="AD14" s="537"/>
      <c r="AE14" s="537"/>
      <c r="AF14" s="537"/>
      <c r="AG14" s="537"/>
      <c r="AH14" s="537"/>
      <c r="AI14" s="537"/>
      <c r="AJ14" s="537"/>
    </row>
    <row r="15" spans="1:36" s="557" customFormat="1" ht="18" x14ac:dyDescent="0.4">
      <c r="A15" s="538" t="s">
        <v>1479</v>
      </c>
      <c r="B15" s="539"/>
      <c r="C15" s="540"/>
      <c r="D15" s="540"/>
      <c r="E15" s="540"/>
      <c r="F15" s="538"/>
      <c r="G15" s="540"/>
      <c r="H15" s="538"/>
      <c r="I15" s="540"/>
      <c r="J15" s="538"/>
      <c r="K15" s="540"/>
      <c r="L15" s="538"/>
      <c r="M15" s="540"/>
      <c r="N15" s="538"/>
      <c r="O15" s="540"/>
      <c r="P15" s="539">
        <v>5</v>
      </c>
      <c r="Q15" s="540">
        <v>1374800</v>
      </c>
      <c r="R15" s="538"/>
      <c r="S15" s="540"/>
      <c r="T15" s="538"/>
      <c r="U15" s="538"/>
      <c r="V15" s="542">
        <f t="shared" si="0"/>
        <v>5</v>
      </c>
      <c r="W15" s="542">
        <f t="shared" si="1"/>
        <v>1374800</v>
      </c>
      <c r="X15" s="537"/>
      <c r="Y15" s="537"/>
      <c r="Z15" s="537"/>
      <c r="AA15" s="537"/>
      <c r="AB15" s="537"/>
      <c r="AC15" s="537"/>
      <c r="AD15" s="537"/>
      <c r="AE15" s="537"/>
      <c r="AF15" s="537"/>
      <c r="AG15" s="537"/>
      <c r="AH15" s="537"/>
      <c r="AI15" s="537"/>
      <c r="AJ15" s="537"/>
    </row>
    <row r="16" spans="1:36" s="557" customFormat="1" ht="18.75" thickBot="1" x14ac:dyDescent="0.45">
      <c r="A16" s="547"/>
      <c r="B16" s="538"/>
      <c r="C16" s="538"/>
      <c r="D16" s="538"/>
      <c r="E16" s="538"/>
      <c r="F16" s="538"/>
      <c r="G16" s="540"/>
      <c r="H16" s="538"/>
      <c r="I16" s="540"/>
      <c r="J16" s="538"/>
      <c r="K16" s="540"/>
      <c r="L16" s="538"/>
      <c r="M16" s="540"/>
      <c r="N16" s="538"/>
      <c r="O16" s="540"/>
      <c r="P16" s="539"/>
      <c r="Q16" s="540"/>
      <c r="R16" s="538"/>
      <c r="S16" s="540"/>
      <c r="T16" s="538"/>
      <c r="U16" s="538"/>
      <c r="V16" s="542">
        <f t="shared" si="0"/>
        <v>0</v>
      </c>
      <c r="W16" s="542">
        <f t="shared" si="1"/>
        <v>0</v>
      </c>
      <c r="X16" s="537"/>
      <c r="Y16" s="537"/>
      <c r="Z16" s="537"/>
      <c r="AA16" s="537"/>
      <c r="AB16" s="537"/>
      <c r="AC16" s="537"/>
      <c r="AD16" s="537"/>
      <c r="AE16" s="537"/>
      <c r="AF16" s="537"/>
      <c r="AG16" s="537"/>
      <c r="AH16" s="537"/>
      <c r="AI16" s="537"/>
      <c r="AJ16" s="537"/>
    </row>
    <row r="17" spans="1:36" s="557" customFormat="1" ht="18.75" thickBot="1" x14ac:dyDescent="0.45">
      <c r="A17" s="548"/>
      <c r="B17" s="560">
        <f>SUM(B5:B16)</f>
        <v>41</v>
      </c>
      <c r="C17" s="560">
        <f t="shared" ref="C17:U17" si="2">SUM(C5:C16)</f>
        <v>1377750</v>
      </c>
      <c r="D17" s="560">
        <f t="shared" si="2"/>
        <v>0</v>
      </c>
      <c r="E17" s="560">
        <f t="shared" si="2"/>
        <v>0</v>
      </c>
      <c r="F17" s="560">
        <f t="shared" si="2"/>
        <v>10</v>
      </c>
      <c r="G17" s="560">
        <f t="shared" si="2"/>
        <v>185700</v>
      </c>
      <c r="H17" s="560">
        <f t="shared" si="2"/>
        <v>2</v>
      </c>
      <c r="I17" s="560">
        <f t="shared" si="2"/>
        <v>70300</v>
      </c>
      <c r="J17" s="560">
        <f t="shared" si="2"/>
        <v>5</v>
      </c>
      <c r="K17" s="560">
        <f t="shared" si="2"/>
        <v>16700</v>
      </c>
      <c r="L17" s="560">
        <f t="shared" si="2"/>
        <v>6</v>
      </c>
      <c r="M17" s="560">
        <f t="shared" si="2"/>
        <v>149500</v>
      </c>
      <c r="N17" s="560">
        <f t="shared" si="2"/>
        <v>10</v>
      </c>
      <c r="O17" s="560">
        <f t="shared" si="2"/>
        <v>580000</v>
      </c>
      <c r="P17" s="560">
        <f t="shared" si="2"/>
        <v>24</v>
      </c>
      <c r="Q17" s="560">
        <f t="shared" si="2"/>
        <v>1752975</v>
      </c>
      <c r="R17" s="560">
        <f t="shared" si="2"/>
        <v>1</v>
      </c>
      <c r="S17" s="560">
        <f t="shared" si="2"/>
        <v>150000</v>
      </c>
      <c r="T17" s="560">
        <f t="shared" si="2"/>
        <v>20</v>
      </c>
      <c r="U17" s="560">
        <f t="shared" si="2"/>
        <v>691400</v>
      </c>
      <c r="V17" s="549">
        <f>SUM(V5:V16)</f>
        <v>119</v>
      </c>
      <c r="W17" s="549">
        <f>SUM(W5:W16)</f>
        <v>4974325</v>
      </c>
      <c r="X17" s="537"/>
      <c r="Y17" s="537"/>
      <c r="Z17" s="537"/>
      <c r="AA17" s="537"/>
      <c r="AB17" s="537"/>
      <c r="AC17" s="537"/>
      <c r="AD17" s="537"/>
      <c r="AE17" s="537"/>
      <c r="AF17" s="537"/>
      <c r="AG17" s="537"/>
      <c r="AH17" s="537"/>
      <c r="AI17" s="537"/>
      <c r="AJ17" s="537"/>
    </row>
    <row r="18" spans="1:36" ht="32.25" customHeight="1" x14ac:dyDescent="0.4">
      <c r="A18" s="548"/>
      <c r="B18" s="548"/>
      <c r="C18" s="548"/>
      <c r="D18" s="548"/>
      <c r="E18" s="548"/>
      <c r="F18" s="548"/>
      <c r="G18" s="550"/>
      <c r="H18" s="548"/>
      <c r="I18" s="550"/>
      <c r="J18" s="548"/>
      <c r="K18" s="550"/>
      <c r="L18" s="548"/>
      <c r="M18" s="550"/>
      <c r="N18" s="548"/>
      <c r="O18" s="550"/>
      <c r="P18" s="548"/>
      <c r="Q18" s="548"/>
      <c r="R18" s="548"/>
      <c r="S18" s="550"/>
      <c r="T18" s="548"/>
      <c r="U18" s="548"/>
      <c r="V18" s="548"/>
      <c r="W18" s="548"/>
    </row>
    <row r="19" spans="1:36" ht="32.25" customHeight="1" x14ac:dyDescent="0.2">
      <c r="G19" s="551"/>
    </row>
  </sheetData>
  <mergeCells count="12">
    <mergeCell ref="A3:A4"/>
    <mergeCell ref="B3:C3"/>
    <mergeCell ref="D3:E3"/>
    <mergeCell ref="F3:G3"/>
    <mergeCell ref="H3:I3"/>
    <mergeCell ref="V3:W3"/>
    <mergeCell ref="J3:K3"/>
    <mergeCell ref="L3:M3"/>
    <mergeCell ref="N3:O3"/>
    <mergeCell ref="P3:Q3"/>
    <mergeCell ref="R3:S3"/>
    <mergeCell ref="T3:U3"/>
  </mergeCells>
  <pageMargins left="0.17" right="0.17" top="0.75" bottom="0.75" header="0.3" footer="0.3"/>
  <pageSetup paperSize="9" scale="7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4"/>
  <sheetViews>
    <sheetView zoomScale="90" zoomScaleNormal="90" workbookViewId="0">
      <pane xSplit="1" ySplit="2" topLeftCell="B9" activePane="bottomRight" state="frozen"/>
      <selection pane="topRight" activeCell="B1" sqref="B1"/>
      <selection pane="bottomLeft" activeCell="A3" sqref="A3"/>
      <selection pane="bottomRight" sqref="A1:G18"/>
    </sheetView>
  </sheetViews>
  <sheetFormatPr defaultRowHeight="14.25" x14ac:dyDescent="0.2"/>
  <cols>
    <col min="1" max="1" width="9.125" customWidth="1"/>
    <col min="2" max="2" width="23.125" customWidth="1"/>
    <col min="3" max="3" width="19.125" customWidth="1"/>
    <col min="4" max="4" width="17.25" style="232" customWidth="1"/>
    <col min="5" max="5" width="20.125" style="232" customWidth="1"/>
    <col min="6" max="6" width="15.875" style="232" customWidth="1"/>
    <col min="7" max="7" width="24.375" style="232" customWidth="1"/>
  </cols>
  <sheetData>
    <row r="1" spans="1:7" ht="27.75" x14ac:dyDescent="0.65">
      <c r="A1" s="61"/>
      <c r="B1" s="640" t="s">
        <v>754</v>
      </c>
      <c r="C1" s="641"/>
      <c r="D1" s="641"/>
      <c r="E1" s="641"/>
      <c r="F1" s="641"/>
      <c r="G1" s="641"/>
    </row>
    <row r="2" spans="1:7" ht="48" x14ac:dyDescent="0.2">
      <c r="A2" s="65" t="s">
        <v>756</v>
      </c>
      <c r="B2" s="106" t="s">
        <v>757</v>
      </c>
      <c r="C2" s="67" t="s">
        <v>763</v>
      </c>
      <c r="D2" s="361" t="s">
        <v>760</v>
      </c>
      <c r="E2" s="362" t="s">
        <v>758</v>
      </c>
      <c r="F2" s="362" t="s">
        <v>759</v>
      </c>
      <c r="G2" s="363" t="s">
        <v>755</v>
      </c>
    </row>
    <row r="3" spans="1:7" ht="24" x14ac:dyDescent="0.2">
      <c r="A3" s="65">
        <v>1</v>
      </c>
      <c r="B3" s="364" t="s">
        <v>1442</v>
      </c>
      <c r="C3" s="362">
        <v>330000</v>
      </c>
      <c r="D3" s="361">
        <f>'[1]7.1แผน รพ.สต.'!Z4</f>
        <v>788239.4</v>
      </c>
      <c r="E3" s="362">
        <f>'[1]7.1แผน รพ.สต.'!AA4</f>
        <v>238328.10780000006</v>
      </c>
      <c r="F3" s="362">
        <f>'[1]7.1แผน รพ.สต.'!X4</f>
        <v>0</v>
      </c>
      <c r="G3" s="365">
        <f>SUM(C3:F4)</f>
        <v>2313767.2142000003</v>
      </c>
    </row>
    <row r="4" spans="1:7" ht="24" x14ac:dyDescent="0.2">
      <c r="A4" s="65">
        <v>2</v>
      </c>
      <c r="B4" s="364" t="s">
        <v>1444</v>
      </c>
      <c r="C4" s="362">
        <v>300000</v>
      </c>
      <c r="D4" s="361">
        <f>'[1]7.1แผน รพ.สต.'!Z5</f>
        <v>472106.4</v>
      </c>
      <c r="E4" s="362">
        <f>'[1]7.1แผน รพ.สต.'!AA5</f>
        <v>185093.3064</v>
      </c>
      <c r="F4" s="362">
        <f>'[1]7.1แผน รพ.สต.'!X5</f>
        <v>0</v>
      </c>
      <c r="G4" s="365">
        <f t="shared" ref="G4:G8" si="0">SUM(C4:F5)</f>
        <v>2782034.7727999999</v>
      </c>
    </row>
    <row r="5" spans="1:7" ht="24" x14ac:dyDescent="0.2">
      <c r="A5" s="65">
        <v>3</v>
      </c>
      <c r="B5" s="364" t="s">
        <v>1446</v>
      </c>
      <c r="C5" s="362">
        <v>300000</v>
      </c>
      <c r="D5" s="361">
        <f>'[1]7.1แผน รพ.สต.'!Z6</f>
        <v>1174448</v>
      </c>
      <c r="E5" s="362">
        <f>'[1]7.1แผน รพ.สต.'!AA6</f>
        <v>350387.06640000001</v>
      </c>
      <c r="F5" s="362">
        <f>'[1]7.1แผน รพ.สต.'!X6</f>
        <v>0</v>
      </c>
      <c r="G5" s="365">
        <f t="shared" si="0"/>
        <v>3808718.9056000002</v>
      </c>
    </row>
    <row r="6" spans="1:7" ht="24" x14ac:dyDescent="0.2">
      <c r="A6" s="65">
        <v>4</v>
      </c>
      <c r="B6" s="364" t="s">
        <v>1447</v>
      </c>
      <c r="C6" s="362">
        <v>330000</v>
      </c>
      <c r="D6" s="361">
        <f>'[1]7.1แผน รพ.สต.'!Z7</f>
        <v>1322928</v>
      </c>
      <c r="E6" s="362">
        <f>'[1]7.1แผน รพ.สต.'!AA7</f>
        <v>330955.83920000005</v>
      </c>
      <c r="F6" s="362">
        <f>'[1]7.1แผน รพ.สต.'!X7</f>
        <v>0</v>
      </c>
      <c r="G6" s="365">
        <f t="shared" si="0"/>
        <v>3419676.8020000006</v>
      </c>
    </row>
    <row r="7" spans="1:7" ht="24" x14ac:dyDescent="0.2">
      <c r="A7" s="65">
        <v>5</v>
      </c>
      <c r="B7" s="364" t="s">
        <v>1448</v>
      </c>
      <c r="C7" s="362">
        <v>330000</v>
      </c>
      <c r="D7" s="361">
        <f>'[1]7.1แผน รพ.สต.'!Z8</f>
        <v>900651.2</v>
      </c>
      <c r="E7" s="362">
        <f>'[1]7.1แผน รพ.สต.'!AA8</f>
        <v>205141.7628</v>
      </c>
      <c r="F7" s="362">
        <f>'[1]7.1แผน รพ.สต.'!X8</f>
        <v>0</v>
      </c>
      <c r="G7" s="365">
        <f t="shared" si="0"/>
        <v>2756135.2867000001</v>
      </c>
    </row>
    <row r="8" spans="1:7" ht="24" x14ac:dyDescent="0.2">
      <c r="A8" s="65">
        <v>6</v>
      </c>
      <c r="B8" s="364" t="s">
        <v>1449</v>
      </c>
      <c r="C8" s="362">
        <v>330000</v>
      </c>
      <c r="D8" s="361">
        <f>'[1]7.1แผน รพ.สต.'!Z9</f>
        <v>805910</v>
      </c>
      <c r="E8" s="362">
        <f>'[1]7.1แผน รพ.สต.'!AA9</f>
        <v>184432.32389999999</v>
      </c>
      <c r="F8" s="362">
        <f>'[1]7.1แผน รพ.สต.'!X9</f>
        <v>0</v>
      </c>
      <c r="G8" s="365">
        <f t="shared" si="0"/>
        <v>2462231.5892000003</v>
      </c>
    </row>
    <row r="9" spans="1:7" ht="24" x14ac:dyDescent="0.2">
      <c r="A9" s="65">
        <v>7</v>
      </c>
      <c r="B9" s="364" t="s">
        <v>1450</v>
      </c>
      <c r="C9" s="362">
        <v>300000</v>
      </c>
      <c r="D9" s="361">
        <f>'[1]7.1แผน รพ.สต.'!Z10</f>
        <v>708718</v>
      </c>
      <c r="E9" s="362">
        <f>'[1]7.1แผน รพ.สต.'!AA10</f>
        <v>133171.2653</v>
      </c>
      <c r="F9" s="362">
        <f>'[1]7.1แผน รพ.สต.'!X10</f>
        <v>0</v>
      </c>
      <c r="G9" s="365">
        <f>SUM(C9:F17)</f>
        <v>9598717.0172000006</v>
      </c>
    </row>
    <row r="10" spans="1:7" ht="24" x14ac:dyDescent="0.2">
      <c r="A10" s="65">
        <v>8</v>
      </c>
      <c r="B10" s="364" t="s">
        <v>1451</v>
      </c>
      <c r="C10" s="362">
        <v>300000</v>
      </c>
      <c r="D10" s="361">
        <f>'[1]7.1แผน รพ.สต.'!Z11</f>
        <v>527936</v>
      </c>
      <c r="E10" s="362">
        <f>'[1]7.1แผน รพ.สต.'!AA11</f>
        <v>342782.05560000002</v>
      </c>
      <c r="F10" s="362">
        <f>'[1]7.1แผน รพ.สต.'!X11</f>
        <v>0</v>
      </c>
      <c r="G10" s="365">
        <f>SUM(C10:F17)</f>
        <v>8456827.7519000005</v>
      </c>
    </row>
    <row r="11" spans="1:7" ht="24" x14ac:dyDescent="0.2">
      <c r="A11" s="65">
        <v>9</v>
      </c>
      <c r="B11" s="364" t="s">
        <v>1452</v>
      </c>
      <c r="C11" s="362">
        <v>300000</v>
      </c>
      <c r="D11" s="361">
        <f>'[1]7.1แผน รพ.สต.'!Z12</f>
        <v>478976</v>
      </c>
      <c r="E11" s="362">
        <f>'[1]7.1แผน รพ.สต.'!AA12</f>
        <v>212504.4792</v>
      </c>
      <c r="F11" s="362">
        <f>'[1]7.1แผน รพ.สต.'!X12</f>
        <v>0</v>
      </c>
      <c r="G11" s="365">
        <f>SUM(C11:F17)</f>
        <v>7286109.6963</v>
      </c>
    </row>
    <row r="12" spans="1:7" ht="24" x14ac:dyDescent="0.2">
      <c r="A12" s="65">
        <v>10</v>
      </c>
      <c r="B12" s="364" t="s">
        <v>1453</v>
      </c>
      <c r="C12" s="362">
        <v>300000</v>
      </c>
      <c r="D12" s="361">
        <f>'[1]7.1แผน รพ.สต.'!Z13</f>
        <v>528920</v>
      </c>
      <c r="E12" s="362">
        <f>'[1]7.1แผน รพ.สต.'!AA13</f>
        <v>109606.28419999999</v>
      </c>
      <c r="F12" s="362">
        <f>'[1]7.1แผน รพ.สต.'!X13</f>
        <v>0</v>
      </c>
      <c r="G12" s="365">
        <f>SUM(C12:F17)</f>
        <v>6294629.2171</v>
      </c>
    </row>
    <row r="13" spans="1:7" ht="24" x14ac:dyDescent="0.2">
      <c r="A13" s="65">
        <v>11</v>
      </c>
      <c r="B13" s="364" t="s">
        <v>1454</v>
      </c>
      <c r="C13" s="362">
        <v>300000</v>
      </c>
      <c r="D13" s="361">
        <f>'[1]7.1แผน รพ.สต.'!Z14</f>
        <v>647500</v>
      </c>
      <c r="E13" s="362">
        <f>'[1]7.1แผน รพ.สต.'!AA14</f>
        <v>199603.70499999999</v>
      </c>
      <c r="F13" s="362">
        <f>'[1]7.1แผน รพ.สต.'!X14</f>
        <v>0</v>
      </c>
      <c r="G13" s="365">
        <f>SUM(C13:F17)</f>
        <v>5356102.9329000004</v>
      </c>
    </row>
    <row r="14" spans="1:7" ht="24" x14ac:dyDescent="0.2">
      <c r="A14" s="65">
        <v>12</v>
      </c>
      <c r="B14" s="364" t="s">
        <v>1455</v>
      </c>
      <c r="C14" s="362">
        <v>300000</v>
      </c>
      <c r="D14" s="361">
        <f>'[1]7.1แผน รพ.สต.'!Z15</f>
        <v>695960</v>
      </c>
      <c r="E14" s="362">
        <f>'[1]7.1แผน รพ.สต.'!AA15</f>
        <v>183997.9878</v>
      </c>
      <c r="F14" s="362">
        <f>'[1]7.1แผน รพ.สต.'!X15</f>
        <v>0</v>
      </c>
      <c r="G14" s="365">
        <f>SUM(C14:F18)</f>
        <v>22686337.6516</v>
      </c>
    </row>
    <row r="15" spans="1:7" ht="24" x14ac:dyDescent="0.2">
      <c r="A15" s="65">
        <v>13</v>
      </c>
      <c r="B15" s="364" t="s">
        <v>1456</v>
      </c>
      <c r="C15" s="362">
        <v>300000</v>
      </c>
      <c r="D15" s="361">
        <f>'[1]7.1แผน รพ.สต.'!Z16</f>
        <v>618292</v>
      </c>
      <c r="E15" s="362">
        <f>'[1]7.1แผน รพ.สต.'!AA16</f>
        <v>131822.0289</v>
      </c>
      <c r="F15" s="362">
        <f>'[1]7.1แผน รพ.สต.'!X16</f>
        <v>0</v>
      </c>
      <c r="G15" s="365">
        <f>SUM(C15:F19)</f>
        <v>21506379.663800001</v>
      </c>
    </row>
    <row r="16" spans="1:7" ht="24" x14ac:dyDescent="0.2">
      <c r="A16" s="65">
        <v>14</v>
      </c>
      <c r="B16" s="364" t="s">
        <v>1457</v>
      </c>
      <c r="C16" s="362">
        <v>300000</v>
      </c>
      <c r="D16" s="361">
        <f>'[1]7.1แผน รพ.สต.'!Z17</f>
        <v>427834</v>
      </c>
      <c r="E16" s="362">
        <f>'[1]7.1แผน รพ.สต.'!AA17</f>
        <v>188693.99420000002</v>
      </c>
      <c r="F16" s="362">
        <f>'[1]7.1แผน รพ.สต.'!X17</f>
        <v>0</v>
      </c>
      <c r="G16" s="365">
        <f>SUM(C16:F17)</f>
        <v>1978927.2112</v>
      </c>
    </row>
    <row r="17" spans="1:9" ht="24" x14ac:dyDescent="0.2">
      <c r="A17" s="65">
        <v>15</v>
      </c>
      <c r="B17" s="364" t="s">
        <v>1458</v>
      </c>
      <c r="C17" s="362">
        <v>300000</v>
      </c>
      <c r="D17" s="361">
        <f>'[1]7.1แผน รพ.สต.'!Z18</f>
        <v>653400</v>
      </c>
      <c r="E17" s="362">
        <f>'[1]7.1แผน รพ.สต.'!AA18</f>
        <v>108999.217</v>
      </c>
      <c r="F17" s="362">
        <f>'[1]7.1แผน รพ.สต.'!X18</f>
        <v>0</v>
      </c>
      <c r="G17" s="365">
        <f>SUM(C17:F17)</f>
        <v>1062399.2169999999</v>
      </c>
    </row>
    <row r="18" spans="1:9" s="16" customFormat="1" ht="24.75" customHeight="1" x14ac:dyDescent="0.55000000000000004">
      <c r="A18" s="638" t="s">
        <v>637</v>
      </c>
      <c r="B18" s="639"/>
      <c r="C18" s="366">
        <f>SUM(C3:C17)</f>
        <v>4620000</v>
      </c>
      <c r="D18" s="366">
        <f>SUM(D3:D17)</f>
        <v>10751819</v>
      </c>
      <c r="E18" s="366">
        <f>SUM(E3:E17)</f>
        <v>3105519.4237000002</v>
      </c>
      <c r="F18" s="366">
        <f>SUM(F3:F17)</f>
        <v>0</v>
      </c>
      <c r="G18" s="366">
        <f>SUM(G3:G17)</f>
        <v>101768994.9295</v>
      </c>
    </row>
    <row r="19" spans="1:9" s="15" customFormat="1" ht="27.75" x14ac:dyDescent="0.65">
      <c r="D19" s="164"/>
      <c r="E19" s="164"/>
      <c r="F19" s="164"/>
      <c r="G19" s="164"/>
    </row>
    <row r="20" spans="1:9" s="15" customFormat="1" ht="27.75" x14ac:dyDescent="0.65">
      <c r="B20" s="66" t="s">
        <v>764</v>
      </c>
      <c r="C20" s="15" t="s">
        <v>765</v>
      </c>
      <c r="D20" s="164"/>
      <c r="E20" s="164"/>
      <c r="F20" s="164"/>
      <c r="G20" s="164"/>
    </row>
    <row r="21" spans="1:9" s="15" customFormat="1" ht="27.75" x14ac:dyDescent="0.65">
      <c r="B21" s="66"/>
      <c r="C21" s="15" t="s">
        <v>766</v>
      </c>
      <c r="D21" s="164"/>
      <c r="E21" s="164"/>
      <c r="F21" s="164"/>
      <c r="G21" s="164"/>
    </row>
    <row r="22" spans="1:9" s="15" customFormat="1" ht="32.25" customHeight="1" x14ac:dyDescent="0.65">
      <c r="B22" s="68" t="s">
        <v>767</v>
      </c>
      <c r="C22" s="636" t="s">
        <v>768</v>
      </c>
      <c r="D22" s="636"/>
      <c r="E22" s="636"/>
      <c r="F22" s="636"/>
      <c r="G22" s="636"/>
    </row>
    <row r="23" spans="1:9" s="15" customFormat="1" ht="54" customHeight="1" x14ac:dyDescent="0.65">
      <c r="B23" s="637" t="s">
        <v>769</v>
      </c>
      <c r="C23" s="637"/>
      <c r="D23" s="637"/>
      <c r="E23" s="637"/>
      <c r="F23" s="637"/>
      <c r="G23" s="637"/>
      <c r="H23" s="367"/>
      <c r="I23" s="367"/>
    </row>
    <row r="24" spans="1:9" s="15" customFormat="1" ht="31.5" customHeight="1" x14ac:dyDescent="0.65">
      <c r="B24" s="15" t="s">
        <v>770</v>
      </c>
      <c r="C24" s="15" t="s">
        <v>771</v>
      </c>
      <c r="D24" s="164"/>
      <c r="E24" s="164"/>
      <c r="F24" s="164"/>
      <c r="G24" s="164"/>
    </row>
  </sheetData>
  <mergeCells count="4">
    <mergeCell ref="C22:G22"/>
    <mergeCell ref="B23:G23"/>
    <mergeCell ref="A18:B18"/>
    <mergeCell ref="B1:G1"/>
  </mergeCells>
  <pageMargins left="0.17" right="0.24" top="0.33" bottom="0.17" header="0.3" footer="0.17"/>
  <pageSetup paperSize="9" scale="80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31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" sqref="E2:O2"/>
    </sheetView>
  </sheetViews>
  <sheetFormatPr defaultRowHeight="24" x14ac:dyDescent="0.55000000000000004"/>
  <cols>
    <col min="1" max="1" width="6" style="110" bestFit="1" customWidth="1"/>
    <col min="2" max="2" width="14.25" style="110" customWidth="1"/>
    <col min="3" max="3" width="14.5" style="110" customWidth="1"/>
    <col min="4" max="4" width="13.625" style="110" customWidth="1"/>
    <col min="5" max="5" width="16" style="110" bestFit="1" customWidth="1"/>
    <col min="6" max="6" width="15.5" style="110" bestFit="1" customWidth="1"/>
    <col min="7" max="7" width="12" style="110" bestFit="1" customWidth="1"/>
    <col min="8" max="8" width="12.625" style="110" customWidth="1"/>
    <col min="9" max="9" width="13.375" style="110" customWidth="1"/>
    <col min="10" max="10" width="13.625" style="110" customWidth="1"/>
    <col min="11" max="11" width="15.25" style="110" customWidth="1"/>
    <col min="12" max="12" width="15.75" style="110" customWidth="1"/>
    <col min="13" max="13" width="13.125" style="682" customWidth="1"/>
    <col min="14" max="14" width="15.5" style="110" customWidth="1"/>
    <col min="15" max="16" width="14.125" style="110" customWidth="1"/>
    <col min="17" max="17" width="12" style="369" customWidth="1"/>
    <col min="18" max="18" width="12.625" style="110" customWidth="1"/>
    <col min="19" max="20" width="13.5" style="110" customWidth="1"/>
    <col min="21" max="21" width="14.75" style="110" customWidth="1"/>
    <col min="22" max="22" width="14.25" style="110" customWidth="1"/>
    <col min="23" max="23" width="14.5" style="158" customWidth="1"/>
    <col min="24" max="24" width="8.625" style="110" customWidth="1"/>
    <col min="25" max="25" width="15" style="21" bestFit="1" customWidth="1"/>
    <col min="26" max="26" width="21" style="21" bestFit="1" customWidth="1"/>
    <col min="27" max="27" width="19.5" style="21" bestFit="1" customWidth="1"/>
    <col min="28" max="16384" width="9" style="110"/>
  </cols>
  <sheetData>
    <row r="1" spans="1:27" s="691" customFormat="1" x14ac:dyDescent="0.55000000000000004">
      <c r="A1" s="690" t="s">
        <v>1422</v>
      </c>
      <c r="C1" s="690"/>
      <c r="D1" s="690"/>
      <c r="E1" s="690"/>
      <c r="F1" s="690"/>
      <c r="G1" s="690"/>
      <c r="M1" s="692"/>
      <c r="W1" s="693"/>
      <c r="Y1" s="698"/>
      <c r="Z1" s="698"/>
      <c r="AA1" s="698"/>
    </row>
    <row r="2" spans="1:27" s="694" customFormat="1" ht="24.75" customHeight="1" x14ac:dyDescent="0.2">
      <c r="A2" s="652" t="s">
        <v>756</v>
      </c>
      <c r="B2" s="642" t="s">
        <v>757</v>
      </c>
      <c r="C2" s="642" t="s">
        <v>1423</v>
      </c>
      <c r="D2" s="566" t="s">
        <v>763</v>
      </c>
      <c r="E2" s="653" t="s">
        <v>760</v>
      </c>
      <c r="F2" s="654"/>
      <c r="G2" s="654"/>
      <c r="H2" s="654"/>
      <c r="I2" s="654"/>
      <c r="J2" s="654"/>
      <c r="K2" s="654"/>
      <c r="L2" s="654"/>
      <c r="M2" s="654"/>
      <c r="N2" s="654"/>
      <c r="O2" s="655"/>
      <c r="P2" s="642" t="s">
        <v>758</v>
      </c>
      <c r="Q2" s="642"/>
      <c r="R2" s="642"/>
      <c r="S2" s="642"/>
      <c r="T2" s="642"/>
      <c r="U2" s="642"/>
      <c r="V2" s="642"/>
      <c r="W2" s="642"/>
      <c r="X2" s="620" t="s">
        <v>759</v>
      </c>
      <c r="Y2" s="644" t="s">
        <v>1424</v>
      </c>
      <c r="Z2" s="699"/>
      <c r="AA2" s="699"/>
    </row>
    <row r="3" spans="1:27" s="682" customFormat="1" ht="72" x14ac:dyDescent="0.25">
      <c r="A3" s="652"/>
      <c r="B3" s="642"/>
      <c r="C3" s="642"/>
      <c r="D3" s="564" t="s">
        <v>1425</v>
      </c>
      <c r="E3" s="564" t="s">
        <v>1426</v>
      </c>
      <c r="F3" s="342" t="s">
        <v>1427</v>
      </c>
      <c r="G3" s="342" t="s">
        <v>1428</v>
      </c>
      <c r="H3" s="342" t="s">
        <v>1429</v>
      </c>
      <c r="I3" s="343" t="s">
        <v>28</v>
      </c>
      <c r="J3" s="343" t="s">
        <v>1428</v>
      </c>
      <c r="K3" s="564" t="s">
        <v>1430</v>
      </c>
      <c r="L3" s="564" t="s">
        <v>1431</v>
      </c>
      <c r="M3" s="564" t="s">
        <v>1432</v>
      </c>
      <c r="N3" s="564" t="s">
        <v>1433</v>
      </c>
      <c r="O3" s="344" t="s">
        <v>1434</v>
      </c>
      <c r="P3" s="565" t="s">
        <v>1435</v>
      </c>
      <c r="Q3" s="565" t="s">
        <v>1436</v>
      </c>
      <c r="R3" s="565" t="s">
        <v>1437</v>
      </c>
      <c r="S3" s="564" t="s">
        <v>1438</v>
      </c>
      <c r="T3" s="564" t="s">
        <v>1439</v>
      </c>
      <c r="U3" s="564" t="s">
        <v>1440</v>
      </c>
      <c r="V3" s="564" t="s">
        <v>729</v>
      </c>
      <c r="W3" s="565" t="s">
        <v>1441</v>
      </c>
      <c r="X3" s="643"/>
      <c r="Y3" s="645"/>
      <c r="Z3" s="700" t="s">
        <v>760</v>
      </c>
      <c r="AA3" s="701" t="s">
        <v>758</v>
      </c>
    </row>
    <row r="4" spans="1:27" x14ac:dyDescent="0.55000000000000004">
      <c r="A4" s="72">
        <v>1</v>
      </c>
      <c r="B4" s="23" t="s">
        <v>1442</v>
      </c>
      <c r="C4" s="345" t="s">
        <v>1443</v>
      </c>
      <c r="D4" s="346">
        <v>330000</v>
      </c>
      <c r="E4" s="346">
        <v>151200</v>
      </c>
      <c r="F4" s="346">
        <v>133920</v>
      </c>
      <c r="G4" s="346">
        <v>6696</v>
      </c>
      <c r="H4" s="346">
        <v>2678.4</v>
      </c>
      <c r="I4" s="346">
        <v>191520</v>
      </c>
      <c r="J4" s="346">
        <v>9000</v>
      </c>
      <c r="K4" s="19">
        <v>122400</v>
      </c>
      <c r="L4" s="19">
        <v>17000</v>
      </c>
      <c r="M4" s="19">
        <v>0</v>
      </c>
      <c r="N4" s="19">
        <v>3825</v>
      </c>
      <c r="O4" s="347">
        <v>150000</v>
      </c>
      <c r="P4" s="19">
        <v>123285.51</v>
      </c>
      <c r="Q4" s="19">
        <v>4326</v>
      </c>
      <c r="R4" s="19">
        <v>24161</v>
      </c>
      <c r="S4" s="19">
        <v>43684.835000000006</v>
      </c>
      <c r="T4" s="19">
        <v>3595.2</v>
      </c>
      <c r="U4" s="19">
        <v>2238.5627999999997</v>
      </c>
      <c r="V4" s="19">
        <v>240</v>
      </c>
      <c r="W4" s="19">
        <v>36797</v>
      </c>
      <c r="X4" s="19">
        <v>0</v>
      </c>
      <c r="Y4" s="348">
        <f t="shared" ref="Y4:Y19" si="0">SUM(D4:X4)</f>
        <v>1356567.5077999998</v>
      </c>
      <c r="Z4" s="315">
        <f t="shared" ref="Z4:Z18" si="1">SUM(E4:O4)</f>
        <v>788239.4</v>
      </c>
      <c r="AA4" s="315">
        <f>SUM(P4:W4)</f>
        <v>238328.10780000006</v>
      </c>
    </row>
    <row r="5" spans="1:27" x14ac:dyDescent="0.55000000000000004">
      <c r="A5" s="72">
        <v>2</v>
      </c>
      <c r="B5" s="23" t="s">
        <v>1444</v>
      </c>
      <c r="C5" s="72" t="s">
        <v>1445</v>
      </c>
      <c r="D5" s="349">
        <v>300000</v>
      </c>
      <c r="E5" s="349">
        <v>122400</v>
      </c>
      <c r="F5" s="349">
        <v>125520</v>
      </c>
      <c r="G5" s="349">
        <v>6276</v>
      </c>
      <c r="H5" s="349">
        <v>2510.4</v>
      </c>
      <c r="I5" s="349">
        <v>0</v>
      </c>
      <c r="J5" s="349">
        <v>0</v>
      </c>
      <c r="K5" s="350">
        <v>96000</v>
      </c>
      <c r="L5" s="19">
        <v>15800</v>
      </c>
      <c r="M5" s="19">
        <v>0</v>
      </c>
      <c r="N5" s="19">
        <v>3600</v>
      </c>
      <c r="O5" s="347">
        <v>100000</v>
      </c>
      <c r="P5" s="19">
        <v>131360.85999999999</v>
      </c>
      <c r="Q5" s="19">
        <v>3515</v>
      </c>
      <c r="R5" s="19">
        <v>24161</v>
      </c>
      <c r="S5" s="19">
        <v>20644.179999999997</v>
      </c>
      <c r="T5" s="19">
        <v>3595.2</v>
      </c>
      <c r="U5" s="19">
        <v>1817.0663999999999</v>
      </c>
      <c r="V5" s="19">
        <v>0</v>
      </c>
      <c r="W5" s="19">
        <v>0</v>
      </c>
      <c r="X5" s="19">
        <v>0</v>
      </c>
      <c r="Y5" s="348">
        <f t="shared" si="0"/>
        <v>957199.70640000002</v>
      </c>
      <c r="Z5" s="315">
        <f t="shared" si="1"/>
        <v>472106.4</v>
      </c>
      <c r="AA5" s="315">
        <f t="shared" ref="AA5:AA18" si="2">SUM(P5:W5)</f>
        <v>185093.3064</v>
      </c>
    </row>
    <row r="6" spans="1:27" x14ac:dyDescent="0.55000000000000004">
      <c r="A6" s="72">
        <v>3</v>
      </c>
      <c r="B6" s="23" t="s">
        <v>1446</v>
      </c>
      <c r="C6" s="72" t="s">
        <v>1445</v>
      </c>
      <c r="D6" s="349">
        <v>300000</v>
      </c>
      <c r="E6" s="349">
        <v>122400</v>
      </c>
      <c r="F6" s="349">
        <v>119640</v>
      </c>
      <c r="G6" s="349">
        <v>5988</v>
      </c>
      <c r="H6" s="349">
        <v>0</v>
      </c>
      <c r="I6" s="349">
        <v>646320</v>
      </c>
      <c r="J6" s="349">
        <v>30600</v>
      </c>
      <c r="K6" s="19">
        <v>126000</v>
      </c>
      <c r="L6" s="19">
        <v>19000</v>
      </c>
      <c r="M6" s="19">
        <v>0</v>
      </c>
      <c r="N6" s="19">
        <v>4500</v>
      </c>
      <c r="O6" s="347">
        <v>100000</v>
      </c>
      <c r="P6" s="19">
        <v>222447.52</v>
      </c>
      <c r="Q6" s="19">
        <v>1992</v>
      </c>
      <c r="R6" s="19">
        <v>40617</v>
      </c>
      <c r="S6" s="19">
        <v>38229.79</v>
      </c>
      <c r="T6" s="19">
        <v>3595.2</v>
      </c>
      <c r="U6" s="19">
        <v>2314.5563999999999</v>
      </c>
      <c r="V6" s="19">
        <v>240</v>
      </c>
      <c r="W6" s="19">
        <v>40951</v>
      </c>
      <c r="X6" s="19">
        <v>0</v>
      </c>
      <c r="Y6" s="348">
        <f t="shared" si="0"/>
        <v>1824835.0663999999</v>
      </c>
      <c r="Z6" s="315">
        <f t="shared" si="1"/>
        <v>1174448</v>
      </c>
      <c r="AA6" s="315">
        <f t="shared" si="2"/>
        <v>350387.06640000001</v>
      </c>
    </row>
    <row r="7" spans="1:27" x14ac:dyDescent="0.55000000000000004">
      <c r="A7" s="72">
        <v>4</v>
      </c>
      <c r="B7" s="23" t="s">
        <v>1447</v>
      </c>
      <c r="C7" s="72" t="s">
        <v>1443</v>
      </c>
      <c r="D7" s="349">
        <v>330000</v>
      </c>
      <c r="E7" s="349">
        <v>151200</v>
      </c>
      <c r="F7" s="349">
        <f>104040+206160</f>
        <v>310200</v>
      </c>
      <c r="G7" s="349">
        <f>5208+9000</f>
        <v>14208</v>
      </c>
      <c r="H7" s="349">
        <v>0</v>
      </c>
      <c r="I7" s="349">
        <f>528000</f>
        <v>528000</v>
      </c>
      <c r="J7" s="349">
        <v>24120</v>
      </c>
      <c r="K7" s="19">
        <v>128400</v>
      </c>
      <c r="L7" s="19">
        <v>12300</v>
      </c>
      <c r="M7" s="19">
        <v>0</v>
      </c>
      <c r="N7" s="19">
        <v>4500</v>
      </c>
      <c r="O7" s="347">
        <v>150000</v>
      </c>
      <c r="P7" s="19">
        <v>222791.01</v>
      </c>
      <c r="Q7" s="19">
        <v>6925</v>
      </c>
      <c r="R7" s="19">
        <v>29691</v>
      </c>
      <c r="S7" s="19">
        <v>30985.309999999998</v>
      </c>
      <c r="T7" s="19">
        <v>3595.2</v>
      </c>
      <c r="U7" s="19">
        <v>5178.3191999999999</v>
      </c>
      <c r="V7" s="19">
        <v>0</v>
      </c>
      <c r="W7" s="19">
        <v>31790</v>
      </c>
      <c r="X7" s="19">
        <v>0</v>
      </c>
      <c r="Y7" s="348">
        <f t="shared" si="0"/>
        <v>1983883.8392</v>
      </c>
      <c r="Z7" s="315">
        <f t="shared" si="1"/>
        <v>1322928</v>
      </c>
      <c r="AA7" s="315">
        <f t="shared" si="2"/>
        <v>330955.83920000005</v>
      </c>
    </row>
    <row r="8" spans="1:27" x14ac:dyDescent="0.55000000000000004">
      <c r="A8" s="72">
        <v>5</v>
      </c>
      <c r="B8" s="23" t="s">
        <v>1448</v>
      </c>
      <c r="C8" s="72" t="s">
        <v>1443</v>
      </c>
      <c r="D8" s="349">
        <v>330000</v>
      </c>
      <c r="E8" s="349">
        <v>151200</v>
      </c>
      <c r="F8" s="349">
        <v>278160</v>
      </c>
      <c r="G8" s="349">
        <v>13908</v>
      </c>
      <c r="H8" s="349">
        <v>5563.2</v>
      </c>
      <c r="I8" s="349">
        <v>191520</v>
      </c>
      <c r="J8" s="349">
        <v>9000</v>
      </c>
      <c r="K8" s="19">
        <v>74400</v>
      </c>
      <c r="L8" s="19">
        <v>21500</v>
      </c>
      <c r="M8" s="19">
        <v>0</v>
      </c>
      <c r="N8" s="19">
        <v>5400</v>
      </c>
      <c r="O8" s="347">
        <v>150000</v>
      </c>
      <c r="P8" s="19">
        <v>132094.81</v>
      </c>
      <c r="Q8" s="19">
        <v>7075</v>
      </c>
      <c r="R8" s="19">
        <v>24161</v>
      </c>
      <c r="S8" s="19">
        <v>31056.739999999998</v>
      </c>
      <c r="T8" s="19">
        <v>3595.2</v>
      </c>
      <c r="U8" s="19">
        <v>6919.0128000000004</v>
      </c>
      <c r="V8" s="19">
        <v>240</v>
      </c>
      <c r="W8" s="19">
        <v>0</v>
      </c>
      <c r="X8" s="19">
        <v>0</v>
      </c>
      <c r="Y8" s="348">
        <f t="shared" si="0"/>
        <v>1435792.9627999999</v>
      </c>
      <c r="Z8" s="315">
        <f t="shared" si="1"/>
        <v>900651.2</v>
      </c>
      <c r="AA8" s="315">
        <f t="shared" si="2"/>
        <v>205141.7628</v>
      </c>
    </row>
    <row r="9" spans="1:27" s="21" customFormat="1" x14ac:dyDescent="0.55000000000000004">
      <c r="A9" s="72">
        <v>6</v>
      </c>
      <c r="B9" s="23" t="s">
        <v>1449</v>
      </c>
      <c r="C9" s="72" t="s">
        <v>1443</v>
      </c>
      <c r="D9" s="349">
        <v>330000</v>
      </c>
      <c r="E9" s="349">
        <v>151200</v>
      </c>
      <c r="F9" s="349">
        <f>137400+157800</f>
        <v>295200</v>
      </c>
      <c r="G9" s="349">
        <f>6876+7896</f>
        <v>14772</v>
      </c>
      <c r="H9" s="349">
        <v>2748</v>
      </c>
      <c r="I9" s="349">
        <v>0</v>
      </c>
      <c r="J9" s="349">
        <v>0</v>
      </c>
      <c r="K9" s="19">
        <v>154900</v>
      </c>
      <c r="L9" s="19">
        <v>37000</v>
      </c>
      <c r="M9" s="19">
        <v>0</v>
      </c>
      <c r="N9" s="19">
        <v>90</v>
      </c>
      <c r="O9" s="347">
        <v>150000</v>
      </c>
      <c r="P9" s="19">
        <v>78400.899999999994</v>
      </c>
      <c r="Q9" s="19">
        <v>3304</v>
      </c>
      <c r="R9" s="19">
        <v>24833</v>
      </c>
      <c r="S9" s="19">
        <v>25114.117499999997</v>
      </c>
      <c r="T9" s="19">
        <v>3595.2</v>
      </c>
      <c r="U9" s="19">
        <v>3031.1063999999997</v>
      </c>
      <c r="V9" s="19">
        <v>240</v>
      </c>
      <c r="W9" s="19">
        <v>45914</v>
      </c>
      <c r="X9" s="19">
        <v>0</v>
      </c>
      <c r="Y9" s="348">
        <f t="shared" si="0"/>
        <v>1320342.3238999997</v>
      </c>
      <c r="Z9" s="315">
        <f t="shared" si="1"/>
        <v>805910</v>
      </c>
      <c r="AA9" s="315">
        <f t="shared" si="2"/>
        <v>184432.32389999999</v>
      </c>
    </row>
    <row r="10" spans="1:27" s="21" customFormat="1" x14ac:dyDescent="0.55000000000000004">
      <c r="A10" s="72">
        <v>7</v>
      </c>
      <c r="B10" s="23" t="s">
        <v>1450</v>
      </c>
      <c r="C10" s="72" t="s">
        <v>1445</v>
      </c>
      <c r="D10" s="349">
        <v>300000</v>
      </c>
      <c r="E10" s="349">
        <v>122400</v>
      </c>
      <c r="F10" s="349">
        <v>125520</v>
      </c>
      <c r="G10" s="349">
        <v>6278</v>
      </c>
      <c r="H10" s="349">
        <v>0</v>
      </c>
      <c r="I10" s="349">
        <v>191520</v>
      </c>
      <c r="J10" s="349">
        <v>9000</v>
      </c>
      <c r="K10" s="19">
        <v>116400</v>
      </c>
      <c r="L10" s="19">
        <v>28600</v>
      </c>
      <c r="M10" s="19">
        <v>0</v>
      </c>
      <c r="N10" s="19">
        <v>9000</v>
      </c>
      <c r="O10" s="347">
        <v>100000</v>
      </c>
      <c r="P10" s="19">
        <v>61366.41</v>
      </c>
      <c r="Q10" s="19">
        <v>3630</v>
      </c>
      <c r="R10" s="19">
        <v>24377</v>
      </c>
      <c r="S10" s="19">
        <v>9663.4424999999974</v>
      </c>
      <c r="T10" s="19">
        <v>3595.2</v>
      </c>
      <c r="U10" s="19">
        <v>1270.2128</v>
      </c>
      <c r="V10" s="19">
        <v>240</v>
      </c>
      <c r="W10" s="19">
        <v>29029</v>
      </c>
      <c r="X10" s="19">
        <v>0</v>
      </c>
      <c r="Y10" s="348">
        <f t="shared" si="0"/>
        <v>1141889.2652999999</v>
      </c>
      <c r="Z10" s="315">
        <f t="shared" si="1"/>
        <v>708718</v>
      </c>
      <c r="AA10" s="315">
        <f t="shared" si="2"/>
        <v>133171.2653</v>
      </c>
    </row>
    <row r="11" spans="1:27" s="21" customFormat="1" x14ac:dyDescent="0.55000000000000004">
      <c r="A11" s="72">
        <v>8</v>
      </c>
      <c r="B11" s="23" t="s">
        <v>1451</v>
      </c>
      <c r="C11" s="72" t="s">
        <v>1445</v>
      </c>
      <c r="D11" s="349">
        <v>300000</v>
      </c>
      <c r="E11" s="349">
        <v>122400</v>
      </c>
      <c r="F11" s="349">
        <v>0</v>
      </c>
      <c r="G11" s="349">
        <v>0</v>
      </c>
      <c r="H11" s="349">
        <v>0</v>
      </c>
      <c r="I11" s="349">
        <v>160320</v>
      </c>
      <c r="J11" s="349">
        <v>8016</v>
      </c>
      <c r="K11" s="19">
        <v>66300</v>
      </c>
      <c r="L11" s="19">
        <v>16400</v>
      </c>
      <c r="M11" s="19">
        <v>0</v>
      </c>
      <c r="N11" s="19">
        <v>4500</v>
      </c>
      <c r="O11" s="347">
        <v>150000</v>
      </c>
      <c r="P11" s="19">
        <v>289142.63</v>
      </c>
      <c r="Q11" s="19">
        <v>3784</v>
      </c>
      <c r="R11" s="19">
        <v>36317</v>
      </c>
      <c r="S11" s="19">
        <v>8440</v>
      </c>
      <c r="T11" s="19">
        <v>3595.2</v>
      </c>
      <c r="U11" s="19">
        <v>1263.2256</v>
      </c>
      <c r="V11" s="19">
        <v>240</v>
      </c>
      <c r="W11" s="19">
        <v>0</v>
      </c>
      <c r="X11" s="19">
        <v>0</v>
      </c>
      <c r="Y11" s="348">
        <f t="shared" si="0"/>
        <v>1170718.0555999998</v>
      </c>
      <c r="Z11" s="315">
        <f t="shared" si="1"/>
        <v>527936</v>
      </c>
      <c r="AA11" s="315">
        <f t="shared" si="2"/>
        <v>342782.05560000002</v>
      </c>
    </row>
    <row r="12" spans="1:27" s="21" customFormat="1" x14ac:dyDescent="0.55000000000000004">
      <c r="A12" s="72">
        <v>9</v>
      </c>
      <c r="B12" s="23" t="s">
        <v>1452</v>
      </c>
      <c r="C12" s="72" t="s">
        <v>1445</v>
      </c>
      <c r="D12" s="349">
        <v>300000</v>
      </c>
      <c r="E12" s="349">
        <v>122400</v>
      </c>
      <c r="F12" s="349">
        <v>111000</v>
      </c>
      <c r="G12" s="349">
        <v>5556</v>
      </c>
      <c r="H12" s="349">
        <v>2220</v>
      </c>
      <c r="I12" s="349">
        <v>0</v>
      </c>
      <c r="J12" s="349">
        <v>0</v>
      </c>
      <c r="K12" s="19">
        <v>122400</v>
      </c>
      <c r="L12" s="19">
        <v>10900</v>
      </c>
      <c r="M12" s="19">
        <v>0</v>
      </c>
      <c r="N12" s="19">
        <v>4500</v>
      </c>
      <c r="O12" s="347">
        <v>100000</v>
      </c>
      <c r="P12" s="19">
        <v>163214.96</v>
      </c>
      <c r="Q12" s="19">
        <v>7314</v>
      </c>
      <c r="R12" s="19">
        <v>24161</v>
      </c>
      <c r="S12" s="19">
        <v>12356.159999999998</v>
      </c>
      <c r="T12" s="19">
        <v>3595.2</v>
      </c>
      <c r="U12" s="19">
        <v>1623.1592000000001</v>
      </c>
      <c r="V12" s="19">
        <v>240</v>
      </c>
      <c r="W12" s="19">
        <v>0</v>
      </c>
      <c r="X12" s="19">
        <v>0</v>
      </c>
      <c r="Y12" s="348">
        <f t="shared" si="0"/>
        <v>991480.47919999994</v>
      </c>
      <c r="Z12" s="315">
        <f t="shared" si="1"/>
        <v>478976</v>
      </c>
      <c r="AA12" s="315">
        <f t="shared" si="2"/>
        <v>212504.4792</v>
      </c>
    </row>
    <row r="13" spans="1:27" s="21" customFormat="1" x14ac:dyDescent="0.55000000000000004">
      <c r="A13" s="72">
        <v>10</v>
      </c>
      <c r="B13" s="23" t="s">
        <v>1453</v>
      </c>
      <c r="C13" s="72" t="s">
        <v>1445</v>
      </c>
      <c r="D13" s="349">
        <v>300000</v>
      </c>
      <c r="E13" s="349">
        <v>122400</v>
      </c>
      <c r="F13" s="349">
        <v>0</v>
      </c>
      <c r="G13" s="349">
        <v>0</v>
      </c>
      <c r="H13" s="349">
        <v>0</v>
      </c>
      <c r="I13" s="349">
        <v>191520</v>
      </c>
      <c r="J13" s="349">
        <v>9000</v>
      </c>
      <c r="K13" s="19">
        <v>86700</v>
      </c>
      <c r="L13" s="19">
        <v>14800</v>
      </c>
      <c r="M13" s="19">
        <v>0</v>
      </c>
      <c r="N13" s="19">
        <v>4500</v>
      </c>
      <c r="O13" s="347">
        <v>100000</v>
      </c>
      <c r="P13" s="19">
        <v>64681.5</v>
      </c>
      <c r="Q13" s="19">
        <v>2165</v>
      </c>
      <c r="R13" s="19">
        <v>24161</v>
      </c>
      <c r="S13" s="19">
        <v>13876.764999999998</v>
      </c>
      <c r="T13" s="19">
        <v>3595.2</v>
      </c>
      <c r="U13" s="19">
        <v>886.81919999999991</v>
      </c>
      <c r="V13" s="19">
        <v>240</v>
      </c>
      <c r="W13" s="19">
        <v>0</v>
      </c>
      <c r="X13" s="19">
        <v>0</v>
      </c>
      <c r="Y13" s="348">
        <f t="shared" si="0"/>
        <v>938526.28419999999</v>
      </c>
      <c r="Z13" s="315">
        <f t="shared" si="1"/>
        <v>528920</v>
      </c>
      <c r="AA13" s="315">
        <f t="shared" si="2"/>
        <v>109606.28419999999</v>
      </c>
    </row>
    <row r="14" spans="1:27" s="21" customFormat="1" x14ac:dyDescent="0.55000000000000004">
      <c r="A14" s="72">
        <v>11</v>
      </c>
      <c r="B14" s="23" t="s">
        <v>1454</v>
      </c>
      <c r="C14" s="72" t="s">
        <v>1445</v>
      </c>
      <c r="D14" s="349">
        <v>300000</v>
      </c>
      <c r="E14" s="349">
        <v>122400</v>
      </c>
      <c r="F14" s="349">
        <f>151200+201240</f>
        <v>352440</v>
      </c>
      <c r="G14" s="349">
        <f>7560+9000</f>
        <v>16560</v>
      </c>
      <c r="H14" s="349">
        <v>0</v>
      </c>
      <c r="I14" s="349">
        <v>0</v>
      </c>
      <c r="J14" s="349">
        <v>0</v>
      </c>
      <c r="K14" s="19">
        <v>36000</v>
      </c>
      <c r="L14" s="19">
        <v>15600</v>
      </c>
      <c r="M14" s="19">
        <v>0</v>
      </c>
      <c r="N14" s="19">
        <v>4500</v>
      </c>
      <c r="O14" s="347">
        <v>100000</v>
      </c>
      <c r="P14" s="19">
        <v>153855.21</v>
      </c>
      <c r="Q14" s="19">
        <v>1550</v>
      </c>
      <c r="R14" s="19">
        <v>24161</v>
      </c>
      <c r="S14" s="19">
        <v>15852.894999999999</v>
      </c>
      <c r="T14" s="19">
        <v>3595.2</v>
      </c>
      <c r="U14" s="19">
        <v>349.4</v>
      </c>
      <c r="V14" s="19">
        <v>240</v>
      </c>
      <c r="W14" s="19">
        <v>0</v>
      </c>
      <c r="X14" s="19">
        <v>0</v>
      </c>
      <c r="Y14" s="348">
        <f t="shared" si="0"/>
        <v>1147103.7049999998</v>
      </c>
      <c r="Z14" s="315">
        <f t="shared" si="1"/>
        <v>647500</v>
      </c>
      <c r="AA14" s="315">
        <f t="shared" si="2"/>
        <v>199603.70499999999</v>
      </c>
    </row>
    <row r="15" spans="1:27" s="21" customFormat="1" x14ac:dyDescent="0.55000000000000004">
      <c r="A15" s="72">
        <v>12</v>
      </c>
      <c r="B15" s="23" t="s">
        <v>1455</v>
      </c>
      <c r="C15" s="72" t="s">
        <v>1445</v>
      </c>
      <c r="D15" s="349">
        <v>300000</v>
      </c>
      <c r="E15" s="349">
        <v>122400</v>
      </c>
      <c r="F15" s="349">
        <v>210720</v>
      </c>
      <c r="G15" s="349">
        <v>9000</v>
      </c>
      <c r="H15" s="349">
        <v>0</v>
      </c>
      <c r="I15" s="349">
        <v>91080</v>
      </c>
      <c r="J15" s="349">
        <v>4560</v>
      </c>
      <c r="K15" s="19">
        <v>116400</v>
      </c>
      <c r="L15" s="19">
        <v>32800</v>
      </c>
      <c r="M15" s="19">
        <v>0</v>
      </c>
      <c r="N15" s="19">
        <v>9000</v>
      </c>
      <c r="O15" s="347">
        <v>100000</v>
      </c>
      <c r="P15" s="19">
        <v>115727.36</v>
      </c>
      <c r="Q15" s="19">
        <v>9720</v>
      </c>
      <c r="R15" s="19">
        <v>24161</v>
      </c>
      <c r="S15" s="19">
        <v>25070.114999999994</v>
      </c>
      <c r="T15" s="19">
        <v>3595.2</v>
      </c>
      <c r="U15" s="19">
        <v>5484.3127999999997</v>
      </c>
      <c r="V15" s="19">
        <v>240</v>
      </c>
      <c r="W15" s="19">
        <v>0</v>
      </c>
      <c r="X15" s="19">
        <v>0</v>
      </c>
      <c r="Y15" s="348">
        <f t="shared" si="0"/>
        <v>1179957.9878</v>
      </c>
      <c r="Z15" s="315">
        <f t="shared" si="1"/>
        <v>695960</v>
      </c>
      <c r="AA15" s="315">
        <f t="shared" si="2"/>
        <v>183997.9878</v>
      </c>
    </row>
    <row r="16" spans="1:27" s="21" customFormat="1" x14ac:dyDescent="0.55000000000000004">
      <c r="A16" s="72">
        <v>13</v>
      </c>
      <c r="B16" s="23" t="s">
        <v>1456</v>
      </c>
      <c r="C16" s="72" t="s">
        <v>1445</v>
      </c>
      <c r="D16" s="349">
        <v>300000</v>
      </c>
      <c r="E16" s="349">
        <v>122400</v>
      </c>
      <c r="F16" s="349">
        <f>154320+127920</f>
        <v>282240</v>
      </c>
      <c r="G16" s="349">
        <f>7716+6396</f>
        <v>14112</v>
      </c>
      <c r="H16" s="349">
        <v>0</v>
      </c>
      <c r="I16" s="349">
        <v>0</v>
      </c>
      <c r="J16" s="349">
        <v>0</v>
      </c>
      <c r="K16" s="19">
        <v>86400</v>
      </c>
      <c r="L16" s="19">
        <v>9900</v>
      </c>
      <c r="M16" s="19">
        <v>0</v>
      </c>
      <c r="N16" s="19">
        <v>3240</v>
      </c>
      <c r="O16" s="347">
        <v>100000</v>
      </c>
      <c r="P16" s="19">
        <v>86767.44</v>
      </c>
      <c r="Q16" s="19">
        <v>2454</v>
      </c>
      <c r="R16" s="19">
        <v>24161</v>
      </c>
      <c r="S16" s="19">
        <v>12773.442499999997</v>
      </c>
      <c r="T16" s="19">
        <v>3595.2</v>
      </c>
      <c r="U16" s="19">
        <v>1830.9463999999998</v>
      </c>
      <c r="V16" s="19">
        <v>240</v>
      </c>
      <c r="W16" s="19">
        <v>0</v>
      </c>
      <c r="X16" s="19">
        <v>0</v>
      </c>
      <c r="Y16" s="348">
        <f t="shared" si="0"/>
        <v>1050114.0288999998</v>
      </c>
      <c r="Z16" s="315">
        <f t="shared" si="1"/>
        <v>618292</v>
      </c>
      <c r="AA16" s="315">
        <f t="shared" si="2"/>
        <v>131822.0289</v>
      </c>
    </row>
    <row r="17" spans="1:27" s="21" customFormat="1" x14ac:dyDescent="0.55000000000000004">
      <c r="A17" s="72">
        <v>14</v>
      </c>
      <c r="B17" s="23" t="s">
        <v>1457</v>
      </c>
      <c r="C17" s="72" t="s">
        <v>1445</v>
      </c>
      <c r="D17" s="349">
        <v>300000</v>
      </c>
      <c r="E17" s="349">
        <v>122400</v>
      </c>
      <c r="F17" s="349">
        <v>100080</v>
      </c>
      <c r="G17" s="349">
        <v>5004</v>
      </c>
      <c r="H17" s="349">
        <v>0</v>
      </c>
      <c r="I17" s="349">
        <v>0</v>
      </c>
      <c r="J17" s="349">
        <v>0</v>
      </c>
      <c r="K17" s="19">
        <v>84000</v>
      </c>
      <c r="L17" s="19">
        <v>13200</v>
      </c>
      <c r="M17" s="19">
        <v>0</v>
      </c>
      <c r="N17" s="19">
        <v>3150</v>
      </c>
      <c r="O17" s="347">
        <v>100000</v>
      </c>
      <c r="P17" s="19">
        <v>139985.56</v>
      </c>
      <c r="Q17" s="19">
        <v>1450</v>
      </c>
      <c r="R17" s="19">
        <v>24161</v>
      </c>
      <c r="S17" s="19">
        <v>17732.215</v>
      </c>
      <c r="T17" s="19">
        <v>3595.2</v>
      </c>
      <c r="U17" s="19">
        <v>1530.0192</v>
      </c>
      <c r="V17" s="19">
        <v>240</v>
      </c>
      <c r="W17" s="19">
        <v>0</v>
      </c>
      <c r="X17" s="19">
        <v>0</v>
      </c>
      <c r="Y17" s="348">
        <f t="shared" si="0"/>
        <v>916527.99419999996</v>
      </c>
      <c r="Z17" s="315">
        <f t="shared" si="1"/>
        <v>427834</v>
      </c>
      <c r="AA17" s="315">
        <f t="shared" si="2"/>
        <v>188693.99420000002</v>
      </c>
    </row>
    <row r="18" spans="1:27" x14ac:dyDescent="0.55000000000000004">
      <c r="A18" s="72">
        <v>15</v>
      </c>
      <c r="B18" s="23" t="s">
        <v>1458</v>
      </c>
      <c r="C18" s="72" t="s">
        <v>1445</v>
      </c>
      <c r="D18" s="19">
        <v>300000</v>
      </c>
      <c r="E18" s="19">
        <v>122400</v>
      </c>
      <c r="F18" s="19">
        <v>125880</v>
      </c>
      <c r="G18" s="19">
        <v>6300</v>
      </c>
      <c r="H18" s="19">
        <v>0</v>
      </c>
      <c r="I18" s="19">
        <v>191520</v>
      </c>
      <c r="J18" s="19">
        <v>9000</v>
      </c>
      <c r="K18" s="19">
        <v>63600</v>
      </c>
      <c r="L18" s="19">
        <v>27500</v>
      </c>
      <c r="M18" s="19">
        <v>0</v>
      </c>
      <c r="N18" s="19">
        <v>7200</v>
      </c>
      <c r="O18" s="347">
        <v>100000</v>
      </c>
      <c r="P18" s="19">
        <v>64004.07</v>
      </c>
      <c r="Q18" s="19">
        <v>5245</v>
      </c>
      <c r="R18" s="19">
        <v>24161</v>
      </c>
      <c r="S18" s="19">
        <v>9581.9149999999991</v>
      </c>
      <c r="T18" s="19">
        <v>3595.2</v>
      </c>
      <c r="U18" s="19">
        <v>1452.0319999999999</v>
      </c>
      <c r="V18" s="19">
        <v>960</v>
      </c>
      <c r="W18" s="19">
        <v>0</v>
      </c>
      <c r="X18" s="19">
        <v>0</v>
      </c>
      <c r="Y18" s="348">
        <f t="shared" si="0"/>
        <v>1062399.2169999997</v>
      </c>
      <c r="Z18" s="315">
        <f t="shared" si="1"/>
        <v>653400</v>
      </c>
      <c r="AA18" s="315">
        <f t="shared" si="2"/>
        <v>108999.217</v>
      </c>
    </row>
    <row r="19" spans="1:27" x14ac:dyDescent="0.55000000000000004">
      <c r="A19" s="646" t="s">
        <v>637</v>
      </c>
      <c r="B19" s="647"/>
      <c r="C19" s="648"/>
      <c r="D19" s="351">
        <f t="shared" ref="D19:X19" si="3">SUM(D4:D18)</f>
        <v>4620000</v>
      </c>
      <c r="E19" s="351">
        <f t="shared" si="3"/>
        <v>1951200</v>
      </c>
      <c r="F19" s="351">
        <f t="shared" si="3"/>
        <v>2570520</v>
      </c>
      <c r="G19" s="351">
        <f t="shared" si="3"/>
        <v>124658</v>
      </c>
      <c r="H19" s="351">
        <f t="shared" si="3"/>
        <v>15720</v>
      </c>
      <c r="I19" s="351">
        <f t="shared" si="3"/>
        <v>2383320</v>
      </c>
      <c r="J19" s="351">
        <f t="shared" si="3"/>
        <v>112296</v>
      </c>
      <c r="K19" s="351">
        <f t="shared" si="3"/>
        <v>1480300</v>
      </c>
      <c r="L19" s="351">
        <f t="shared" si="3"/>
        <v>292300</v>
      </c>
      <c r="M19" s="351">
        <f t="shared" si="3"/>
        <v>0</v>
      </c>
      <c r="N19" s="351">
        <f t="shared" si="3"/>
        <v>71505</v>
      </c>
      <c r="O19" s="351">
        <f t="shared" si="3"/>
        <v>1750000</v>
      </c>
      <c r="P19" s="352">
        <f t="shared" si="3"/>
        <v>2049125.75</v>
      </c>
      <c r="Q19" s="352">
        <f t="shared" si="3"/>
        <v>64449</v>
      </c>
      <c r="R19" s="352">
        <f>SUM(R4:R18)</f>
        <v>397445</v>
      </c>
      <c r="S19" s="352">
        <f t="shared" si="3"/>
        <v>315061.92249999999</v>
      </c>
      <c r="T19" s="352">
        <f t="shared" si="3"/>
        <v>53927.999999999985</v>
      </c>
      <c r="U19" s="352">
        <f t="shared" si="3"/>
        <v>37188.751200000006</v>
      </c>
      <c r="V19" s="352">
        <f t="shared" si="3"/>
        <v>3840</v>
      </c>
      <c r="W19" s="352">
        <f t="shared" si="3"/>
        <v>184481</v>
      </c>
      <c r="X19" s="353">
        <f t="shared" si="3"/>
        <v>0</v>
      </c>
      <c r="Y19" s="348">
        <f t="shared" si="0"/>
        <v>18477338.423700001</v>
      </c>
      <c r="Z19" s="315">
        <f>SUM(Z4:Z18)</f>
        <v>10751819</v>
      </c>
      <c r="AA19" s="315">
        <f>SUM(AA4:AA18)</f>
        <v>3105519.4237000002</v>
      </c>
    </row>
    <row r="20" spans="1:27" x14ac:dyDescent="0.55000000000000004">
      <c r="A20" s="646" t="s">
        <v>637</v>
      </c>
      <c r="B20" s="647"/>
      <c r="C20" s="648"/>
      <c r="D20" s="354">
        <f>D19</f>
        <v>4620000</v>
      </c>
      <c r="E20" s="355"/>
      <c r="F20" s="356"/>
      <c r="G20" s="356"/>
      <c r="H20" s="356"/>
      <c r="I20" s="356"/>
      <c r="J20" s="356"/>
      <c r="K20" s="356"/>
      <c r="L20" s="356"/>
      <c r="M20" s="356"/>
      <c r="N20" s="356"/>
      <c r="O20" s="357">
        <f>SUM(E19:O19)</f>
        <v>10751819</v>
      </c>
      <c r="P20" s="649">
        <f>SUM(P19:W19)</f>
        <v>3105519.4236999997</v>
      </c>
      <c r="Q20" s="650"/>
      <c r="R20" s="650"/>
      <c r="S20" s="650"/>
      <c r="T20" s="650"/>
      <c r="U20" s="650"/>
      <c r="V20" s="650"/>
      <c r="W20" s="651"/>
      <c r="X20" s="353">
        <f>X19</f>
        <v>0</v>
      </c>
      <c r="Y20" s="358">
        <f>D20+E20+P20+X20+O20</f>
        <v>18477338.423699997</v>
      </c>
    </row>
    <row r="21" spans="1:27" x14ac:dyDescent="0.55000000000000004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379"/>
      <c r="N21" s="21"/>
      <c r="O21" s="21"/>
      <c r="P21" s="21"/>
      <c r="Q21" s="22"/>
      <c r="R21" s="21"/>
      <c r="S21" s="21"/>
      <c r="T21" s="21"/>
      <c r="U21" s="21"/>
      <c r="V21" s="21"/>
      <c r="W21" s="7"/>
    </row>
    <row r="22" spans="1:27" s="21" customFormat="1" x14ac:dyDescent="0.55000000000000004">
      <c r="B22" s="23"/>
      <c r="C22" s="695" t="s">
        <v>678</v>
      </c>
      <c r="D22" s="86" t="s">
        <v>1459</v>
      </c>
      <c r="E22" s="695" t="s">
        <v>1460</v>
      </c>
      <c r="F22" s="696" t="s">
        <v>1461</v>
      </c>
      <c r="H22" s="315"/>
      <c r="K22" s="315"/>
      <c r="M22" s="379"/>
      <c r="Q22" s="22"/>
      <c r="W22" s="7"/>
    </row>
    <row r="23" spans="1:27" s="21" customFormat="1" x14ac:dyDescent="0.55000000000000004">
      <c r="B23" s="23" t="s">
        <v>1462</v>
      </c>
      <c r="C23" s="166">
        <f>SUM(D19:K19)</f>
        <v>13258014</v>
      </c>
      <c r="D23" s="166">
        <f>L19+M19</f>
        <v>292300</v>
      </c>
      <c r="E23" s="166">
        <f>SUM(P19:W19)</f>
        <v>3105519.4236999997</v>
      </c>
      <c r="F23" s="697">
        <f>SUM(C23:E23)</f>
        <v>16655833.423699999</v>
      </c>
      <c r="I23" s="315"/>
      <c r="M23" s="379"/>
      <c r="Q23" s="22"/>
      <c r="W23" s="7"/>
    </row>
    <row r="24" spans="1:27" s="21" customFormat="1" x14ac:dyDescent="0.55000000000000004">
      <c r="B24" s="23" t="s">
        <v>1463</v>
      </c>
      <c r="C24" s="166">
        <f>O19</f>
        <v>1750000</v>
      </c>
      <c r="D24" s="166"/>
      <c r="E24" s="166">
        <f>N19</f>
        <v>71505</v>
      </c>
      <c r="F24" s="697">
        <f>SUM(C24:E24)</f>
        <v>1821505</v>
      </c>
      <c r="K24" s="315"/>
      <c r="M24" s="379"/>
      <c r="Q24" s="22"/>
      <c r="V24" s="315"/>
      <c r="W24" s="7"/>
    </row>
    <row r="25" spans="1:27" s="21" customFormat="1" x14ac:dyDescent="0.55000000000000004">
      <c r="C25" s="315"/>
      <c r="E25" s="315"/>
      <c r="M25" s="379"/>
      <c r="Q25" s="22"/>
      <c r="W25" s="7"/>
    </row>
    <row r="26" spans="1:27" s="21" customFormat="1" x14ac:dyDescent="0.55000000000000004">
      <c r="M26" s="379"/>
      <c r="Q26" s="22"/>
      <c r="W26" s="7"/>
    </row>
    <row r="27" spans="1:27" s="21" customFormat="1" x14ac:dyDescent="0.55000000000000004">
      <c r="M27" s="379"/>
      <c r="Q27" s="22"/>
      <c r="W27" s="7"/>
    </row>
    <row r="28" spans="1:27" s="21" customFormat="1" x14ac:dyDescent="0.55000000000000004">
      <c r="M28" s="379"/>
      <c r="Q28" s="22"/>
      <c r="W28" s="7"/>
    </row>
    <row r="29" spans="1:27" s="21" customFormat="1" x14ac:dyDescent="0.55000000000000004">
      <c r="M29" s="379"/>
      <c r="Q29" s="22"/>
      <c r="W29" s="7"/>
    </row>
    <row r="30" spans="1:27" s="21" customFormat="1" x14ac:dyDescent="0.55000000000000004">
      <c r="M30" s="379"/>
      <c r="Q30" s="22"/>
      <c r="W30" s="7"/>
    </row>
    <row r="31" spans="1:27" s="21" customFormat="1" x14ac:dyDescent="0.55000000000000004">
      <c r="M31" s="379"/>
      <c r="Q31" s="22"/>
      <c r="W31" s="7"/>
    </row>
  </sheetData>
  <mergeCells count="10">
    <mergeCell ref="P2:W2"/>
    <mergeCell ref="X2:X3"/>
    <mergeCell ref="Y2:Y3"/>
    <mergeCell ref="A19:C19"/>
    <mergeCell ref="A20:C20"/>
    <mergeCell ref="P20:W20"/>
    <mergeCell ref="A2:A3"/>
    <mergeCell ref="B2:B3"/>
    <mergeCell ref="C2:C3"/>
    <mergeCell ref="E2:O2"/>
  </mergeCells>
  <pageMargins left="0.15748031496062992" right="0.15748031496062992" top="0.15748031496062992" bottom="0.23622047244094491" header="0.15748031496062992" footer="0.15748031496062992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3"/>
  <sheetViews>
    <sheetView zoomScale="80" zoomScaleNormal="80" workbookViewId="0">
      <selection activeCell="G4" sqref="G4"/>
    </sheetView>
  </sheetViews>
  <sheetFormatPr defaultColWidth="16.875" defaultRowHeight="24" x14ac:dyDescent="0.55000000000000004"/>
  <cols>
    <col min="1" max="1" width="10.25" style="21" customWidth="1"/>
    <col min="2" max="2" width="20.375" style="21" bestFit="1" customWidth="1"/>
    <col min="3" max="3" width="17.875" style="21" bestFit="1" customWidth="1"/>
    <col min="4" max="4" width="25.75" style="21" bestFit="1" customWidth="1"/>
    <col min="5" max="5" width="91.625" style="21" customWidth="1"/>
    <col min="6" max="16384" width="16.875" style="21"/>
  </cols>
  <sheetData>
    <row r="1" spans="1:7" s="181" customFormat="1" ht="24.75" thickBot="1" x14ac:dyDescent="0.6">
      <c r="A1" s="21"/>
      <c r="B1" s="222" t="s">
        <v>1191</v>
      </c>
      <c r="C1" s="222" t="s">
        <v>1192</v>
      </c>
      <c r="D1" s="222" t="s">
        <v>1193</v>
      </c>
      <c r="E1" s="223"/>
    </row>
    <row r="2" spans="1:7" ht="83.25" x14ac:dyDescent="0.55000000000000004">
      <c r="A2" s="240" t="s">
        <v>1194</v>
      </c>
      <c r="B2" s="240" t="s">
        <v>1195</v>
      </c>
      <c r="C2" s="240" t="s">
        <v>1196</v>
      </c>
      <c r="D2" s="240" t="s">
        <v>1197</v>
      </c>
      <c r="E2" s="656" t="s">
        <v>1190</v>
      </c>
    </row>
    <row r="3" spans="1:7" ht="27.75" x14ac:dyDescent="0.55000000000000004">
      <c r="A3" s="241" t="s">
        <v>1198</v>
      </c>
      <c r="B3" s="242" t="s">
        <v>1199</v>
      </c>
      <c r="C3" s="241" t="s">
        <v>1200</v>
      </c>
      <c r="D3" s="242" t="s">
        <v>1201</v>
      </c>
      <c r="E3" s="657"/>
    </row>
    <row r="4" spans="1:7" ht="27.75" x14ac:dyDescent="0.55000000000000004">
      <c r="A4" s="243"/>
      <c r="B4" s="242" t="s">
        <v>1202</v>
      </c>
      <c r="C4" s="244" t="s">
        <v>1236</v>
      </c>
      <c r="D4" s="244" t="s">
        <v>1237</v>
      </c>
      <c r="E4" s="657"/>
    </row>
    <row r="5" spans="1:7" ht="21" customHeight="1" thickBot="1" x14ac:dyDescent="0.6">
      <c r="A5" s="245"/>
      <c r="B5" s="245"/>
      <c r="C5" s="246" t="s">
        <v>1203</v>
      </c>
      <c r="D5" s="245"/>
      <c r="E5" s="658"/>
    </row>
    <row r="6" spans="1:7" ht="32.25" thickTop="1" thickBot="1" x14ac:dyDescent="0.75">
      <c r="A6" s="247">
        <v>1</v>
      </c>
      <c r="B6" s="247" t="s">
        <v>1204</v>
      </c>
      <c r="C6" s="247" t="s">
        <v>1205</v>
      </c>
      <c r="D6" s="247" t="s">
        <v>1173</v>
      </c>
      <c r="E6" s="248" t="s">
        <v>1220</v>
      </c>
      <c r="F6" s="239"/>
      <c r="G6" s="264" t="s">
        <v>1173</v>
      </c>
    </row>
    <row r="7" spans="1:7" ht="31.5" thickBot="1" x14ac:dyDescent="0.75">
      <c r="A7" s="249">
        <v>2</v>
      </c>
      <c r="B7" s="249" t="s">
        <v>1204</v>
      </c>
      <c r="C7" s="249" t="s">
        <v>1205</v>
      </c>
      <c r="D7" s="250" t="s">
        <v>1174</v>
      </c>
      <c r="E7" s="251" t="s">
        <v>1207</v>
      </c>
      <c r="F7" s="261"/>
      <c r="G7" s="264" t="s">
        <v>1240</v>
      </c>
    </row>
    <row r="8" spans="1:7" ht="20.45" customHeight="1" thickBot="1" x14ac:dyDescent="0.75">
      <c r="A8" s="252">
        <v>3</v>
      </c>
      <c r="B8" s="252" t="s">
        <v>1204</v>
      </c>
      <c r="C8" s="252" t="s">
        <v>1238</v>
      </c>
      <c r="D8" s="252" t="s">
        <v>1173</v>
      </c>
      <c r="E8" s="253" t="s">
        <v>1214</v>
      </c>
      <c r="F8" s="261"/>
      <c r="G8" s="264" t="s">
        <v>1240</v>
      </c>
    </row>
    <row r="9" spans="1:7" ht="20.45" customHeight="1" thickBot="1" x14ac:dyDescent="0.75">
      <c r="A9" s="254">
        <v>4</v>
      </c>
      <c r="B9" s="254" t="s">
        <v>1204</v>
      </c>
      <c r="C9" s="254" t="s">
        <v>1238</v>
      </c>
      <c r="D9" s="255" t="s">
        <v>1174</v>
      </c>
      <c r="E9" s="256" t="s">
        <v>1219</v>
      </c>
      <c r="F9" s="262"/>
      <c r="G9" s="264" t="s">
        <v>1241</v>
      </c>
    </row>
    <row r="10" spans="1:7" ht="20.45" customHeight="1" thickBot="1" x14ac:dyDescent="0.75">
      <c r="A10" s="257">
        <v>5</v>
      </c>
      <c r="B10" s="258" t="s">
        <v>1174</v>
      </c>
      <c r="C10" s="258" t="s">
        <v>1239</v>
      </c>
      <c r="D10" s="257" t="s">
        <v>1173</v>
      </c>
      <c r="E10" s="259" t="s">
        <v>1208</v>
      </c>
      <c r="F10" s="261"/>
      <c r="G10" s="264" t="s">
        <v>1240</v>
      </c>
    </row>
    <row r="11" spans="1:7" ht="20.45" customHeight="1" thickBot="1" x14ac:dyDescent="0.75">
      <c r="A11" s="254">
        <v>6</v>
      </c>
      <c r="B11" s="255" t="s">
        <v>1174</v>
      </c>
      <c r="C11" s="255" t="s">
        <v>1239</v>
      </c>
      <c r="D11" s="255" t="s">
        <v>1209</v>
      </c>
      <c r="E11" s="256" t="s">
        <v>1217</v>
      </c>
      <c r="F11" s="262"/>
      <c r="G11" s="264" t="s">
        <v>1241</v>
      </c>
    </row>
    <row r="12" spans="1:7" ht="20.45" customHeight="1" thickBot="1" x14ac:dyDescent="0.75">
      <c r="A12" s="252">
        <v>7</v>
      </c>
      <c r="B12" s="260" t="s">
        <v>1174</v>
      </c>
      <c r="C12" s="260" t="s">
        <v>1209</v>
      </c>
      <c r="D12" s="252" t="s">
        <v>1173</v>
      </c>
      <c r="E12" s="253" t="s">
        <v>1215</v>
      </c>
      <c r="F12" s="262"/>
      <c r="G12" s="264" t="s">
        <v>1241</v>
      </c>
    </row>
    <row r="13" spans="1:7" ht="20.45" customHeight="1" x14ac:dyDescent="0.7">
      <c r="A13" s="254">
        <v>8</v>
      </c>
      <c r="B13" s="255" t="s">
        <v>1174</v>
      </c>
      <c r="C13" s="255" t="s">
        <v>1209</v>
      </c>
      <c r="D13" s="255" t="s">
        <v>1174</v>
      </c>
      <c r="E13" s="256" t="s">
        <v>1216</v>
      </c>
      <c r="F13" s="263"/>
      <c r="G13" s="264" t="s">
        <v>1242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99"/>
  <sheetViews>
    <sheetView zoomScale="90" zoomScaleNormal="90" workbookViewId="0">
      <pane xSplit="2" ySplit="4" topLeftCell="C8" activePane="bottomRight" state="frozen"/>
      <selection pane="topRight" activeCell="C1" sqref="C1"/>
      <selection pane="bottomLeft" activeCell="A4" sqref="A4"/>
      <selection pane="bottomRight" activeCell="D22" sqref="D22"/>
    </sheetView>
  </sheetViews>
  <sheetFormatPr defaultColWidth="9" defaultRowHeight="17.25" x14ac:dyDescent="0.4"/>
  <cols>
    <col min="1" max="1" width="7.25" style="129" customWidth="1"/>
    <col min="2" max="2" width="59.75" style="16" bestFit="1" customWidth="1"/>
    <col min="3" max="3" width="19.25" style="16" customWidth="1"/>
    <col min="4" max="4" width="20.5" style="16" bestFit="1" customWidth="1"/>
    <col min="5" max="5" width="18.375" style="24" bestFit="1" customWidth="1"/>
    <col min="6" max="6" width="14.5" style="16" bestFit="1" customWidth="1"/>
    <col min="7" max="7" width="32.5" style="16" bestFit="1" customWidth="1"/>
    <col min="8" max="8" width="22.125" style="16" customWidth="1"/>
    <col min="9" max="9" width="17.25" style="16" customWidth="1"/>
    <col min="10" max="10" width="17.125" style="16" customWidth="1"/>
    <col min="11" max="11" width="15.625" style="16" customWidth="1"/>
    <col min="12" max="12" width="21.375" style="16" customWidth="1"/>
    <col min="13" max="13" width="16" style="16" customWidth="1"/>
    <col min="14" max="14" width="18.875" style="16" customWidth="1"/>
    <col min="15" max="16384" width="9" style="16"/>
  </cols>
  <sheetData>
    <row r="1" spans="1:14" s="15" customFormat="1" ht="30" customHeight="1" x14ac:dyDescent="0.65">
      <c r="A1" s="659" t="s">
        <v>1257</v>
      </c>
      <c r="B1" s="659"/>
      <c r="C1" s="659"/>
      <c r="D1" s="659"/>
      <c r="E1" s="659"/>
      <c r="F1" s="659"/>
      <c r="G1" s="659"/>
      <c r="H1" s="224"/>
    </row>
    <row r="2" spans="1:14" s="15" customFormat="1" ht="30" customHeight="1" x14ac:dyDescent="0.65">
      <c r="A2" s="659" t="s">
        <v>1574</v>
      </c>
      <c r="B2" s="659"/>
      <c r="C2" s="659"/>
      <c r="D2" s="659"/>
      <c r="E2" s="659"/>
      <c r="F2" s="659"/>
      <c r="G2" s="659"/>
      <c r="H2" s="561"/>
    </row>
    <row r="3" spans="1:14" ht="30.75" customHeight="1" x14ac:dyDescent="0.65">
      <c r="A3" s="660" t="s">
        <v>1258</v>
      </c>
      <c r="B3" s="660"/>
      <c r="C3" s="660"/>
      <c r="D3" s="660"/>
      <c r="E3" s="660"/>
      <c r="F3" s="660"/>
      <c r="G3" s="660"/>
      <c r="H3" s="577" t="s">
        <v>1377</v>
      </c>
      <c r="I3" s="577"/>
      <c r="J3" s="577"/>
      <c r="K3" s="577"/>
      <c r="L3" s="577"/>
      <c r="M3" s="578"/>
    </row>
    <row r="4" spans="1:14" ht="81.75" customHeight="1" x14ac:dyDescent="0.4">
      <c r="A4" s="4" t="s">
        <v>664</v>
      </c>
      <c r="B4" s="17" t="s">
        <v>665</v>
      </c>
      <c r="C4" s="4" t="s">
        <v>1259</v>
      </c>
      <c r="D4" s="18" t="s">
        <v>1560</v>
      </c>
      <c r="E4" s="18" t="s">
        <v>1569</v>
      </c>
      <c r="F4" s="226" t="s">
        <v>666</v>
      </c>
      <c r="G4" s="562" t="s">
        <v>665</v>
      </c>
      <c r="H4" s="233" t="s">
        <v>636</v>
      </c>
      <c r="I4" s="235" t="s">
        <v>1228</v>
      </c>
      <c r="J4" s="235" t="s">
        <v>1232</v>
      </c>
      <c r="K4" s="235" t="s">
        <v>1221</v>
      </c>
      <c r="L4" s="235" t="s">
        <v>1222</v>
      </c>
      <c r="M4" s="236" t="s">
        <v>1233</v>
      </c>
      <c r="N4" s="225"/>
    </row>
    <row r="5" spans="1:14" ht="24" x14ac:dyDescent="0.55000000000000004">
      <c r="A5" s="72" t="s">
        <v>0</v>
      </c>
      <c r="B5" s="23" t="s">
        <v>1</v>
      </c>
      <c r="C5" s="59">
        <v>43109092.289999984</v>
      </c>
      <c r="D5" s="59">
        <v>43465658.277500004</v>
      </c>
      <c r="E5" s="19">
        <f>SUMIF('1.WS-Re-Exp'!$F$3:$F$430,Planfin2562!A5,'1.WS-Re-Exp'!$C$3:$C$430)</f>
        <v>43261905.25</v>
      </c>
      <c r="F5" s="227">
        <f>((E5-C5)/E5)*100</f>
        <v>0.35322753151287944</v>
      </c>
      <c r="G5" s="23" t="s">
        <v>1</v>
      </c>
      <c r="H5" s="230">
        <f>VLOOKUP($A5,'HGR2560'!$B$2:$I$28,3,0)</f>
        <v>43465658.277500004</v>
      </c>
      <c r="I5" s="230">
        <f>VLOOKUP($A5,'HGR2560'!$B$2:$I$28,5,0)</f>
        <v>42503730.479999997</v>
      </c>
      <c r="J5" s="230">
        <f>VLOOKUP($A5,'HGR2560'!$B$2:$I$28,8,0)</f>
        <v>54286336.780000001</v>
      </c>
      <c r="K5" s="230" t="e">
        <f>VLOOKUP($A5,'HGR2560'!$B$2:$I$28,4,0)</f>
        <v>#DIV/0!</v>
      </c>
      <c r="L5" s="230">
        <f>E5-I5</f>
        <v>758174.77000000328</v>
      </c>
      <c r="M5" s="230">
        <f>E5-J5</f>
        <v>-11024431.530000001</v>
      </c>
    </row>
    <row r="6" spans="1:14" ht="24" x14ac:dyDescent="0.55000000000000004">
      <c r="A6" s="72" t="s">
        <v>2</v>
      </c>
      <c r="B6" s="23" t="s">
        <v>3</v>
      </c>
      <c r="C6" s="59">
        <v>290000</v>
      </c>
      <c r="D6" s="59">
        <v>300000</v>
      </c>
      <c r="E6" s="19">
        <f>SUMIF('1.WS-Re-Exp'!$F$3:$F$430,Planfin2562!A6,'1.WS-Re-Exp'!$C$3:$C$430)</f>
        <v>300000</v>
      </c>
      <c r="F6" s="227">
        <f t="shared" ref="F6:F33" si="0">((E6-C6)/E6)*100</f>
        <v>3.3333333333333335</v>
      </c>
      <c r="G6" s="23" t="s">
        <v>3</v>
      </c>
      <c r="H6" s="230">
        <f>VLOOKUP($A6,'HGR2560'!$B$2:$I$28,3,0)</f>
        <v>300000</v>
      </c>
      <c r="I6" s="230">
        <f>VLOOKUP($A6,'HGR2560'!$B$2:$I$28,5,0)</f>
        <v>157929.16</v>
      </c>
      <c r="J6" s="230">
        <f>VLOOKUP($A6,'HGR2560'!$B$2:$I$28,8,0)</f>
        <v>274653.38</v>
      </c>
      <c r="K6" s="230" t="e">
        <f>VLOOKUP($A6,'HGR2560'!$B$2:$I$28,4,0)</f>
        <v>#DIV/0!</v>
      </c>
      <c r="L6" s="230">
        <f t="shared" ref="L6:L33" si="1">E6-I6</f>
        <v>142070.84</v>
      </c>
      <c r="M6" s="230">
        <f t="shared" ref="M6:M33" si="2">E6-J6</f>
        <v>25346.619999999995</v>
      </c>
    </row>
    <row r="7" spans="1:14" ht="24" x14ac:dyDescent="0.55000000000000004">
      <c r="A7" s="72" t="s">
        <v>4</v>
      </c>
      <c r="B7" s="23" t="s">
        <v>5</v>
      </c>
      <c r="C7" s="59">
        <v>87411.75</v>
      </c>
      <c r="D7" s="59">
        <v>20000</v>
      </c>
      <c r="E7" s="19">
        <f>SUMIF('1.WS-Re-Exp'!$F$3:$F$430,Planfin2562!A7,'1.WS-Re-Exp'!$C$3:$C$430)</f>
        <v>0</v>
      </c>
      <c r="F7" s="227" t="e">
        <f t="shared" si="0"/>
        <v>#DIV/0!</v>
      </c>
      <c r="G7" s="23" t="s">
        <v>5</v>
      </c>
      <c r="H7" s="230">
        <f>VLOOKUP($A7,'HGR2560'!$B$2:$I$28,3,0)</f>
        <v>20000</v>
      </c>
      <c r="I7" s="230">
        <f>VLOOKUP($A7,'HGR2560'!$B$2:$I$28,5,0)</f>
        <v>109448.93</v>
      </c>
      <c r="J7" s="230">
        <f>VLOOKUP($A7,'HGR2560'!$B$2:$I$28,8,0)</f>
        <v>301334.14</v>
      </c>
      <c r="K7" s="230" t="e">
        <f>VLOOKUP($A7,'HGR2560'!$B$2:$I$28,4,0)</f>
        <v>#DIV/0!</v>
      </c>
      <c r="L7" s="230">
        <f t="shared" si="1"/>
        <v>-109448.93</v>
      </c>
      <c r="M7" s="230">
        <f t="shared" si="2"/>
        <v>-301334.14</v>
      </c>
    </row>
    <row r="8" spans="1:14" ht="24" x14ac:dyDescent="0.55000000000000004">
      <c r="A8" s="72" t="s">
        <v>941</v>
      </c>
      <c r="B8" s="23" t="s">
        <v>702</v>
      </c>
      <c r="C8" s="59">
        <v>374639.76</v>
      </c>
      <c r="D8" s="59">
        <v>450000</v>
      </c>
      <c r="E8" s="19">
        <f>SUMIF('1.WS-Re-Exp'!$F$3:$F$430,Planfin2562!A8,'1.WS-Re-Exp'!$C$3:$C$430)</f>
        <v>574649.57052931865</v>
      </c>
      <c r="F8" s="227">
        <f t="shared" si="0"/>
        <v>34.805526843966227</v>
      </c>
      <c r="G8" s="23" t="s">
        <v>702</v>
      </c>
      <c r="H8" s="230">
        <f>VLOOKUP($A8,'HGR2560'!$B$2:$I$28,3,0)</f>
        <v>450000</v>
      </c>
      <c r="I8" s="230">
        <f>VLOOKUP($A8,'HGR2560'!$B$2:$I$28,5,0)</f>
        <v>0</v>
      </c>
      <c r="J8" s="230">
        <f>VLOOKUP($A8,'HGR2560'!$B$2:$I$28,8,0)</f>
        <v>0</v>
      </c>
      <c r="K8" s="230" t="e">
        <f>VLOOKUP($A8,'HGR2560'!$B$2:$I$28,4,0)</f>
        <v>#DIV/0!</v>
      </c>
      <c r="L8" s="230">
        <f t="shared" si="1"/>
        <v>574649.57052931865</v>
      </c>
      <c r="M8" s="230">
        <f t="shared" si="2"/>
        <v>574649.57052931865</v>
      </c>
    </row>
    <row r="9" spans="1:14" ht="24" x14ac:dyDescent="0.55000000000000004">
      <c r="A9" s="72" t="s">
        <v>6</v>
      </c>
      <c r="B9" s="23" t="s">
        <v>7</v>
      </c>
      <c r="C9" s="59">
        <v>4822440.6399999997</v>
      </c>
      <c r="D9" s="59">
        <v>5693585</v>
      </c>
      <c r="E9" s="19">
        <f>SUMIF('1.WS-Re-Exp'!$F$3:$F$430,Planfin2562!A9,'1.WS-Re-Exp'!$C$3:$C$430)</f>
        <v>4421678.2170157293</v>
      </c>
      <c r="F9" s="227">
        <f t="shared" si="0"/>
        <v>-9.0635818192747681</v>
      </c>
      <c r="G9" s="23" t="s">
        <v>7</v>
      </c>
      <c r="H9" s="230">
        <f>VLOOKUP($A9,'HGR2560'!$B$2:$I$28,3,0)</f>
        <v>5693585</v>
      </c>
      <c r="I9" s="230">
        <f>VLOOKUP($A9,'HGR2560'!$B$2:$I$28,5,0)</f>
        <v>6003172.1600000001</v>
      </c>
      <c r="J9" s="230">
        <f>VLOOKUP($A9,'HGR2560'!$B$2:$I$28,8,0)</f>
        <v>10858442.67</v>
      </c>
      <c r="K9" s="230" t="e">
        <f>VLOOKUP($A9,'HGR2560'!$B$2:$I$28,4,0)</f>
        <v>#DIV/0!</v>
      </c>
      <c r="L9" s="230">
        <f t="shared" si="1"/>
        <v>-1581493.9429842709</v>
      </c>
      <c r="M9" s="230">
        <f t="shared" si="2"/>
        <v>-6436764.4529842706</v>
      </c>
    </row>
    <row r="10" spans="1:14" ht="24" x14ac:dyDescent="0.55000000000000004">
      <c r="A10" s="72" t="s">
        <v>8</v>
      </c>
      <c r="B10" s="23" t="s">
        <v>9</v>
      </c>
      <c r="C10" s="59">
        <v>1314209.17</v>
      </c>
      <c r="D10" s="59">
        <v>1490700</v>
      </c>
      <c r="E10" s="19">
        <f>SUMIF('1.WS-Re-Exp'!$F$3:$F$430,Planfin2562!A10,'1.WS-Re-Exp'!$C$3:$C$430)</f>
        <v>1490700</v>
      </c>
      <c r="F10" s="227">
        <f t="shared" si="0"/>
        <v>11.839459985241838</v>
      </c>
      <c r="G10" s="23" t="s">
        <v>9</v>
      </c>
      <c r="H10" s="230">
        <f>VLOOKUP($A10,'HGR2560'!$B$2:$I$28,3,0)</f>
        <v>1490700</v>
      </c>
      <c r="I10" s="230">
        <f>VLOOKUP($A10,'HGR2560'!$B$2:$I$28,5,0)</f>
        <v>1507791.8</v>
      </c>
      <c r="J10" s="230">
        <f>VLOOKUP($A10,'HGR2560'!$B$2:$I$28,8,0)</f>
        <v>2836649.09</v>
      </c>
      <c r="K10" s="230" t="e">
        <f>VLOOKUP($A10,'HGR2560'!$B$2:$I$28,4,0)</f>
        <v>#DIV/0!</v>
      </c>
      <c r="L10" s="230">
        <f t="shared" si="1"/>
        <v>-17091.800000000047</v>
      </c>
      <c r="M10" s="230">
        <f t="shared" si="2"/>
        <v>-1345949.0899999999</v>
      </c>
    </row>
    <row r="11" spans="1:14" ht="24" x14ac:dyDescent="0.55000000000000004">
      <c r="A11" s="72" t="s">
        <v>10</v>
      </c>
      <c r="B11" s="23" t="s">
        <v>11</v>
      </c>
      <c r="C11" s="59">
        <v>1165317.3700000001</v>
      </c>
      <c r="D11" s="59">
        <v>650000</v>
      </c>
      <c r="E11" s="19">
        <f>SUMIF('1.WS-Re-Exp'!$F$3:$F$430,Planfin2562!A11,'1.WS-Re-Exp'!$C$3:$C$430)</f>
        <v>1445442.2786086374</v>
      </c>
      <c r="F11" s="227">
        <f t="shared" si="0"/>
        <v>19.379875125714573</v>
      </c>
      <c r="G11" s="23" t="s">
        <v>11</v>
      </c>
      <c r="H11" s="230">
        <f>VLOOKUP($A11,'HGR2560'!$B$2:$I$28,3,0)</f>
        <v>650000</v>
      </c>
      <c r="I11" s="230">
        <f>VLOOKUP($A11,'HGR2560'!$B$2:$I$28,5,0)</f>
        <v>496858.12</v>
      </c>
      <c r="J11" s="230">
        <f>VLOOKUP($A11,'HGR2560'!$B$2:$I$28,8,0)</f>
        <v>1537015.77</v>
      </c>
      <c r="K11" s="230" t="e">
        <f>VLOOKUP($A11,'HGR2560'!$B$2:$I$28,4,0)</f>
        <v>#DIV/0!</v>
      </c>
      <c r="L11" s="230">
        <f t="shared" si="1"/>
        <v>948584.1586086374</v>
      </c>
      <c r="M11" s="230">
        <f t="shared" si="2"/>
        <v>-91573.491391362622</v>
      </c>
    </row>
    <row r="12" spans="1:14" ht="24" x14ac:dyDescent="0.55000000000000004">
      <c r="A12" s="72" t="s">
        <v>12</v>
      </c>
      <c r="B12" s="23" t="s">
        <v>13</v>
      </c>
      <c r="C12" s="59">
        <v>10946128.440000001</v>
      </c>
      <c r="D12" s="59">
        <v>11007000</v>
      </c>
      <c r="E12" s="19">
        <f>SUMIF('1.WS-Re-Exp'!$F$3:$F$430,Planfin2562!A12,'1.WS-Re-Exp'!$C$3:$C$430)</f>
        <v>10270411.51961687</v>
      </c>
      <c r="F12" s="227">
        <f t="shared" si="0"/>
        <v>-6.579258475597463</v>
      </c>
      <c r="G12" s="23" t="s">
        <v>13</v>
      </c>
      <c r="H12" s="230">
        <f>VLOOKUP($A12,'HGR2560'!$B$2:$I$28,3,0)</f>
        <v>11007000</v>
      </c>
      <c r="I12" s="230">
        <f>VLOOKUP($A12,'HGR2560'!$B$2:$I$28,5,0)</f>
        <v>5345473.12</v>
      </c>
      <c r="J12" s="230">
        <f>VLOOKUP($A12,'HGR2560'!$B$2:$I$28,8,0)</f>
        <v>10036243.789999999</v>
      </c>
      <c r="K12" s="230" t="e">
        <f>VLOOKUP($A12,'HGR2560'!$B$2:$I$28,4,0)</f>
        <v>#DIV/0!</v>
      </c>
      <c r="L12" s="230">
        <f t="shared" si="1"/>
        <v>4924938.3996168701</v>
      </c>
      <c r="M12" s="230">
        <f t="shared" si="2"/>
        <v>234167.7296168711</v>
      </c>
    </row>
    <row r="13" spans="1:14" ht="24" x14ac:dyDescent="0.55000000000000004">
      <c r="A13" s="72" t="s">
        <v>14</v>
      </c>
      <c r="B13" s="23" t="s">
        <v>15</v>
      </c>
      <c r="C13" s="59">
        <v>26189570.559999999</v>
      </c>
      <c r="D13" s="59">
        <v>28378920</v>
      </c>
      <c r="E13" s="19">
        <f>SUMIF('1.WS-Re-Exp'!$F$3:$F$430,Planfin2562!A13,'1.WS-Re-Exp'!$C$3:$C$430)</f>
        <v>28378920</v>
      </c>
      <c r="F13" s="227">
        <f t="shared" si="0"/>
        <v>7.7147031669986088</v>
      </c>
      <c r="G13" s="23" t="s">
        <v>15</v>
      </c>
      <c r="H13" s="230">
        <f>VLOOKUP($A13,'HGR2560'!$B$2:$I$28,3,0)</f>
        <v>28378920</v>
      </c>
      <c r="I13" s="230">
        <f>VLOOKUP($A13,'HGR2560'!$B$2:$I$28,5,0)</f>
        <v>32336197.93</v>
      </c>
      <c r="J13" s="230">
        <f>VLOOKUP($A13,'HGR2560'!$B$2:$I$28,8,0)</f>
        <v>41607349.939999998</v>
      </c>
      <c r="K13" s="230" t="e">
        <f>VLOOKUP($A13,'HGR2560'!$B$2:$I$28,4,0)</f>
        <v>#DIV/0!</v>
      </c>
      <c r="L13" s="230">
        <f t="shared" si="1"/>
        <v>-3957277.9299999997</v>
      </c>
      <c r="M13" s="230">
        <f t="shared" si="2"/>
        <v>-13228429.939999998</v>
      </c>
    </row>
    <row r="14" spans="1:14" ht="24" x14ac:dyDescent="0.55000000000000004">
      <c r="A14" s="72" t="s">
        <v>16</v>
      </c>
      <c r="B14" s="23" t="s">
        <v>17</v>
      </c>
      <c r="C14" s="59">
        <v>13419644.460000001</v>
      </c>
      <c r="D14" s="59">
        <v>6778624.0366666671</v>
      </c>
      <c r="E14" s="19">
        <f>SUMIF('1.WS-Re-Exp'!$F$3:$F$430,Planfin2562!A14,'1.WS-Re-Exp'!$C$3:$C$430)</f>
        <v>6778624.04</v>
      </c>
      <c r="F14" s="227">
        <f t="shared" si="0"/>
        <v>-97.970036113700758</v>
      </c>
      <c r="G14" s="23" t="s">
        <v>17</v>
      </c>
      <c r="H14" s="230">
        <f>VLOOKUP($A14,'HGR2560'!$B$2:$I$28,3,0)</f>
        <v>6778624.0366666671</v>
      </c>
      <c r="I14" s="230">
        <f>VLOOKUP($A14,'HGR2560'!$B$2:$I$28,5,0)</f>
        <v>8010292.0099999998</v>
      </c>
      <c r="J14" s="230">
        <f>VLOOKUP($A14,'HGR2560'!$B$2:$I$28,8,0)</f>
        <v>12454728.52</v>
      </c>
      <c r="K14" s="230" t="e">
        <f>VLOOKUP($A14,'HGR2560'!$B$2:$I$28,4,0)</f>
        <v>#DIV/0!</v>
      </c>
      <c r="L14" s="230">
        <f t="shared" si="1"/>
        <v>-1231667.9699999997</v>
      </c>
      <c r="M14" s="230">
        <f t="shared" si="2"/>
        <v>-5676104.4799999995</v>
      </c>
    </row>
    <row r="15" spans="1:14" ht="24" x14ac:dyDescent="0.55000000000000004">
      <c r="A15" s="308" t="s">
        <v>1373</v>
      </c>
      <c r="B15" s="303" t="s">
        <v>1385</v>
      </c>
      <c r="C15" s="307"/>
      <c r="D15" s="307"/>
      <c r="E15" s="305">
        <f>SUMIF('1.WS-Re-Exp'!$F$3:$F$430,Planfin2562!A15,'1.WS-Re-Exp'!$C$3:$C$430)</f>
        <v>0</v>
      </c>
      <c r="F15" s="306" t="e">
        <f t="shared" si="0"/>
        <v>#DIV/0!</v>
      </c>
      <c r="G15" s="303" t="s">
        <v>1385</v>
      </c>
      <c r="H15" s="230"/>
      <c r="I15" s="230"/>
      <c r="J15" s="230"/>
      <c r="K15" s="230"/>
      <c r="L15" s="230"/>
      <c r="M15" s="230"/>
    </row>
    <row r="16" spans="1:14" ht="24" x14ac:dyDescent="0.55000000000000004">
      <c r="A16" s="308" t="s">
        <v>18</v>
      </c>
      <c r="B16" s="303" t="s">
        <v>661</v>
      </c>
      <c r="C16" s="307">
        <v>3246056.03</v>
      </c>
      <c r="D16" s="307">
        <v>3556759.27</v>
      </c>
      <c r="E16" s="305">
        <f>SUMIF('1.WS-Re-Exp'!$F$3:$F$430,Planfin2562!A16,'1.WS-Re-Exp'!$C$3:$C$430)</f>
        <v>3655786</v>
      </c>
      <c r="F16" s="306">
        <f t="shared" si="0"/>
        <v>11.207712103498405</v>
      </c>
      <c r="G16" s="303" t="s">
        <v>661</v>
      </c>
      <c r="H16" s="230">
        <f>VLOOKUP($A16,'HGR2560'!$B$2:$I$28,3,0)</f>
        <v>3556759.27</v>
      </c>
      <c r="I16" s="230">
        <f>VLOOKUP($A16,'HGR2560'!$B$2:$I$28,5,0)</f>
        <v>4059473.78</v>
      </c>
      <c r="J16" s="230">
        <f>VLOOKUP($A16,'HGR2560'!$B$2:$I$28,8,0)</f>
        <v>8765260.4299999997</v>
      </c>
      <c r="K16" s="230" t="e">
        <f>VLOOKUP($A16,'HGR2560'!$B$2:$I$28,4,0)</f>
        <v>#DIV/0!</v>
      </c>
      <c r="L16" s="230">
        <f t="shared" si="1"/>
        <v>-403687.7799999998</v>
      </c>
      <c r="M16" s="230">
        <f t="shared" si="2"/>
        <v>-5109474.43</v>
      </c>
    </row>
    <row r="17" spans="1:13" ht="27.75" x14ac:dyDescent="0.65">
      <c r="A17" s="131" t="s">
        <v>667</v>
      </c>
      <c r="B17" s="132" t="s">
        <v>647</v>
      </c>
      <c r="C17" s="133">
        <f>SUM(C5:C16)</f>
        <v>104964510.47</v>
      </c>
      <c r="D17" s="133">
        <f>SUM(D5:D16)</f>
        <v>101791246.58416666</v>
      </c>
      <c r="E17" s="133">
        <f>SUM(E5:E16)</f>
        <v>100578116.87577055</v>
      </c>
      <c r="F17" s="228">
        <f t="shared" si="0"/>
        <v>-4.3611808716276883</v>
      </c>
      <c r="G17" s="132" t="s">
        <v>647</v>
      </c>
      <c r="H17" s="231">
        <f>VLOOKUP($A17,'HGR2560'!$B$2:$I$28,3,0)</f>
        <v>101791246.58416666</v>
      </c>
      <c r="I17" s="231">
        <f>VLOOKUP($A17,'HGR2560'!$B$2:$I$28,5,0)</f>
        <v>101348915.13</v>
      </c>
      <c r="J17" s="231">
        <f>VLOOKUP($A17,'HGR2560'!$B$2:$I$28,8,0)</f>
        <v>125540417.87</v>
      </c>
      <c r="K17" s="231" t="e">
        <f>VLOOKUP($A17,'HGR2560'!$B$2:$I$28,4,0)</f>
        <v>#DIV/0!</v>
      </c>
      <c r="L17" s="230">
        <f t="shared" si="1"/>
        <v>-770798.25422944129</v>
      </c>
      <c r="M17" s="230">
        <f t="shared" si="2"/>
        <v>-24962300.994229451</v>
      </c>
    </row>
    <row r="18" spans="1:13" ht="27.75" x14ac:dyDescent="0.65">
      <c r="A18" s="128" t="s">
        <v>19</v>
      </c>
      <c r="B18" s="23" t="s">
        <v>20</v>
      </c>
      <c r="C18" s="196">
        <v>8385909.79</v>
      </c>
      <c r="D18" s="196">
        <v>8252608.1900000004</v>
      </c>
      <c r="E18" s="19">
        <f>SUMIF('1.WS-Re-Exp'!$F$3:$F$430,Planfin2562!A18,'1.WS-Re-Exp'!$C$3:$C$430)</f>
        <v>8252608.1900000004</v>
      </c>
      <c r="F18" s="227">
        <f t="shared" si="0"/>
        <v>-1.6152663125522697</v>
      </c>
      <c r="G18" s="23" t="s">
        <v>20</v>
      </c>
      <c r="H18" s="230">
        <f>VLOOKUP($A18,'HGR2560'!$B$2:$I$28,3,0)</f>
        <v>8252608.1900000004</v>
      </c>
      <c r="I18" s="230">
        <f>VLOOKUP($A18,'HGR2560'!$B$2:$I$28,5,0)</f>
        <v>8599313.6799999997</v>
      </c>
      <c r="J18" s="230">
        <f>VLOOKUP($A18,'HGR2560'!$B$2:$I$28,8,0)</f>
        <v>11734081.890000001</v>
      </c>
      <c r="K18" s="230" t="e">
        <f>VLOOKUP($A18,'HGR2560'!$B$2:$I$28,4,0)</f>
        <v>#DIV/0!</v>
      </c>
      <c r="L18" s="230">
        <f t="shared" si="1"/>
        <v>-346705.48999999929</v>
      </c>
      <c r="M18" s="230">
        <f t="shared" si="2"/>
        <v>-3481473.7</v>
      </c>
    </row>
    <row r="19" spans="1:13" ht="27.75" x14ac:dyDescent="0.65">
      <c r="A19" s="128" t="s">
        <v>21</v>
      </c>
      <c r="B19" s="23" t="s">
        <v>22</v>
      </c>
      <c r="C19" s="59">
        <v>2352843.85</v>
      </c>
      <c r="D19" s="59">
        <v>2310000</v>
      </c>
      <c r="E19" s="19">
        <f>SUMIF('1.WS-Re-Exp'!$F$3:$F$430,Planfin2562!A19,'1.WS-Re-Exp'!$C$3:$C$430)</f>
        <v>2310000</v>
      </c>
      <c r="F19" s="227">
        <f t="shared" si="0"/>
        <v>-1.8547121212121251</v>
      </c>
      <c r="G19" s="23" t="s">
        <v>22</v>
      </c>
      <c r="H19" s="230">
        <f>VLOOKUP($A19,'HGR2560'!$B$2:$I$28,3,0)</f>
        <v>2310000</v>
      </c>
      <c r="I19" s="230">
        <f>VLOOKUP($A19,'HGR2560'!$B$2:$I$28,5,0)</f>
        <v>2543495.2599999998</v>
      </c>
      <c r="J19" s="230">
        <f>VLOOKUP($A19,'HGR2560'!$B$2:$I$28,8,0)</f>
        <v>3747990.27</v>
      </c>
      <c r="K19" s="230" t="e">
        <f>VLOOKUP($A19,'HGR2560'!$B$2:$I$28,4,0)</f>
        <v>#DIV/0!</v>
      </c>
      <c r="L19" s="230">
        <f t="shared" si="1"/>
        <v>-233495.25999999978</v>
      </c>
      <c r="M19" s="230">
        <f t="shared" si="2"/>
        <v>-1437990.27</v>
      </c>
    </row>
    <row r="20" spans="1:13" ht="27.75" x14ac:dyDescent="0.65">
      <c r="A20" s="128" t="s">
        <v>703</v>
      </c>
      <c r="B20" s="20" t="s">
        <v>704</v>
      </c>
      <c r="C20" s="478">
        <v>280719.73</v>
      </c>
      <c r="D20" s="478">
        <v>450000</v>
      </c>
      <c r="E20" s="479">
        <f>SUMIF('1.WS-Re-Exp'!$F$3:$F$430,Planfin2562!A20,'1.WS-Re-Exp'!$C$3:$C$430)</f>
        <v>597644.38399999996</v>
      </c>
      <c r="F20" s="227">
        <f t="shared" si="0"/>
        <v>53.028968812329715</v>
      </c>
      <c r="G20" s="20" t="s">
        <v>704</v>
      </c>
      <c r="H20" s="230">
        <f>VLOOKUP($A20,'HGR2560'!$B$2:$I$28,3,0)</f>
        <v>450000</v>
      </c>
      <c r="I20" s="230">
        <f>VLOOKUP($A20,'HGR2560'!$B$2:$I$28,5,0)</f>
        <v>482822.43</v>
      </c>
      <c r="J20" s="230">
        <f>VLOOKUP($A20,'HGR2560'!$B$2:$I$28,8,0)</f>
        <v>761051.31</v>
      </c>
      <c r="K20" s="230" t="e">
        <f>VLOOKUP($A20,'HGR2560'!$B$2:$I$28,4,0)</f>
        <v>#DIV/0!</v>
      </c>
      <c r="L20" s="230">
        <f t="shared" si="1"/>
        <v>114821.95399999997</v>
      </c>
      <c r="M20" s="230">
        <f t="shared" si="2"/>
        <v>-163406.92600000009</v>
      </c>
    </row>
    <row r="21" spans="1:13" ht="27.75" x14ac:dyDescent="0.65">
      <c r="A21" s="128" t="s">
        <v>23</v>
      </c>
      <c r="B21" s="23" t="s">
        <v>24</v>
      </c>
      <c r="C21" s="59">
        <v>1997303.77</v>
      </c>
      <c r="D21" s="59">
        <v>1066488.8999999999</v>
      </c>
      <c r="E21" s="19">
        <f>SUMIF('1.WS-Re-Exp'!$F$3:$F$430,Planfin2562!A21,'1.WS-Re-Exp'!$C$3:$C$430)</f>
        <v>1066488.8999999999</v>
      </c>
      <c r="F21" s="227">
        <f t="shared" si="0"/>
        <v>-87.278439559942939</v>
      </c>
      <c r="G21" s="23" t="s">
        <v>24</v>
      </c>
      <c r="H21" s="230">
        <f>VLOOKUP($A21,'HGR2560'!$B$2:$I$28,3,0)</f>
        <v>1066488.8999999999</v>
      </c>
      <c r="I21" s="230">
        <f>VLOOKUP($A21,'HGR2560'!$B$2:$I$28,5,0)</f>
        <v>3102348.77</v>
      </c>
      <c r="J21" s="230">
        <f>VLOOKUP($A21,'HGR2560'!$B$2:$I$28,8,0)</f>
        <v>4330935.62</v>
      </c>
      <c r="K21" s="230" t="e">
        <f>VLOOKUP($A21,'HGR2560'!$B$2:$I$28,4,0)</f>
        <v>#DIV/0!</v>
      </c>
      <c r="L21" s="230">
        <f t="shared" si="1"/>
        <v>-2035859.87</v>
      </c>
      <c r="M21" s="230">
        <f t="shared" si="2"/>
        <v>-3264446.72</v>
      </c>
    </row>
    <row r="22" spans="1:13" ht="27.75" x14ac:dyDescent="0.65">
      <c r="A22" s="128" t="s">
        <v>25</v>
      </c>
      <c r="B22" s="23" t="s">
        <v>26</v>
      </c>
      <c r="C22" s="59">
        <v>26189570.560000002</v>
      </c>
      <c r="D22" s="59">
        <v>28378920</v>
      </c>
      <c r="E22" s="19">
        <f>SUMIF('1.WS-Re-Exp'!$F$3:$F$430,Planfin2562!A22,'1.WS-Re-Exp'!$C$3:$C$430)</f>
        <v>27854520</v>
      </c>
      <c r="F22" s="227">
        <f t="shared" si="0"/>
        <v>5.9773043656828317</v>
      </c>
      <c r="G22" s="23" t="s">
        <v>26</v>
      </c>
      <c r="H22" s="230">
        <f>VLOOKUP($A22,'HGR2560'!$B$2:$I$28,3,0)</f>
        <v>28378920</v>
      </c>
      <c r="I22" s="230">
        <f>VLOOKUP($A22,'HGR2560'!$B$2:$I$28,5,0)</f>
        <v>32313201.23</v>
      </c>
      <c r="J22" s="230">
        <f>VLOOKUP($A22,'HGR2560'!$B$2:$I$28,8,0)</f>
        <v>41340128.189999998</v>
      </c>
      <c r="K22" s="230" t="e">
        <f>VLOOKUP($A22,'HGR2560'!$B$2:$I$28,4,0)</f>
        <v>#DIV/0!</v>
      </c>
      <c r="L22" s="230">
        <f t="shared" si="1"/>
        <v>-4458681.2300000004</v>
      </c>
      <c r="M22" s="230">
        <f t="shared" si="2"/>
        <v>-13485608.189999998</v>
      </c>
    </row>
    <row r="23" spans="1:13" ht="27.75" x14ac:dyDescent="0.65">
      <c r="A23" s="128" t="s">
        <v>27</v>
      </c>
      <c r="B23" s="556" t="s">
        <v>695</v>
      </c>
      <c r="C23" s="478">
        <v>9344261.1500000004</v>
      </c>
      <c r="D23" s="478">
        <v>10698000</v>
      </c>
      <c r="E23" s="479">
        <f>SUMIF('1.WS-Re-Exp'!$F$3:$F$430,Planfin2562!A23,'1.WS-Re-Exp'!$C$3:$C$430)</f>
        <v>9322400</v>
      </c>
      <c r="F23" s="227">
        <f t="shared" si="0"/>
        <v>-0.23450130867588145</v>
      </c>
      <c r="G23" s="556" t="s">
        <v>695</v>
      </c>
      <c r="H23" s="230">
        <f>VLOOKUP($A23,'HGR2560'!$B$2:$I$28,3,0)</f>
        <v>10698000</v>
      </c>
      <c r="I23" s="230">
        <f>VLOOKUP($A23,'HGR2560'!$B$2:$I$28,5,0)</f>
        <v>8910388.5</v>
      </c>
      <c r="J23" s="230">
        <f>VLOOKUP($A23,'HGR2560'!$B$2:$I$28,8,0)</f>
        <v>11676293.07</v>
      </c>
      <c r="K23" s="230" t="e">
        <f>VLOOKUP($A23,'HGR2560'!$B$2:$I$28,4,0)</f>
        <v>#DIV/0!</v>
      </c>
      <c r="L23" s="230">
        <f t="shared" si="1"/>
        <v>412011.5</v>
      </c>
      <c r="M23" s="230">
        <f t="shared" si="2"/>
        <v>-2353893.0700000003</v>
      </c>
    </row>
    <row r="24" spans="1:13" ht="27.75" x14ac:dyDescent="0.65">
      <c r="A24" s="128" t="s">
        <v>29</v>
      </c>
      <c r="B24" s="20" t="s">
        <v>30</v>
      </c>
      <c r="C24" s="478">
        <v>16141360</v>
      </c>
      <c r="D24" s="478">
        <v>16159360</v>
      </c>
      <c r="E24" s="479">
        <f>SUMIF('1.WS-Re-Exp'!$F$3:$F$430,Planfin2562!A24,'1.WS-Re-Exp'!$C$3:$C$430)</f>
        <v>16159360</v>
      </c>
      <c r="F24" s="227">
        <f t="shared" si="0"/>
        <v>0.11139055012079686</v>
      </c>
      <c r="G24" s="20" t="s">
        <v>30</v>
      </c>
      <c r="H24" s="230">
        <f>VLOOKUP($A24,'HGR2560'!$B$2:$I$28,3,0)</f>
        <v>16159360</v>
      </c>
      <c r="I24" s="230">
        <f>VLOOKUP($A24,'HGR2560'!$B$2:$I$28,5,0)</f>
        <v>15491408.779999999</v>
      </c>
      <c r="J24" s="230">
        <f>VLOOKUP($A24,'HGR2560'!$B$2:$I$28,8,0)</f>
        <v>20294236.010000002</v>
      </c>
      <c r="K24" s="230" t="e">
        <f>VLOOKUP($A24,'HGR2560'!$B$2:$I$28,4,0)</f>
        <v>#DIV/0!</v>
      </c>
      <c r="L24" s="230">
        <f t="shared" si="1"/>
        <v>667951.22000000067</v>
      </c>
      <c r="M24" s="230">
        <f t="shared" si="2"/>
        <v>-4134876.0100000016</v>
      </c>
    </row>
    <row r="25" spans="1:13" ht="27.75" x14ac:dyDescent="0.65">
      <c r="A25" s="128" t="s">
        <v>31</v>
      </c>
      <c r="B25" s="20" t="s">
        <v>32</v>
      </c>
      <c r="C25" s="480">
        <v>2122730.5300000003</v>
      </c>
      <c r="D25" s="480">
        <v>1994876.9066666665</v>
      </c>
      <c r="E25" s="479">
        <f>SUMIF('1.WS-Re-Exp'!$F$3:$F$430,Planfin2562!A25,'1.WS-Re-Exp'!$C$3:$C$430)</f>
        <v>1477976.9100000001</v>
      </c>
      <c r="F25" s="227">
        <f t="shared" si="0"/>
        <v>-43.624065818457211</v>
      </c>
      <c r="G25" s="20" t="s">
        <v>32</v>
      </c>
      <c r="H25" s="230">
        <f>VLOOKUP($A25,'HGR2560'!$B$2:$I$28,3,0)</f>
        <v>1994876.9066666665</v>
      </c>
      <c r="I25" s="230">
        <f>VLOOKUP($A25,'HGR2560'!$B$2:$I$28,5,0)</f>
        <v>2235706.5699999998</v>
      </c>
      <c r="J25" s="230">
        <f>VLOOKUP($A25,'HGR2560'!$B$2:$I$28,8,0)</f>
        <v>2977280.91</v>
      </c>
      <c r="K25" s="230" t="e">
        <f>VLOOKUP($A25,'HGR2560'!$B$2:$I$28,4,0)</f>
        <v>#DIV/0!</v>
      </c>
      <c r="L25" s="230">
        <f t="shared" si="1"/>
        <v>-757729.65999999968</v>
      </c>
      <c r="M25" s="230">
        <f t="shared" si="2"/>
        <v>-1499304</v>
      </c>
    </row>
    <row r="26" spans="1:13" ht="27.75" x14ac:dyDescent="0.65">
      <c r="A26" s="128" t="s">
        <v>33</v>
      </c>
      <c r="B26" s="20" t="s">
        <v>34</v>
      </c>
      <c r="C26" s="480">
        <v>2686415.98</v>
      </c>
      <c r="D26" s="480">
        <v>5082580.8800000008</v>
      </c>
      <c r="E26" s="479">
        <f>SUMIF('1.WS-Re-Exp'!$F$3:$F$430,Planfin2562!A26,'1.WS-Re-Exp'!$C$3:$C$430)</f>
        <v>5450396.8800000008</v>
      </c>
      <c r="F26" s="227">
        <f t="shared" si="0"/>
        <v>50.711552953919949</v>
      </c>
      <c r="G26" s="20" t="s">
        <v>34</v>
      </c>
      <c r="H26" s="230">
        <f>VLOOKUP($A26,'HGR2560'!$B$2:$I$28,3,0)</f>
        <v>5082580.8800000008</v>
      </c>
      <c r="I26" s="230">
        <f>VLOOKUP($A26,'HGR2560'!$B$2:$I$28,5,0)</f>
        <v>4462614.59</v>
      </c>
      <c r="J26" s="230">
        <f>VLOOKUP($A26,'HGR2560'!$B$2:$I$28,8,0)</f>
        <v>7709438.3300000001</v>
      </c>
      <c r="K26" s="230" t="e">
        <f>VLOOKUP($A26,'HGR2560'!$B$2:$I$28,4,0)</f>
        <v>#DIV/0!</v>
      </c>
      <c r="L26" s="230">
        <f t="shared" si="1"/>
        <v>987782.29000000097</v>
      </c>
      <c r="M26" s="230">
        <f t="shared" si="2"/>
        <v>-2259041.4499999993</v>
      </c>
    </row>
    <row r="27" spans="1:13" ht="27.75" x14ac:dyDescent="0.65">
      <c r="A27" s="128" t="s">
        <v>35</v>
      </c>
      <c r="B27" s="23" t="s">
        <v>36</v>
      </c>
      <c r="C27" s="59">
        <v>1894307.02</v>
      </c>
      <c r="D27" s="59">
        <v>2038876.4983999999</v>
      </c>
      <c r="E27" s="19">
        <f>SUMIF('1.WS-Re-Exp'!$F$3:$F$430,Planfin2562!A27,'1.WS-Re-Exp'!$C$3:$C$430)</f>
        <v>2065384.4983999999</v>
      </c>
      <c r="F27" s="227">
        <f t="shared" si="0"/>
        <v>8.2830813600338917</v>
      </c>
      <c r="G27" s="23" t="s">
        <v>36</v>
      </c>
      <c r="H27" s="230">
        <f>VLOOKUP($A27,'HGR2560'!$B$2:$I$28,3,0)</f>
        <v>2038876.4983999999</v>
      </c>
      <c r="I27" s="230">
        <f>VLOOKUP($A27,'HGR2560'!$B$2:$I$28,5,0)</f>
        <v>2250681.17</v>
      </c>
      <c r="J27" s="230">
        <f>VLOOKUP($A27,'HGR2560'!$B$2:$I$28,8,0)</f>
        <v>2842694.46</v>
      </c>
      <c r="K27" s="230" t="e">
        <f>VLOOKUP($A27,'HGR2560'!$B$2:$I$28,4,0)</f>
        <v>#DIV/0!</v>
      </c>
      <c r="L27" s="230">
        <f t="shared" si="1"/>
        <v>-185296.6716</v>
      </c>
      <c r="M27" s="230">
        <f t="shared" si="2"/>
        <v>-777309.96160000004</v>
      </c>
    </row>
    <row r="28" spans="1:13" ht="27.75" x14ac:dyDescent="0.65">
      <c r="A28" s="128" t="s">
        <v>37</v>
      </c>
      <c r="B28" s="23" t="s">
        <v>38</v>
      </c>
      <c r="C28" s="59">
        <v>2636814.52</v>
      </c>
      <c r="D28" s="59">
        <v>3047400</v>
      </c>
      <c r="E28" s="19">
        <f>SUMIF('1.WS-Re-Exp'!$F$3:$F$430,Planfin2562!A28,'1.WS-Re-Exp'!$C$3:$C$430)</f>
        <v>2846792.4800000004</v>
      </c>
      <c r="F28" s="227">
        <f t="shared" si="0"/>
        <v>7.375948948691911</v>
      </c>
      <c r="G28" s="23" t="s">
        <v>38</v>
      </c>
      <c r="H28" s="230">
        <f>VLOOKUP($A28,'HGR2560'!$B$2:$I$28,3,0)</f>
        <v>3047400</v>
      </c>
      <c r="I28" s="230">
        <f>VLOOKUP($A28,'HGR2560'!$B$2:$I$28,5,0)</f>
        <v>3363210.27</v>
      </c>
      <c r="J28" s="230">
        <f>VLOOKUP($A28,'HGR2560'!$B$2:$I$28,8,0)</f>
        <v>4914873.4400000004</v>
      </c>
      <c r="K28" s="230" t="e">
        <f>VLOOKUP($A28,'HGR2560'!$B$2:$I$28,4,0)</f>
        <v>#DIV/0!</v>
      </c>
      <c r="L28" s="230">
        <f t="shared" si="1"/>
        <v>-516417.78999999957</v>
      </c>
      <c r="M28" s="230">
        <f t="shared" si="2"/>
        <v>-2068080.96</v>
      </c>
    </row>
    <row r="29" spans="1:13" ht="27.75" x14ac:dyDescent="0.65">
      <c r="A29" s="302" t="s">
        <v>39</v>
      </c>
      <c r="B29" s="303" t="s">
        <v>40</v>
      </c>
      <c r="C29" s="307">
        <v>7228036.1999999993</v>
      </c>
      <c r="D29" s="307">
        <v>6984241.2266666666</v>
      </c>
      <c r="E29" s="305">
        <f>SUMIF('1.WS-Re-Exp'!$F$3:$F$430,Planfin2562!A29,'1.WS-Re-Exp'!$C$3:$C$430)</f>
        <v>6984241.2299999995</v>
      </c>
      <c r="F29" s="306">
        <f t="shared" si="0"/>
        <v>-3.4906436071080513</v>
      </c>
      <c r="G29" s="303" t="s">
        <v>40</v>
      </c>
      <c r="H29" s="230">
        <f>VLOOKUP($A29,'HGR2560'!$B$2:$I$28,3,0)</f>
        <v>6984241.2266666666</v>
      </c>
      <c r="I29" s="230">
        <f>VLOOKUP($A29,'HGR2560'!$B$2:$I$28,5,0)</f>
        <v>5828834.04</v>
      </c>
      <c r="J29" s="230">
        <f>VLOOKUP($A29,'HGR2560'!$B$2:$I$28,8,0)</f>
        <v>8225171.7599999998</v>
      </c>
      <c r="K29" s="230" t="e">
        <f>VLOOKUP($A29,'HGR2560'!$B$2:$I$28,4,0)</f>
        <v>#DIV/0!</v>
      </c>
      <c r="L29" s="230">
        <f t="shared" si="1"/>
        <v>1155407.1899999995</v>
      </c>
      <c r="M29" s="230">
        <f t="shared" si="2"/>
        <v>-1240930.5300000003</v>
      </c>
    </row>
    <row r="30" spans="1:13" ht="27.75" x14ac:dyDescent="0.65">
      <c r="A30" s="128" t="s">
        <v>705</v>
      </c>
      <c r="B30" s="23" t="s">
        <v>706</v>
      </c>
      <c r="C30" s="59">
        <v>1651903.03</v>
      </c>
      <c r="D30" s="59">
        <v>900000</v>
      </c>
      <c r="E30" s="19">
        <f>SUMIF('1.WS-Re-Exp'!$F$3:$F$430,Planfin2562!A30,'1.WS-Re-Exp'!$C$3:$C$430)</f>
        <v>900000</v>
      </c>
      <c r="F30" s="227">
        <f t="shared" si="0"/>
        <v>-83.544781111111106</v>
      </c>
      <c r="G30" s="23" t="s">
        <v>706</v>
      </c>
      <c r="H30" s="230">
        <f>VLOOKUP($A30,'HGR2560'!$B$2:$I$28,3,0)</f>
        <v>900000</v>
      </c>
      <c r="I30" s="230">
        <f>VLOOKUP($A30,'HGR2560'!$B$2:$I$28,5,0)</f>
        <v>495692.42</v>
      </c>
      <c r="J30" s="230">
        <f>VLOOKUP($A30,'HGR2560'!$B$2:$I$28,8,0)</f>
        <v>1179764.31</v>
      </c>
      <c r="K30" s="230" t="e">
        <f>VLOOKUP($A30,'HGR2560'!$B$2:$I$28,4,0)</f>
        <v>#DIV/0!</v>
      </c>
      <c r="L30" s="230">
        <f t="shared" si="1"/>
        <v>404307.58</v>
      </c>
      <c r="M30" s="230">
        <f t="shared" si="2"/>
        <v>-279764.31000000006</v>
      </c>
    </row>
    <row r="31" spans="1:13" ht="27.75" x14ac:dyDescent="0.65">
      <c r="A31" s="128" t="s">
        <v>41</v>
      </c>
      <c r="B31" s="23" t="s">
        <v>42</v>
      </c>
      <c r="C31" s="26">
        <v>6778888.2199999997</v>
      </c>
      <c r="D31" s="26">
        <v>5581400</v>
      </c>
      <c r="E31" s="19">
        <f>SUMIF('1.WS-Re-Exp'!$F$3:$F$430,Planfin2562!A31,'1.WS-Re-Exp'!$C$3:$C$430)</f>
        <v>5581400</v>
      </c>
      <c r="F31" s="227">
        <f t="shared" si="0"/>
        <v>-21.454979395850497</v>
      </c>
      <c r="G31" s="23" t="s">
        <v>42</v>
      </c>
      <c r="H31" s="230">
        <f>VLOOKUP($A31,'HGR2560'!$B$2:$I$28,3,0)</f>
        <v>5581400</v>
      </c>
      <c r="I31" s="230">
        <f>VLOOKUP($A31,'HGR2560'!$B$2:$I$28,5,0)</f>
        <v>8912048.0199999996</v>
      </c>
      <c r="J31" s="230">
        <f>VLOOKUP($A31,'HGR2560'!$B$2:$I$28,8,0)</f>
        <v>14289336.130000001</v>
      </c>
      <c r="K31" s="230" t="e">
        <f>VLOOKUP($A31,'HGR2560'!$B$2:$I$28,4,0)</f>
        <v>#DIV/0!</v>
      </c>
      <c r="L31" s="230">
        <f t="shared" si="1"/>
        <v>-3330648.0199999996</v>
      </c>
      <c r="M31" s="230">
        <f t="shared" si="2"/>
        <v>-8707936.1300000008</v>
      </c>
    </row>
    <row r="32" spans="1:13" ht="27.75" x14ac:dyDescent="0.65">
      <c r="A32" s="302" t="s">
        <v>1374</v>
      </c>
      <c r="B32" s="303" t="s">
        <v>1375</v>
      </c>
      <c r="C32" s="304">
        <v>0</v>
      </c>
      <c r="D32" s="304">
        <v>0</v>
      </c>
      <c r="E32" s="305">
        <f>SUMIF('1.WS-Re-Exp'!$F$3:$F$430,Planfin2562!A32,'1.WS-Re-Exp'!$C$3:$C$430)</f>
        <v>0</v>
      </c>
      <c r="F32" s="306" t="e">
        <f>((E32-C32)/E32)*100</f>
        <v>#DIV/0!</v>
      </c>
      <c r="G32" s="303" t="s">
        <v>1375</v>
      </c>
      <c r="H32" s="230"/>
      <c r="I32" s="230"/>
      <c r="J32" s="230"/>
      <c r="K32" s="230"/>
      <c r="L32" s="230"/>
      <c r="M32" s="230"/>
    </row>
    <row r="33" spans="1:14" s="121" customFormat="1" ht="24" x14ac:dyDescent="0.55000000000000004">
      <c r="A33" s="134" t="s">
        <v>668</v>
      </c>
      <c r="B33" s="134" t="s">
        <v>669</v>
      </c>
      <c r="C33" s="135">
        <f>SUM(C18:C32)</f>
        <v>89691064.349999994</v>
      </c>
      <c r="D33" s="135">
        <f>SUM(D18:D32)</f>
        <v>92944752.601733327</v>
      </c>
      <c r="E33" s="135">
        <f>SUM(E18:E32)</f>
        <v>90869213.47240001</v>
      </c>
      <c r="F33" s="229">
        <f t="shared" si="0"/>
        <v>1.2965327610740887</v>
      </c>
      <c r="G33" s="134" t="s">
        <v>669</v>
      </c>
      <c r="H33" s="231">
        <f>VLOOKUP($A33,'HGR2560'!$B$2:$I$28,3,0)</f>
        <v>92944752.601733327</v>
      </c>
      <c r="I33" s="231">
        <f>VLOOKUP($A33,'HGR2560'!$B$2:$I$28,5,0)</f>
        <v>98961885.689999998</v>
      </c>
      <c r="J33" s="231">
        <f>VLOOKUP($A33,'HGR2560'!$B$2:$I$28,8,0)</f>
        <v>121682210.77</v>
      </c>
      <c r="K33" s="231" t="e">
        <f>VLOOKUP($A33,'HGR2560'!$B$2:$I$28,4,0)</f>
        <v>#DIV/0!</v>
      </c>
      <c r="L33" s="230">
        <f t="shared" si="1"/>
        <v>-8092672.217599988</v>
      </c>
      <c r="M33" s="230">
        <f t="shared" si="2"/>
        <v>-30812997.297599986</v>
      </c>
    </row>
    <row r="34" spans="1:14" s="121" customFormat="1" ht="27.75" x14ac:dyDescent="0.65">
      <c r="A34" s="131" t="s">
        <v>670</v>
      </c>
      <c r="B34" s="136" t="s">
        <v>671</v>
      </c>
      <c r="C34" s="137">
        <v>15273446.120000005</v>
      </c>
      <c r="D34" s="137">
        <f>D17-D32</f>
        <v>101791246.58416666</v>
      </c>
      <c r="E34" s="137">
        <f>E17-E33</f>
        <v>9708903.4033705443</v>
      </c>
      <c r="F34" s="122"/>
      <c r="G34" s="122"/>
      <c r="H34" s="122"/>
      <c r="I34" s="477" t="s">
        <v>1563</v>
      </c>
      <c r="J34" s="477" t="s">
        <v>1564</v>
      </c>
    </row>
    <row r="35" spans="1:14" s="121" customFormat="1" ht="27.75" x14ac:dyDescent="0.65">
      <c r="A35" s="138" t="s">
        <v>700</v>
      </c>
      <c r="B35" s="139" t="s">
        <v>701</v>
      </c>
      <c r="C35" s="459"/>
      <c r="D35" s="459">
        <v>12273975.939100001</v>
      </c>
      <c r="E35" s="197">
        <f>E34-E16+E29</f>
        <v>13037358.633370545</v>
      </c>
      <c r="F35" s="122"/>
      <c r="G35" s="122"/>
      <c r="H35" s="472" t="s">
        <v>1562</v>
      </c>
      <c r="I35" s="473">
        <f>E17-E16</f>
        <v>96922330.875770554</v>
      </c>
      <c r="J35" s="474">
        <f>D17-D16</f>
        <v>98234487.314166665</v>
      </c>
      <c r="K35" s="475">
        <f>I35-J35</f>
        <v>-1312156.4383961111</v>
      </c>
      <c r="L35" s="7" t="s">
        <v>1234</v>
      </c>
    </row>
    <row r="36" spans="1:14" s="121" customFormat="1" ht="30.75" x14ac:dyDescent="0.7">
      <c r="A36" s="140"/>
      <c r="B36" s="141" t="s">
        <v>1376</v>
      </c>
      <c r="C36" s="142"/>
      <c r="D36" s="457"/>
      <c r="E36" s="122"/>
      <c r="F36" s="122"/>
      <c r="G36" s="122"/>
      <c r="H36" s="472" t="s">
        <v>1568</v>
      </c>
      <c r="I36" s="473">
        <f>E33-E29</f>
        <v>83884972.242400005</v>
      </c>
      <c r="J36" s="476">
        <f>D33-D29</f>
        <v>85960511.375066668</v>
      </c>
      <c r="K36" s="475">
        <f>I36-J36</f>
        <v>-2075539.1326666623</v>
      </c>
      <c r="L36" s="237"/>
      <c r="M36" s="579" t="s">
        <v>1235</v>
      </c>
      <c r="N36" s="579"/>
    </row>
    <row r="37" spans="1:14" ht="28.5" thickBot="1" x14ac:dyDescent="0.7">
      <c r="A37" s="143"/>
      <c r="B37" s="144" t="s">
        <v>672</v>
      </c>
      <c r="C37" s="145"/>
      <c r="D37" s="458" t="s">
        <v>1557</v>
      </c>
      <c r="E37" s="458" t="s">
        <v>1558</v>
      </c>
      <c r="F37" s="8"/>
      <c r="G37" s="8"/>
      <c r="H37" s="8"/>
      <c r="L37" s="238"/>
      <c r="M37" s="579" t="s">
        <v>1252</v>
      </c>
      <c r="N37" s="579"/>
    </row>
    <row r="38" spans="1:14" ht="24.75" thickBot="1" x14ac:dyDescent="0.6">
      <c r="A38" s="151" t="s">
        <v>709</v>
      </c>
      <c r="B38" s="146" t="s">
        <v>699</v>
      </c>
      <c r="C38" s="147" t="s">
        <v>1552</v>
      </c>
      <c r="D38" s="147">
        <v>14049144.087272722</v>
      </c>
      <c r="E38" s="436">
        <f>E34-E16+E29</f>
        <v>13037358.633370545</v>
      </c>
      <c r="F38" s="8"/>
      <c r="G38" s="8"/>
      <c r="H38" s="552" t="s">
        <v>1572</v>
      </c>
      <c r="I38" s="553">
        <f>E35*20/100</f>
        <v>2607471.7266741092</v>
      </c>
      <c r="K38" s="24"/>
      <c r="L38" s="24"/>
    </row>
    <row r="39" spans="1:14" ht="24.75" thickBot="1" x14ac:dyDescent="0.6">
      <c r="A39" s="151"/>
      <c r="B39" s="148" t="s">
        <v>783</v>
      </c>
      <c r="C39" s="152" t="s">
        <v>1553</v>
      </c>
      <c r="D39" s="152" t="s">
        <v>1553</v>
      </c>
      <c r="E39" s="436">
        <f>IF(E38&lt;0,0-E88,((E38*20%)-E88))</f>
        <v>-2366853.2733258908</v>
      </c>
      <c r="F39" s="8"/>
      <c r="G39" s="8"/>
      <c r="H39" s="554" t="s">
        <v>1573</v>
      </c>
      <c r="I39" s="555">
        <f>E88</f>
        <v>4974325</v>
      </c>
      <c r="K39" s="123"/>
      <c r="L39" s="123"/>
    </row>
    <row r="40" spans="1:14" ht="24" x14ac:dyDescent="0.55000000000000004">
      <c r="A40" s="153" t="s">
        <v>43</v>
      </c>
      <c r="B40" s="434" t="s">
        <v>1382</v>
      </c>
      <c r="C40" s="149">
        <v>24708845.449999999</v>
      </c>
      <c r="D40" s="149">
        <v>29038602.861818179</v>
      </c>
      <c r="E40" s="436">
        <v>24708845.449999999</v>
      </c>
      <c r="F40" s="124"/>
      <c r="G40" s="124"/>
      <c r="H40" s="124"/>
    </row>
    <row r="41" spans="1:14" ht="24" x14ac:dyDescent="0.55000000000000004">
      <c r="A41" s="153" t="s">
        <v>44</v>
      </c>
      <c r="B41" s="432" t="s">
        <v>1383</v>
      </c>
      <c r="C41" s="150">
        <v>27450856.57</v>
      </c>
      <c r="D41" s="150">
        <v>29258575.101818182</v>
      </c>
      <c r="E41" s="436">
        <v>27450856.57</v>
      </c>
      <c r="F41" s="124"/>
      <c r="G41" s="124"/>
      <c r="H41" s="124"/>
    </row>
    <row r="42" spans="1:14" ht="24" x14ac:dyDescent="0.55000000000000004">
      <c r="A42" s="153" t="s">
        <v>673</v>
      </c>
      <c r="B42" s="432" t="s">
        <v>1384</v>
      </c>
      <c r="C42" s="150">
        <v>13684459.439999999</v>
      </c>
      <c r="D42" s="150">
        <v>-14989890.021818183</v>
      </c>
      <c r="E42" s="436">
        <v>13684459.439999999</v>
      </c>
      <c r="F42" s="124"/>
      <c r="G42" s="124"/>
      <c r="H42" s="124"/>
    </row>
    <row r="43" spans="1:14" ht="16.5" customHeight="1" x14ac:dyDescent="0.65">
      <c r="A43" s="114"/>
      <c r="B43" s="21"/>
      <c r="C43" s="124"/>
      <c r="D43" s="124"/>
      <c r="E43" s="22"/>
      <c r="F43" s="124"/>
      <c r="G43" s="124"/>
      <c r="H43" s="124"/>
    </row>
    <row r="44" spans="1:14" ht="37.5" customHeight="1" x14ac:dyDescent="0.4">
      <c r="A44" s="580" t="s">
        <v>674</v>
      </c>
      <c r="B44" s="580"/>
      <c r="C44" s="581"/>
      <c r="D44" s="162" t="s">
        <v>1556</v>
      </c>
      <c r="E44" s="162" t="s">
        <v>1260</v>
      </c>
      <c r="F44" s="125"/>
      <c r="G44" s="125"/>
      <c r="H44" s="125"/>
    </row>
    <row r="45" spans="1:14" ht="27.75" x14ac:dyDescent="0.65">
      <c r="A45" s="114"/>
      <c r="B45" s="582" t="s">
        <v>675</v>
      </c>
      <c r="C45" s="582"/>
      <c r="D45" s="463">
        <v>9260589.4199999999</v>
      </c>
      <c r="E45" s="154">
        <f>SUM('2.WS-ยา วชภฯ'!J3)</f>
        <v>9077064.7300000004</v>
      </c>
      <c r="F45" s="21"/>
      <c r="G45" s="21"/>
      <c r="H45" s="21"/>
    </row>
    <row r="46" spans="1:14" ht="27.75" x14ac:dyDescent="0.65">
      <c r="A46" s="114"/>
      <c r="B46" s="570" t="s">
        <v>676</v>
      </c>
      <c r="C46" s="570"/>
      <c r="D46" s="460">
        <v>4638217.9405000005</v>
      </c>
      <c r="E46" s="154">
        <f>SUM('2.WS-ยา วชภฯ'!J4)</f>
        <v>4348933.9105000002</v>
      </c>
      <c r="F46" s="21"/>
      <c r="G46" s="21"/>
      <c r="H46" s="21"/>
    </row>
    <row r="47" spans="1:14" ht="26.25" customHeight="1" x14ac:dyDescent="0.65">
      <c r="A47" s="114"/>
      <c r="B47" s="570" t="s">
        <v>677</v>
      </c>
      <c r="C47" s="570"/>
      <c r="D47" s="460">
        <v>1066488.8999999999</v>
      </c>
      <c r="E47" s="154">
        <f>SUM('2.WS-ยา วชภฯ'!J5)</f>
        <v>1016884.12</v>
      </c>
      <c r="F47" s="21"/>
      <c r="G47" s="21"/>
      <c r="H47" s="21"/>
    </row>
    <row r="48" spans="1:14" ht="26.25" customHeight="1" x14ac:dyDescent="0.65">
      <c r="A48" s="114"/>
      <c r="B48" s="583" t="s">
        <v>637</v>
      </c>
      <c r="C48" s="584"/>
      <c r="D48" s="154">
        <f>SUM(D45:D47)</f>
        <v>14965296.260500001</v>
      </c>
      <c r="E48" s="154">
        <f>SUM(E45:E47)</f>
        <v>14442882.760500001</v>
      </c>
      <c r="F48" s="21"/>
      <c r="G48" s="21"/>
      <c r="H48" s="21"/>
    </row>
    <row r="49" spans="1:8" ht="23.25" customHeight="1" x14ac:dyDescent="0.65">
      <c r="A49" s="114"/>
      <c r="B49" s="21"/>
      <c r="C49" s="21"/>
      <c r="D49" s="21"/>
      <c r="E49" s="22"/>
      <c r="F49" s="21"/>
      <c r="G49" s="21"/>
      <c r="H49" s="21"/>
    </row>
    <row r="50" spans="1:8" ht="45" customHeight="1" x14ac:dyDescent="0.4">
      <c r="A50" s="155" t="s">
        <v>714</v>
      </c>
      <c r="B50" s="156"/>
      <c r="C50" s="155"/>
      <c r="D50" s="162" t="s">
        <v>1556</v>
      </c>
      <c r="E50" s="162" t="s">
        <v>1260</v>
      </c>
      <c r="F50" s="125"/>
      <c r="G50" s="125"/>
      <c r="H50" s="125"/>
    </row>
    <row r="51" spans="1:8" ht="27.75" x14ac:dyDescent="0.65">
      <c r="A51" s="114"/>
      <c r="B51" s="574" t="s">
        <v>595</v>
      </c>
      <c r="C51" s="574"/>
      <c r="D51" s="464">
        <v>1004098.2</v>
      </c>
      <c r="E51" s="130">
        <f>SUM('3.WS-วัสดุอื่น'!G3)</f>
        <v>952946</v>
      </c>
      <c r="F51" s="21"/>
      <c r="G51" s="21"/>
      <c r="H51" s="21"/>
    </row>
    <row r="52" spans="1:8" ht="27.75" x14ac:dyDescent="0.65">
      <c r="A52" s="114"/>
      <c r="B52" s="574" t="s">
        <v>596</v>
      </c>
      <c r="C52" s="574"/>
      <c r="D52" s="464">
        <v>0</v>
      </c>
      <c r="E52" s="130">
        <f>SUM('3.WS-วัสดุอื่น'!G4)</f>
        <v>0</v>
      </c>
      <c r="F52" s="21"/>
      <c r="G52" s="21"/>
      <c r="H52" s="21"/>
    </row>
    <row r="53" spans="1:8" ht="27.75" x14ac:dyDescent="0.65">
      <c r="A53" s="114"/>
      <c r="B53" s="574" t="s">
        <v>597</v>
      </c>
      <c r="C53" s="574"/>
      <c r="D53" s="464">
        <v>632690</v>
      </c>
      <c r="E53" s="130">
        <f>SUM('3.WS-วัสดุอื่น'!G5)</f>
        <v>632685</v>
      </c>
      <c r="F53" s="21"/>
      <c r="G53" s="21"/>
      <c r="H53" s="21"/>
    </row>
    <row r="54" spans="1:8" ht="27.75" x14ac:dyDescent="0.65">
      <c r="A54" s="114"/>
      <c r="B54" s="574" t="s">
        <v>598</v>
      </c>
      <c r="C54" s="574"/>
      <c r="D54" s="464">
        <v>19950</v>
      </c>
      <c r="E54" s="130">
        <f>SUM('3.WS-วัสดุอื่น'!G6)</f>
        <v>19950</v>
      </c>
    </row>
    <row r="55" spans="1:8" ht="27.75" x14ac:dyDescent="0.65">
      <c r="A55" s="114"/>
      <c r="B55" s="574" t="s">
        <v>599</v>
      </c>
      <c r="C55" s="574"/>
      <c r="D55" s="464">
        <v>0</v>
      </c>
      <c r="E55" s="130">
        <f>SUM('3.WS-วัสดุอื่น'!G7)</f>
        <v>0</v>
      </c>
    </row>
    <row r="56" spans="1:8" ht="27.75" x14ac:dyDescent="0.65">
      <c r="A56" s="114"/>
      <c r="B56" s="574" t="s">
        <v>600</v>
      </c>
      <c r="C56" s="574"/>
      <c r="D56" s="464">
        <v>537270</v>
      </c>
      <c r="E56" s="130">
        <f>SUM('3.WS-วัสดุอื่น'!G8)</f>
        <v>393270</v>
      </c>
    </row>
    <row r="57" spans="1:8" ht="27.75" x14ac:dyDescent="0.65">
      <c r="A57" s="114"/>
      <c r="B57" s="574" t="s">
        <v>601</v>
      </c>
      <c r="C57" s="574"/>
      <c r="D57" s="464">
        <v>1034361</v>
      </c>
      <c r="E57" s="130">
        <f>SUM('3.WS-วัสดุอื่น'!G9)</f>
        <v>1112711</v>
      </c>
    </row>
    <row r="58" spans="1:8" ht="27.75" x14ac:dyDescent="0.65">
      <c r="A58" s="114"/>
      <c r="B58" s="574" t="s">
        <v>602</v>
      </c>
      <c r="C58" s="574"/>
      <c r="D58" s="464">
        <v>794420</v>
      </c>
      <c r="E58" s="130">
        <f>SUM('3.WS-วัสดุอื่น'!G10)</f>
        <v>694420</v>
      </c>
    </row>
    <row r="59" spans="1:8" ht="27.75" x14ac:dyDescent="0.65">
      <c r="A59" s="114"/>
      <c r="B59" s="574" t="s">
        <v>603</v>
      </c>
      <c r="C59" s="574"/>
      <c r="D59" s="464">
        <v>174000</v>
      </c>
      <c r="E59" s="130">
        <f>SUM('3.WS-วัสดุอื่น'!G11)</f>
        <v>174000</v>
      </c>
    </row>
    <row r="60" spans="1:8" ht="27.75" x14ac:dyDescent="0.65">
      <c r="A60" s="114"/>
      <c r="B60" s="574" t="s">
        <v>604</v>
      </c>
      <c r="C60" s="574"/>
      <c r="D60" s="464">
        <v>756649.5</v>
      </c>
      <c r="E60" s="130">
        <f>SUM('3.WS-วัสดุอื่น'!G12)</f>
        <v>771974.5</v>
      </c>
    </row>
    <row r="61" spans="1:8" ht="27.75" x14ac:dyDescent="0.65">
      <c r="A61" s="114"/>
      <c r="B61" s="574" t="s">
        <v>605</v>
      </c>
      <c r="C61" s="574"/>
      <c r="D61" s="464">
        <v>76495</v>
      </c>
      <c r="E61" s="130">
        <f>SUM('3.WS-วัสดุอื่น'!G13)</f>
        <v>76495</v>
      </c>
    </row>
    <row r="62" spans="1:8" ht="27.75" x14ac:dyDescent="0.65">
      <c r="A62" s="114"/>
      <c r="B62" s="569" t="s">
        <v>637</v>
      </c>
      <c r="C62" s="569"/>
      <c r="D62" s="154">
        <f>SUM(D51:D61)</f>
        <v>5029933.7</v>
      </c>
      <c r="E62" s="154">
        <f>SUM(E51:E61)</f>
        <v>4828451.5</v>
      </c>
    </row>
    <row r="63" spans="1:8" ht="28.5" customHeight="1" x14ac:dyDescent="0.65">
      <c r="A63" s="114"/>
      <c r="B63" s="126"/>
      <c r="C63" s="21"/>
      <c r="D63" s="21"/>
      <c r="E63" s="22"/>
      <c r="F63" s="21"/>
      <c r="G63" s="21"/>
      <c r="H63" s="21"/>
    </row>
    <row r="64" spans="1:8" ht="28.5" customHeight="1" x14ac:dyDescent="0.4">
      <c r="A64" s="572" t="s">
        <v>723</v>
      </c>
      <c r="B64" s="572"/>
      <c r="C64" s="572"/>
      <c r="D64" s="572"/>
      <c r="E64" s="572"/>
      <c r="F64" s="125"/>
      <c r="G64" s="125"/>
      <c r="H64" s="125"/>
    </row>
    <row r="65" spans="1:12" ht="27.75" x14ac:dyDescent="0.65">
      <c r="A65" s="114"/>
      <c r="B65" s="575" t="s">
        <v>1261</v>
      </c>
      <c r="C65" s="576"/>
      <c r="D65" s="162" t="s">
        <v>1561</v>
      </c>
      <c r="E65" s="162" t="s">
        <v>678</v>
      </c>
      <c r="F65" s="127"/>
      <c r="G65" s="127"/>
      <c r="H65" s="127"/>
    </row>
    <row r="66" spans="1:12" ht="27.75" x14ac:dyDescent="0.65">
      <c r="A66" s="114"/>
      <c r="B66" s="568" t="s">
        <v>679</v>
      </c>
      <c r="C66" s="568"/>
      <c r="D66" s="465">
        <v>9364218.9700000007</v>
      </c>
      <c r="E66" s="130">
        <f>SUM('4.WS-แผน จน.'!E4)</f>
        <v>9364218.9700000007</v>
      </c>
      <c r="F66" s="21"/>
      <c r="G66" s="21"/>
      <c r="H66" s="21"/>
    </row>
    <row r="67" spans="1:12" ht="27.75" x14ac:dyDescent="0.65">
      <c r="A67" s="114"/>
      <c r="B67" s="568" t="s">
        <v>680</v>
      </c>
      <c r="C67" s="568"/>
      <c r="D67" s="465">
        <v>4445073.68</v>
      </c>
      <c r="E67" s="130">
        <f>SUM('4.WS-แผน จน.'!E5)</f>
        <v>4445073.68</v>
      </c>
      <c r="F67" s="21"/>
      <c r="G67" s="21"/>
      <c r="H67" s="21"/>
    </row>
    <row r="68" spans="1:12" ht="27.75" x14ac:dyDescent="0.65">
      <c r="A68" s="114"/>
      <c r="B68" s="568" t="s">
        <v>681</v>
      </c>
      <c r="C68" s="568"/>
      <c r="D68" s="465">
        <v>1621207.75</v>
      </c>
      <c r="E68" s="130">
        <f>SUM('4.WS-แผน จน.'!E6)</f>
        <v>1621207.75</v>
      </c>
      <c r="F68" s="21"/>
      <c r="G68" s="21"/>
      <c r="H68" s="21"/>
    </row>
    <row r="69" spans="1:12" ht="27.75" x14ac:dyDescent="0.65">
      <c r="A69" s="114"/>
      <c r="B69" s="568" t="s">
        <v>682</v>
      </c>
      <c r="C69" s="568"/>
      <c r="D69" s="465">
        <v>4173161.38</v>
      </c>
      <c r="E69" s="130">
        <f>SUM('4.WS-แผน จน.'!E7)</f>
        <v>4173161.38</v>
      </c>
      <c r="F69" s="21"/>
      <c r="G69" s="21"/>
      <c r="H69" s="21"/>
    </row>
    <row r="70" spans="1:12" ht="27.75" x14ac:dyDescent="0.65">
      <c r="A70" s="114"/>
      <c r="B70" s="568" t="s">
        <v>683</v>
      </c>
      <c r="C70" s="568"/>
      <c r="D70" s="465">
        <v>27036835</v>
      </c>
      <c r="E70" s="130">
        <f>SUM('4.WS-แผน จน.'!E13)</f>
        <v>27036835</v>
      </c>
      <c r="F70" s="21"/>
      <c r="G70" s="21"/>
      <c r="H70" s="21"/>
    </row>
    <row r="71" spans="1:12" ht="27.75" x14ac:dyDescent="0.65">
      <c r="A71" s="114"/>
      <c r="B71" s="568" t="s">
        <v>684</v>
      </c>
      <c r="C71" s="568"/>
      <c r="D71" s="465">
        <v>4287708.333333333</v>
      </c>
      <c r="E71" s="130">
        <f>SUM('4.WS-แผน จน.'!E14)</f>
        <v>4287708.333333333</v>
      </c>
      <c r="F71" s="21"/>
      <c r="G71" s="21"/>
      <c r="H71" s="21"/>
    </row>
    <row r="72" spans="1:12" ht="27.75" x14ac:dyDescent="0.65">
      <c r="A72" s="114"/>
      <c r="B72" s="568" t="s">
        <v>775</v>
      </c>
      <c r="C72" s="568"/>
      <c r="D72" s="465">
        <v>4508761.8166666664</v>
      </c>
      <c r="E72" s="130">
        <f>SUM('4.WS-แผน จน.'!E15)</f>
        <v>4508761.8166666664</v>
      </c>
      <c r="F72" s="21"/>
      <c r="G72" s="21"/>
      <c r="H72" s="21"/>
      <c r="K72" s="123"/>
      <c r="L72" s="123"/>
    </row>
    <row r="73" spans="1:12" ht="27.75" x14ac:dyDescent="0.65">
      <c r="A73" s="114"/>
      <c r="B73" s="568" t="s">
        <v>685</v>
      </c>
      <c r="C73" s="568"/>
      <c r="D73" s="465">
        <v>4799506.4800000004</v>
      </c>
      <c r="E73" s="130">
        <f>SUM('4.WS-แผน จน.'!E16)</f>
        <v>4799506.4800000004</v>
      </c>
      <c r="F73" s="21"/>
      <c r="G73" s="21"/>
      <c r="H73" s="21"/>
    </row>
    <row r="74" spans="1:12" ht="27.75" x14ac:dyDescent="0.65">
      <c r="A74" s="114"/>
      <c r="B74" s="569" t="s">
        <v>637</v>
      </c>
      <c r="C74" s="569"/>
      <c r="D74" s="154">
        <f>SUM(D66:D73)</f>
        <v>60236473.410000011</v>
      </c>
      <c r="E74" s="154">
        <f>SUM(E66:E73)</f>
        <v>60236473.410000011</v>
      </c>
      <c r="F74" s="21"/>
      <c r="G74" s="21"/>
      <c r="H74" s="21"/>
    </row>
    <row r="75" spans="1:12" ht="12.75" customHeight="1" x14ac:dyDescent="0.65">
      <c r="A75" s="114"/>
      <c r="B75" s="21"/>
      <c r="C75" s="21"/>
      <c r="D75" s="21"/>
      <c r="E75" s="22"/>
      <c r="F75" s="21"/>
      <c r="G75" s="21"/>
      <c r="H75" s="21"/>
    </row>
    <row r="76" spans="1:12" ht="24.75" customHeight="1" x14ac:dyDescent="0.55000000000000004">
      <c r="A76" s="7" t="s">
        <v>724</v>
      </c>
      <c r="C76" s="7"/>
      <c r="D76" s="7"/>
      <c r="E76" s="16"/>
      <c r="F76" s="7"/>
      <c r="G76" s="7"/>
      <c r="H76" s="7"/>
    </row>
    <row r="77" spans="1:12" ht="27" customHeight="1" x14ac:dyDescent="0.65">
      <c r="A77" s="114"/>
      <c r="B77" s="573" t="s">
        <v>1262</v>
      </c>
      <c r="C77" s="573"/>
      <c r="D77" s="171" t="s">
        <v>1561</v>
      </c>
      <c r="E77" s="171" t="s">
        <v>678</v>
      </c>
      <c r="F77" s="21"/>
      <c r="G77" s="21"/>
      <c r="H77" s="21"/>
    </row>
    <row r="78" spans="1:12" ht="23.25" customHeight="1" x14ac:dyDescent="0.65">
      <c r="A78" s="114"/>
      <c r="B78" s="567" t="s">
        <v>686</v>
      </c>
      <c r="C78" s="567"/>
      <c r="D78" s="461">
        <v>9152224.5733333342</v>
      </c>
      <c r="E78" s="130">
        <f>SUM('5.WS-แผน ลน.'!E4)</f>
        <v>9152224.5733333342</v>
      </c>
      <c r="F78" s="21"/>
      <c r="G78" s="21"/>
      <c r="H78" s="21"/>
    </row>
    <row r="79" spans="1:12" ht="27" customHeight="1" x14ac:dyDescent="0.65">
      <c r="A79" s="114"/>
      <c r="B79" s="567" t="s">
        <v>687</v>
      </c>
      <c r="C79" s="567"/>
      <c r="D79" s="461">
        <v>1674822.6</v>
      </c>
      <c r="E79" s="130">
        <f>SUM('5.WS-แผน ลน.'!E5)</f>
        <v>1674822.6</v>
      </c>
      <c r="F79" s="21"/>
      <c r="G79" s="21"/>
      <c r="H79" s="21"/>
    </row>
    <row r="80" spans="1:12" ht="26.25" customHeight="1" x14ac:dyDescent="0.65">
      <c r="A80" s="114"/>
      <c r="B80" s="567" t="s">
        <v>688</v>
      </c>
      <c r="C80" s="567"/>
      <c r="D80" s="461">
        <v>4974438.3724999996</v>
      </c>
      <c r="E80" s="130">
        <f>SUM('5.WS-แผน ลน.'!E6)</f>
        <v>4974438.3724999996</v>
      </c>
      <c r="F80" s="21"/>
      <c r="G80" s="21"/>
      <c r="H80" s="21"/>
    </row>
    <row r="81" spans="1:8" ht="25.5" customHeight="1" x14ac:dyDescent="0.65">
      <c r="A81" s="114"/>
      <c r="B81" s="567" t="s">
        <v>689</v>
      </c>
      <c r="C81" s="567"/>
      <c r="D81" s="461">
        <v>276939</v>
      </c>
      <c r="E81" s="130">
        <f>SUM('5.WS-แผน ลน.'!E7)</f>
        <v>276939</v>
      </c>
      <c r="F81" s="21"/>
      <c r="G81" s="21"/>
      <c r="H81" s="21"/>
    </row>
    <row r="82" spans="1:8" ht="25.5" customHeight="1" x14ac:dyDescent="0.65">
      <c r="A82" s="114"/>
      <c r="B82" s="567" t="s">
        <v>690</v>
      </c>
      <c r="C82" s="567"/>
      <c r="D82" s="461">
        <v>124891.66666666666</v>
      </c>
      <c r="E82" s="130">
        <f>SUM('5.WS-แผน ลน.'!E8)</f>
        <v>124891.66666666666</v>
      </c>
      <c r="F82" s="21"/>
      <c r="G82" s="21"/>
      <c r="H82" s="21"/>
    </row>
    <row r="83" spans="1:8" ht="25.5" customHeight="1" x14ac:dyDescent="0.65">
      <c r="A83" s="114"/>
      <c r="B83" s="567" t="s">
        <v>691</v>
      </c>
      <c r="C83" s="567"/>
      <c r="D83" s="461">
        <v>441411.66083333339</v>
      </c>
      <c r="E83" s="130">
        <f>SUM('5.WS-แผน ลน.'!E9)</f>
        <v>441411.66083333339</v>
      </c>
      <c r="F83" s="21"/>
      <c r="G83" s="21"/>
      <c r="H83" s="21"/>
    </row>
    <row r="84" spans="1:8" ht="24.75" customHeight="1" x14ac:dyDescent="0.65">
      <c r="A84" s="114"/>
      <c r="B84" s="567" t="s">
        <v>692</v>
      </c>
      <c r="C84" s="567"/>
      <c r="D84" s="461">
        <v>6387115.54</v>
      </c>
      <c r="E84" s="130">
        <f>SUM('5.WS-แผน ลน.'!E10)</f>
        <v>6387115.54</v>
      </c>
      <c r="F84" s="21"/>
      <c r="G84" s="21"/>
      <c r="H84" s="21"/>
    </row>
    <row r="85" spans="1:8" ht="23.25" customHeight="1" x14ac:dyDescent="0.65">
      <c r="A85" s="114"/>
      <c r="B85" s="569" t="s">
        <v>637</v>
      </c>
      <c r="C85" s="569"/>
      <c r="D85" s="154">
        <f>SUM(D78:D84)</f>
        <v>23031843.413333334</v>
      </c>
      <c r="E85" s="154">
        <f>SUM(E78:E84)</f>
        <v>23031843.413333334</v>
      </c>
      <c r="F85" s="21"/>
      <c r="G85" s="21"/>
      <c r="H85" s="21"/>
    </row>
    <row r="86" spans="1:8" ht="27" customHeight="1" x14ac:dyDescent="0.65">
      <c r="A86" s="114"/>
      <c r="B86" s="21"/>
      <c r="C86" s="21"/>
      <c r="D86" s="21"/>
      <c r="E86" s="22"/>
      <c r="F86" s="21"/>
      <c r="G86" s="21"/>
      <c r="H86" s="21"/>
    </row>
    <row r="87" spans="1:8" ht="23.25" customHeight="1" x14ac:dyDescent="0.55000000000000004">
      <c r="A87" s="7" t="s">
        <v>725</v>
      </c>
      <c r="C87" s="7"/>
      <c r="D87" s="86" t="s">
        <v>1561</v>
      </c>
      <c r="E87" s="174" t="s">
        <v>678</v>
      </c>
      <c r="F87" s="7"/>
      <c r="G87" s="7"/>
      <c r="H87" s="7"/>
    </row>
    <row r="88" spans="1:8" ht="27.75" x14ac:dyDescent="0.65">
      <c r="A88" s="114"/>
      <c r="B88" s="567" t="s">
        <v>1263</v>
      </c>
      <c r="C88" s="567"/>
      <c r="D88" s="461">
        <v>5145250</v>
      </c>
      <c r="E88" s="161">
        <f>SUM('6.WS-แผนลงทุน'!G4)</f>
        <v>4974325</v>
      </c>
      <c r="F88" s="124"/>
      <c r="G88" s="124"/>
      <c r="H88" s="124"/>
    </row>
    <row r="89" spans="1:8" ht="27.75" x14ac:dyDescent="0.65">
      <c r="A89" s="114"/>
      <c r="B89" s="567" t="s">
        <v>1264</v>
      </c>
      <c r="C89" s="567"/>
      <c r="D89" s="461">
        <v>3556759.27</v>
      </c>
      <c r="E89" s="161">
        <f>SUM('6.WS-แผนลงทุน'!G5)</f>
        <v>3556759.27</v>
      </c>
      <c r="F89" s="124"/>
      <c r="G89" s="124"/>
      <c r="H89" s="124"/>
    </row>
    <row r="90" spans="1:8" ht="27.75" x14ac:dyDescent="0.65">
      <c r="A90" s="114"/>
      <c r="B90" s="567" t="s">
        <v>1265</v>
      </c>
      <c r="C90" s="567"/>
      <c r="D90" s="461">
        <v>0</v>
      </c>
      <c r="E90" s="161">
        <f>SUM('6.WS-แผนลงทุน'!G6)</f>
        <v>0</v>
      </c>
      <c r="F90" s="124"/>
      <c r="G90" s="124"/>
      <c r="H90" s="124"/>
    </row>
    <row r="91" spans="1:8" ht="27.75" x14ac:dyDescent="0.65">
      <c r="A91" s="114"/>
      <c r="B91" s="277" t="s">
        <v>1274</v>
      </c>
      <c r="C91" s="277"/>
      <c r="D91" s="461">
        <v>0</v>
      </c>
      <c r="E91" s="161">
        <f>SUM('6.WS-แผนลงทุน'!G7)</f>
        <v>0</v>
      </c>
      <c r="F91" s="124"/>
      <c r="G91" s="124"/>
      <c r="H91" s="124"/>
    </row>
    <row r="92" spans="1:8" ht="25.5" customHeight="1" x14ac:dyDescent="0.65">
      <c r="A92" s="114"/>
      <c r="B92" s="569" t="s">
        <v>637</v>
      </c>
      <c r="C92" s="569"/>
      <c r="D92" s="154">
        <f>SUM(D88:D90)</f>
        <v>8702009.2699999996</v>
      </c>
      <c r="E92" s="154">
        <f>SUM(E88:E90)</f>
        <v>8531084.2699999996</v>
      </c>
      <c r="F92" s="21"/>
      <c r="G92" s="21"/>
      <c r="H92" s="21"/>
    </row>
    <row r="93" spans="1:8" ht="21.75" customHeight="1" x14ac:dyDescent="0.65">
      <c r="A93" s="114"/>
      <c r="B93" s="21"/>
      <c r="C93" s="21"/>
      <c r="D93" s="21"/>
      <c r="E93" s="22"/>
      <c r="F93" s="21"/>
      <c r="G93" s="21"/>
      <c r="H93" s="21"/>
    </row>
    <row r="94" spans="1:8" ht="23.25" customHeight="1" x14ac:dyDescent="0.65">
      <c r="A94" s="114"/>
      <c r="B94" s="7" t="s">
        <v>726</v>
      </c>
      <c r="C94" s="7"/>
      <c r="D94" s="86" t="s">
        <v>1561</v>
      </c>
      <c r="E94" s="157" t="s">
        <v>678</v>
      </c>
      <c r="F94" s="7"/>
      <c r="G94" s="7"/>
      <c r="H94" s="7"/>
    </row>
    <row r="95" spans="1:8" ht="27.75" x14ac:dyDescent="0.65">
      <c r="A95" s="114"/>
      <c r="B95" s="570" t="s">
        <v>763</v>
      </c>
      <c r="C95" s="570"/>
      <c r="D95" s="460">
        <v>4620000</v>
      </c>
      <c r="E95" s="19">
        <f>SUM('7.WS-แผน รพ.สต.'!C15)</f>
        <v>300000</v>
      </c>
      <c r="F95" s="21"/>
      <c r="G95" s="21"/>
      <c r="H95" s="21"/>
    </row>
    <row r="96" spans="1:8" ht="27.75" x14ac:dyDescent="0.65">
      <c r="A96" s="114"/>
      <c r="B96" s="567" t="s">
        <v>760</v>
      </c>
      <c r="C96" s="567"/>
      <c r="D96" s="461">
        <v>10751819</v>
      </c>
      <c r="E96" s="19">
        <f>SUM('7.WS-แผน รพ.สต.'!D15)</f>
        <v>618292</v>
      </c>
      <c r="F96" s="21"/>
      <c r="G96" s="21"/>
      <c r="H96" s="21"/>
    </row>
    <row r="97" spans="1:8" ht="27.75" x14ac:dyDescent="0.65">
      <c r="A97" s="114"/>
      <c r="B97" s="571" t="s">
        <v>758</v>
      </c>
      <c r="C97" s="571"/>
      <c r="D97" s="462">
        <v>3105519.4237000002</v>
      </c>
      <c r="E97" s="19">
        <f>SUM('7.WS-แผน รพ.สต.'!E15)</f>
        <v>131822.0289</v>
      </c>
      <c r="F97" s="21"/>
      <c r="G97" s="21"/>
      <c r="H97" s="21"/>
    </row>
    <row r="98" spans="1:8" ht="24" x14ac:dyDescent="0.4">
      <c r="B98" s="571" t="s">
        <v>759</v>
      </c>
      <c r="C98" s="571"/>
      <c r="D98" s="462">
        <v>0</v>
      </c>
      <c r="E98" s="69">
        <f>SUM('7.WS-แผน รพ.สต.'!F15)</f>
        <v>0</v>
      </c>
    </row>
    <row r="99" spans="1:8" ht="24" x14ac:dyDescent="0.55000000000000004">
      <c r="B99" s="569" t="s">
        <v>637</v>
      </c>
      <c r="C99" s="569"/>
      <c r="D99" s="154">
        <f>SUM(D95:D98)</f>
        <v>18477338.423700001</v>
      </c>
      <c r="E99" s="154">
        <f>SUM(E95:E98)</f>
        <v>1050114.0289</v>
      </c>
    </row>
  </sheetData>
  <mergeCells count="49">
    <mergeCell ref="H3:M3"/>
    <mergeCell ref="M36:N36"/>
    <mergeCell ref="M37:N37"/>
    <mergeCell ref="B55:C55"/>
    <mergeCell ref="A44:C44"/>
    <mergeCell ref="B45:C45"/>
    <mergeCell ref="B46:C46"/>
    <mergeCell ref="B47:C47"/>
    <mergeCell ref="B48:C48"/>
    <mergeCell ref="B51:C51"/>
    <mergeCell ref="B52:C52"/>
    <mergeCell ref="B53:C53"/>
    <mergeCell ref="B54:C54"/>
    <mergeCell ref="B61:C61"/>
    <mergeCell ref="B65:C65"/>
    <mergeCell ref="B62:C62"/>
    <mergeCell ref="B66:C66"/>
    <mergeCell ref="B67:C67"/>
    <mergeCell ref="B56:C56"/>
    <mergeCell ref="B57:C57"/>
    <mergeCell ref="B58:C58"/>
    <mergeCell ref="B59:C59"/>
    <mergeCell ref="B60:C60"/>
    <mergeCell ref="B80:C80"/>
    <mergeCell ref="B81:C81"/>
    <mergeCell ref="B69:C69"/>
    <mergeCell ref="A64:E64"/>
    <mergeCell ref="B68:C68"/>
    <mergeCell ref="B72:C72"/>
    <mergeCell ref="B73:C73"/>
    <mergeCell ref="B74:C74"/>
    <mergeCell ref="B77:C77"/>
    <mergeCell ref="B78:C78"/>
    <mergeCell ref="B82:C82"/>
    <mergeCell ref="B70:C70"/>
    <mergeCell ref="B71:C71"/>
    <mergeCell ref="B99:C99"/>
    <mergeCell ref="B83:C83"/>
    <mergeCell ref="B84:C84"/>
    <mergeCell ref="B85:C85"/>
    <mergeCell ref="B88:C88"/>
    <mergeCell ref="B89:C89"/>
    <mergeCell ref="B90:C90"/>
    <mergeCell ref="B92:C92"/>
    <mergeCell ref="B95:C95"/>
    <mergeCell ref="B96:C96"/>
    <mergeCell ref="B97:C97"/>
    <mergeCell ref="B98:C98"/>
    <mergeCell ref="B79:C79"/>
  </mergeCells>
  <conditionalFormatting sqref="C35:D35">
    <cfRule type="containsText" dxfId="19" priority="5" operator="containsText" text="สมดุล">
      <formula>NOT(ISERROR(SEARCH("สมดุล",C35)))</formula>
    </cfRule>
    <cfRule type="containsText" dxfId="18" priority="6" operator="containsText" text="ขาดดุล">
      <formula>NOT(ISERROR(SEARCH("ขาดดุล",C35)))</formula>
    </cfRule>
    <cfRule type="containsText" dxfId="17" priority="7" operator="containsText" text="เกินดุล">
      <formula>NOT(ISERROR(SEARCH("เกินดุล",C35)))</formula>
    </cfRule>
  </conditionalFormatting>
  <conditionalFormatting sqref="L5:L33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L5:M33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23622047244094491" right="0.15748031496062992" top="0.27559055118110237" bottom="0.47244094488188981" header="0.31496062992125984" footer="0.31496062992125984"/>
  <pageSetup paperSize="9" scale="65" orientation="portrait" r:id="rId1"/>
  <headerFooter>
    <oddFooter>&amp;L
Planfin60&amp;R
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L56"/>
  <sheetViews>
    <sheetView topLeftCell="D25" zoomScale="140" zoomScaleNormal="140" workbookViewId="0">
      <selection activeCell="H17" sqref="H17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1" customWidth="1"/>
    <col min="4" max="4" width="38.875" style="1" customWidth="1"/>
    <col min="5" max="5" width="15.375" style="1" customWidth="1"/>
    <col min="6" max="6" width="15" style="1" customWidth="1"/>
    <col min="7" max="7" width="18.25" style="1" customWidth="1"/>
    <col min="8" max="8" width="18.25" style="531" customWidth="1"/>
    <col min="9" max="9" width="20.25" style="1" customWidth="1"/>
    <col min="10" max="10" width="10.375" style="5" customWidth="1"/>
    <col min="11" max="11" width="18" style="32" customWidth="1"/>
    <col min="12" max="12" width="11.75" style="1" bestFit="1" customWidth="1"/>
    <col min="13" max="16384" width="9" style="1"/>
  </cols>
  <sheetData>
    <row r="1" spans="3:12" ht="30.75" x14ac:dyDescent="0.7">
      <c r="C1" s="34"/>
      <c r="D1" s="70" t="s">
        <v>713</v>
      </c>
      <c r="E1" s="585">
        <v>2562</v>
      </c>
      <c r="F1" s="586"/>
      <c r="G1" s="587"/>
      <c r="H1" s="526"/>
    </row>
    <row r="2" spans="3:12" s="3" customFormat="1" ht="53.25" customHeight="1" x14ac:dyDescent="0.55000000000000004">
      <c r="C2" s="35">
        <v>1</v>
      </c>
      <c r="D2" s="36" t="s">
        <v>608</v>
      </c>
      <c r="E2" s="4" t="s">
        <v>612</v>
      </c>
      <c r="F2" s="28" t="s">
        <v>614</v>
      </c>
      <c r="G2" s="517" t="s">
        <v>613</v>
      </c>
      <c r="H2" s="527"/>
      <c r="I2" s="444" t="s">
        <v>608</v>
      </c>
      <c r="J2" s="446" t="s">
        <v>1564</v>
      </c>
      <c r="K2" s="444" t="s">
        <v>1566</v>
      </c>
      <c r="L2" s="444" t="s">
        <v>1565</v>
      </c>
    </row>
    <row r="3" spans="3:12" x14ac:dyDescent="0.55000000000000004">
      <c r="C3" s="41">
        <v>41010</v>
      </c>
      <c r="D3" s="1" t="s">
        <v>1</v>
      </c>
      <c r="E3" s="467">
        <v>52630.400000000001</v>
      </c>
      <c r="F3" s="5">
        <v>1033.7201315122693</v>
      </c>
      <c r="G3" s="441">
        <f>E3*F3</f>
        <v>54405104.009543337</v>
      </c>
      <c r="H3" s="528">
        <v>1</v>
      </c>
      <c r="I3" s="6" t="s">
        <v>1</v>
      </c>
      <c r="J3" s="502">
        <v>51307</v>
      </c>
      <c r="K3" s="503">
        <v>65788</v>
      </c>
      <c r="L3" s="504">
        <v>32894</v>
      </c>
    </row>
    <row r="4" spans="3:12" x14ac:dyDescent="0.55000000000000004">
      <c r="C4" s="41">
        <v>41020</v>
      </c>
      <c r="D4" s="1" t="s">
        <v>5</v>
      </c>
      <c r="E4" s="467">
        <v>0</v>
      </c>
      <c r="F4" s="5">
        <v>1333.3333333333333</v>
      </c>
      <c r="G4" s="441">
        <f t="shared" ref="G4:G9" si="0">E4*F4</f>
        <v>0</v>
      </c>
      <c r="H4" s="528"/>
      <c r="I4" s="6" t="s">
        <v>5</v>
      </c>
      <c r="J4" s="502">
        <v>15</v>
      </c>
      <c r="K4" s="503">
        <v>0</v>
      </c>
      <c r="L4" s="504"/>
    </row>
    <row r="5" spans="3:12" x14ac:dyDescent="0.55000000000000004">
      <c r="C5" s="41">
        <v>41030</v>
      </c>
      <c r="D5" s="1" t="s">
        <v>650</v>
      </c>
      <c r="E5" s="467">
        <v>393.6</v>
      </c>
      <c r="F5" s="5">
        <v>994.39775910364142</v>
      </c>
      <c r="G5" s="441">
        <f t="shared" si="0"/>
        <v>391394.95798319328</v>
      </c>
      <c r="H5" s="528"/>
      <c r="I5" s="6" t="s">
        <v>650</v>
      </c>
      <c r="J5" s="502">
        <v>357</v>
      </c>
      <c r="K5" s="503">
        <v>492</v>
      </c>
      <c r="L5" s="504">
        <v>246</v>
      </c>
    </row>
    <row r="6" spans="3:12" x14ac:dyDescent="0.55000000000000004">
      <c r="C6" s="41">
        <v>41040</v>
      </c>
      <c r="D6" s="1" t="s">
        <v>7</v>
      </c>
      <c r="E6" s="467">
        <v>5456</v>
      </c>
      <c r="F6" s="5">
        <v>592.91228341584156</v>
      </c>
      <c r="G6" s="441">
        <f t="shared" si="0"/>
        <v>3234929.4183168313</v>
      </c>
      <c r="H6" s="528"/>
      <c r="I6" s="6" t="s">
        <v>7</v>
      </c>
      <c r="J6" s="502">
        <v>6464</v>
      </c>
      <c r="K6" s="503">
        <v>6820</v>
      </c>
      <c r="L6" s="504">
        <v>3410</v>
      </c>
    </row>
    <row r="7" spans="3:12" x14ac:dyDescent="0.55000000000000004">
      <c r="C7" s="41">
        <v>41050</v>
      </c>
      <c r="D7" s="1" t="s">
        <v>9</v>
      </c>
      <c r="E7" s="467">
        <v>1862</v>
      </c>
      <c r="F7" s="5">
        <v>319.12687687687685</v>
      </c>
      <c r="G7" s="441">
        <f t="shared" si="0"/>
        <v>594214.24474474473</v>
      </c>
      <c r="H7" s="528"/>
      <c r="I7" s="6" t="s">
        <v>9</v>
      </c>
      <c r="J7" s="502">
        <v>2664</v>
      </c>
      <c r="K7" s="503">
        <v>1862</v>
      </c>
      <c r="L7" s="504">
        <v>931</v>
      </c>
    </row>
    <row r="8" spans="3:12" x14ac:dyDescent="0.55000000000000004">
      <c r="C8" s="41">
        <v>41060</v>
      </c>
      <c r="D8" s="1" t="s">
        <v>11</v>
      </c>
      <c r="E8" s="467">
        <v>1320</v>
      </c>
      <c r="F8" s="5">
        <v>433.88429752066116</v>
      </c>
      <c r="G8" s="441">
        <f t="shared" si="0"/>
        <v>572727.27272727271</v>
      </c>
      <c r="H8" s="528"/>
      <c r="I8" s="6" t="s">
        <v>11</v>
      </c>
      <c r="J8" s="502">
        <v>484</v>
      </c>
      <c r="K8" s="503">
        <v>1650</v>
      </c>
      <c r="L8" s="504">
        <v>825</v>
      </c>
    </row>
    <row r="9" spans="3:12" x14ac:dyDescent="0.55000000000000004">
      <c r="C9" s="41">
        <v>41070</v>
      </c>
      <c r="D9" s="1" t="s">
        <v>13</v>
      </c>
      <c r="E9" s="467">
        <v>8492.8000000000011</v>
      </c>
      <c r="F9" s="5">
        <v>442.89802289281999</v>
      </c>
      <c r="G9" s="441">
        <f t="shared" si="0"/>
        <v>3761444.328824142</v>
      </c>
      <c r="H9" s="528"/>
      <c r="I9" s="6" t="s">
        <v>13</v>
      </c>
      <c r="J9" s="502">
        <v>7688</v>
      </c>
      <c r="K9" s="503">
        <v>10616</v>
      </c>
      <c r="L9" s="504">
        <v>5308</v>
      </c>
    </row>
    <row r="10" spans="3:12" x14ac:dyDescent="0.55000000000000004">
      <c r="C10" s="41">
        <v>41111</v>
      </c>
      <c r="D10" s="2" t="s">
        <v>648</v>
      </c>
      <c r="E10" s="29">
        <f>SUM(E3:E9)</f>
        <v>70154.8</v>
      </c>
      <c r="F10" s="5">
        <v>894.61746020527994</v>
      </c>
      <c r="G10" s="442">
        <v>62959814.232139528</v>
      </c>
      <c r="H10" s="529"/>
      <c r="I10" s="511"/>
      <c r="J10" s="508">
        <f>SUM(J3:J9)</f>
        <v>68979</v>
      </c>
      <c r="K10" s="509">
        <f>SUM(K3:K9)</f>
        <v>87228</v>
      </c>
      <c r="L10" s="512">
        <f>SUM(L3:L9)</f>
        <v>43614</v>
      </c>
    </row>
    <row r="11" spans="3:12" x14ac:dyDescent="0.55000000000000004">
      <c r="C11" s="37">
        <v>2</v>
      </c>
      <c r="D11" s="38" t="s">
        <v>711</v>
      </c>
      <c r="E11" s="11" t="s">
        <v>761</v>
      </c>
      <c r="F11" s="30" t="s">
        <v>611</v>
      </c>
      <c r="G11" s="518" t="s">
        <v>712</v>
      </c>
      <c r="H11" s="530"/>
      <c r="I11" s="513" t="s">
        <v>711</v>
      </c>
      <c r="J11" s="514" t="s">
        <v>1564</v>
      </c>
      <c r="K11" s="515" t="s">
        <v>1566</v>
      </c>
      <c r="L11" s="516" t="s">
        <v>1565</v>
      </c>
    </row>
    <row r="12" spans="3:12" x14ac:dyDescent="0.55000000000000004">
      <c r="C12" s="41">
        <v>42010</v>
      </c>
      <c r="D12" s="1" t="s">
        <v>1</v>
      </c>
      <c r="E12" s="27">
        <v>1165.78</v>
      </c>
      <c r="F12" s="468">
        <v>6903.1135370632346</v>
      </c>
      <c r="G12" s="441">
        <f>E12*F12</f>
        <v>8047511.6992375776</v>
      </c>
      <c r="H12" s="528">
        <v>2</v>
      </c>
      <c r="I12" s="6" t="s">
        <v>1</v>
      </c>
      <c r="J12" s="502">
        <v>1597.54</v>
      </c>
      <c r="K12" s="503">
        <v>1165.78</v>
      </c>
      <c r="L12" s="505">
        <v>582.89</v>
      </c>
    </row>
    <row r="13" spans="3:12" x14ac:dyDescent="0.55000000000000004">
      <c r="C13" s="41">
        <v>42020</v>
      </c>
      <c r="D13" s="1" t="s">
        <v>5</v>
      </c>
      <c r="E13" s="27">
        <v>0</v>
      </c>
      <c r="F13" s="468">
        <v>0</v>
      </c>
      <c r="G13" s="441">
        <v>0</v>
      </c>
      <c r="H13" s="528"/>
      <c r="I13" s="6" t="s">
        <v>5</v>
      </c>
      <c r="J13" s="502">
        <v>0</v>
      </c>
      <c r="K13" s="503">
        <v>0</v>
      </c>
      <c r="L13" s="505"/>
    </row>
    <row r="14" spans="3:12" x14ac:dyDescent="0.55000000000000004">
      <c r="C14" s="41">
        <v>42030</v>
      </c>
      <c r="D14" s="1" t="s">
        <v>650</v>
      </c>
      <c r="E14" s="27">
        <v>6.5999999999999988</v>
      </c>
      <c r="F14" s="468">
        <v>21402.214022140222</v>
      </c>
      <c r="G14" s="441">
        <f>E14*F14</f>
        <v>141254.61254612543</v>
      </c>
      <c r="H14" s="528"/>
      <c r="I14" s="6" t="s">
        <v>650</v>
      </c>
      <c r="J14" s="502">
        <v>5.42</v>
      </c>
      <c r="K14" s="503">
        <v>6.5999999999999988</v>
      </c>
      <c r="L14" s="505">
        <v>3.3</v>
      </c>
    </row>
    <row r="15" spans="3:12" x14ac:dyDescent="0.55000000000000004">
      <c r="C15" s="41">
        <v>42040</v>
      </c>
      <c r="D15" s="1" t="s">
        <v>7</v>
      </c>
      <c r="E15" s="27">
        <v>85.22</v>
      </c>
      <c r="F15" s="468">
        <v>12013.011015007021</v>
      </c>
      <c r="G15" s="441">
        <f>E15*F15</f>
        <v>1023748.7986988983</v>
      </c>
      <c r="H15" s="528"/>
      <c r="I15" s="6" t="s">
        <v>7</v>
      </c>
      <c r="J15" s="502">
        <v>135.27000000000001</v>
      </c>
      <c r="K15" s="503">
        <v>85.22</v>
      </c>
      <c r="L15" s="505">
        <v>42.61</v>
      </c>
    </row>
    <row r="16" spans="3:12" x14ac:dyDescent="0.55000000000000004">
      <c r="C16" s="41">
        <v>42050</v>
      </c>
      <c r="D16" s="1" t="s">
        <v>9</v>
      </c>
      <c r="E16" s="27">
        <v>15.806800000000001</v>
      </c>
      <c r="F16" s="468">
        <v>10073.901424566788</v>
      </c>
      <c r="G16" s="441">
        <f>E16*F16</f>
        <v>159236.1450378423</v>
      </c>
      <c r="H16" s="528"/>
      <c r="I16" s="6" t="s">
        <v>9</v>
      </c>
      <c r="J16" s="502">
        <v>49.44916363636365</v>
      </c>
      <c r="K16" s="503">
        <v>15.806800000000001</v>
      </c>
      <c r="L16" s="505">
        <v>7.9034000000000004</v>
      </c>
    </row>
    <row r="17" spans="3:12" x14ac:dyDescent="0.55000000000000004">
      <c r="C17" s="41">
        <v>42060</v>
      </c>
      <c r="D17" s="1" t="s">
        <v>11</v>
      </c>
      <c r="E17" s="27">
        <v>10.723999999999998</v>
      </c>
      <c r="F17" s="468">
        <v>16635.859519408503</v>
      </c>
      <c r="G17" s="441">
        <f>E17*F17</f>
        <v>178402.95748613676</v>
      </c>
      <c r="H17" s="528"/>
      <c r="I17" s="506" t="s">
        <v>11</v>
      </c>
      <c r="J17" s="502">
        <v>5.41</v>
      </c>
      <c r="K17" s="503">
        <v>10.723999999999998</v>
      </c>
      <c r="L17" s="505">
        <v>5.3620000000000001</v>
      </c>
    </row>
    <row r="18" spans="3:12" x14ac:dyDescent="0.55000000000000004">
      <c r="C18" s="41">
        <v>42070</v>
      </c>
      <c r="D18" s="1" t="s">
        <v>13</v>
      </c>
      <c r="E18" s="27">
        <v>170.38</v>
      </c>
      <c r="F18" s="468">
        <v>14097.706249517129</v>
      </c>
      <c r="G18" s="441">
        <f>E18*F18</f>
        <v>2401967.1907927282</v>
      </c>
      <c r="H18" s="528"/>
      <c r="I18" s="507" t="s">
        <v>13</v>
      </c>
      <c r="J18" s="508">
        <v>170.38232727272728</v>
      </c>
      <c r="K18" s="509">
        <v>170.38</v>
      </c>
      <c r="L18" s="510"/>
    </row>
    <row r="19" spans="3:12" x14ac:dyDescent="0.55000000000000004">
      <c r="C19" s="41">
        <v>42222</v>
      </c>
      <c r="D19" s="2" t="s">
        <v>649</v>
      </c>
      <c r="E19" s="10">
        <f>SUM(E12:E18)</f>
        <v>1454.5108</v>
      </c>
      <c r="F19" s="468">
        <v>8026.1649191063552</v>
      </c>
      <c r="G19" s="519">
        <f>SUM(G12:G18)</f>
        <v>11952121.403799308</v>
      </c>
      <c r="H19" s="529"/>
      <c r="K19" s="32" t="s">
        <v>1567</v>
      </c>
    </row>
    <row r="20" spans="3:12" x14ac:dyDescent="0.55000000000000004">
      <c r="C20" s="37">
        <v>3</v>
      </c>
      <c r="D20" s="38" t="s">
        <v>635</v>
      </c>
      <c r="E20" s="6"/>
      <c r="F20" s="468"/>
      <c r="G20" s="441"/>
      <c r="H20" s="528"/>
    </row>
    <row r="21" spans="3:12" x14ac:dyDescent="0.55000000000000004">
      <c r="C21" s="41">
        <v>43010</v>
      </c>
      <c r="D21" s="1" t="s">
        <v>1</v>
      </c>
      <c r="E21" s="6"/>
      <c r="F21" s="468"/>
      <c r="G21" s="441">
        <v>1587824.1099999999</v>
      </c>
      <c r="H21" s="531">
        <v>3</v>
      </c>
    </row>
    <row r="22" spans="3:12" x14ac:dyDescent="0.55000000000000004">
      <c r="C22" s="41">
        <v>43020</v>
      </c>
      <c r="D22" s="44" t="s">
        <v>7</v>
      </c>
      <c r="E22" s="6"/>
      <c r="F22" s="468"/>
      <c r="G22" s="441">
        <v>73000</v>
      </c>
      <c r="H22" s="528"/>
    </row>
    <row r="23" spans="3:12" x14ac:dyDescent="0.55000000000000004">
      <c r="C23" s="41">
        <v>43030</v>
      </c>
      <c r="D23" s="1" t="s">
        <v>9</v>
      </c>
      <c r="E23" s="6"/>
      <c r="F23" s="468"/>
      <c r="G23" s="441">
        <v>182850</v>
      </c>
      <c r="H23" s="528"/>
    </row>
    <row r="24" spans="3:12" x14ac:dyDescent="0.55000000000000004">
      <c r="C24" s="41">
        <v>43040</v>
      </c>
      <c r="D24" s="1" t="s">
        <v>11</v>
      </c>
      <c r="E24" s="6"/>
      <c r="F24" s="468"/>
      <c r="G24" s="441">
        <v>350000</v>
      </c>
      <c r="H24" s="528"/>
    </row>
    <row r="25" spans="3:12" x14ac:dyDescent="0.55000000000000004">
      <c r="C25" s="41">
        <v>43050</v>
      </c>
      <c r="D25" s="1" t="s">
        <v>13</v>
      </c>
      <c r="E25" s="6"/>
      <c r="F25" s="468"/>
      <c r="G25" s="441">
        <v>5200000</v>
      </c>
      <c r="H25" s="528"/>
    </row>
    <row r="26" spans="3:12" ht="18" customHeight="1" x14ac:dyDescent="0.55000000000000004">
      <c r="C26" s="41">
        <v>43060</v>
      </c>
      <c r="D26" s="1" t="s">
        <v>3</v>
      </c>
      <c r="E26" s="6"/>
      <c r="F26" s="468"/>
      <c r="G26" s="441">
        <v>300000</v>
      </c>
      <c r="H26" s="528"/>
    </row>
    <row r="27" spans="3:12" s="7" customFormat="1" x14ac:dyDescent="0.55000000000000004">
      <c r="C27" s="45">
        <v>43333</v>
      </c>
      <c r="D27" s="46" t="s">
        <v>653</v>
      </c>
      <c r="E27" s="9"/>
      <c r="F27" s="469"/>
      <c r="G27" s="519">
        <v>7693674.1099999994</v>
      </c>
      <c r="H27" s="529"/>
      <c r="J27" s="321"/>
      <c r="K27" s="8"/>
    </row>
    <row r="28" spans="3:12" x14ac:dyDescent="0.55000000000000004">
      <c r="C28" s="37">
        <v>4</v>
      </c>
      <c r="D28" s="38" t="s">
        <v>720</v>
      </c>
      <c r="E28" s="6"/>
      <c r="F28" s="468"/>
      <c r="G28" s="505"/>
      <c r="H28" s="528"/>
    </row>
    <row r="29" spans="3:12" x14ac:dyDescent="0.55000000000000004">
      <c r="C29" s="41">
        <v>44010</v>
      </c>
      <c r="D29" s="77" t="s">
        <v>639</v>
      </c>
      <c r="E29" s="78"/>
      <c r="F29" s="470"/>
      <c r="G29" s="520">
        <v>-22187244.620000001</v>
      </c>
      <c r="H29" s="532">
        <v>4</v>
      </c>
      <c r="L29" s="33"/>
    </row>
    <row r="30" spans="3:12" x14ac:dyDescent="0.55000000000000004">
      <c r="C30" s="41">
        <v>44020</v>
      </c>
      <c r="D30" s="77" t="s">
        <v>640</v>
      </c>
      <c r="E30" s="78"/>
      <c r="F30" s="470"/>
      <c r="G30" s="520">
        <v>163000</v>
      </c>
      <c r="H30" s="532"/>
      <c r="L30" s="33"/>
    </row>
    <row r="31" spans="3:12" x14ac:dyDescent="0.55000000000000004">
      <c r="C31" s="41">
        <v>44030</v>
      </c>
      <c r="D31" s="77" t="s">
        <v>641</v>
      </c>
      <c r="E31" s="78"/>
      <c r="F31" s="470"/>
      <c r="G31" s="520">
        <v>-21000</v>
      </c>
      <c r="H31" s="532"/>
      <c r="L31" s="33"/>
    </row>
    <row r="32" spans="3:12" x14ac:dyDescent="0.55000000000000004">
      <c r="C32" s="41">
        <v>44040</v>
      </c>
      <c r="D32" s="77" t="s">
        <v>642</v>
      </c>
      <c r="E32" s="78"/>
      <c r="F32" s="470"/>
      <c r="G32" s="520">
        <v>-40450</v>
      </c>
      <c r="H32" s="532"/>
      <c r="L32" s="33"/>
    </row>
    <row r="33" spans="3:12" x14ac:dyDescent="0.55000000000000004">
      <c r="C33" s="41">
        <v>44050</v>
      </c>
      <c r="D33" s="77" t="s">
        <v>643</v>
      </c>
      <c r="E33" s="78"/>
      <c r="F33" s="470"/>
      <c r="G33" s="520">
        <v>0</v>
      </c>
      <c r="H33" s="532"/>
      <c r="L33" s="33"/>
    </row>
    <row r="34" spans="3:12" x14ac:dyDescent="0.55000000000000004">
      <c r="C34" s="41">
        <v>44444</v>
      </c>
      <c r="D34" s="79" t="s">
        <v>694</v>
      </c>
      <c r="E34" s="78"/>
      <c r="F34" s="470"/>
      <c r="G34" s="521">
        <v>-22085694.620000001</v>
      </c>
      <c r="H34" s="533"/>
    </row>
    <row r="35" spans="3:12" x14ac:dyDescent="0.55000000000000004">
      <c r="C35" s="39">
        <v>5</v>
      </c>
      <c r="D35" s="38" t="s">
        <v>715</v>
      </c>
      <c r="E35" s="6"/>
      <c r="F35" s="468"/>
      <c r="G35" s="441"/>
      <c r="H35" s="528"/>
    </row>
    <row r="36" spans="3:12" x14ac:dyDescent="0.55000000000000004">
      <c r="C36" s="41">
        <v>45010</v>
      </c>
      <c r="D36" s="77" t="s">
        <v>654</v>
      </c>
      <c r="E36" s="78"/>
      <c r="F36" s="470"/>
      <c r="G36" s="520">
        <v>43465658.277500004</v>
      </c>
      <c r="H36" s="531">
        <v>5</v>
      </c>
    </row>
    <row r="37" spans="3:12" x14ac:dyDescent="0.55000000000000004">
      <c r="C37" s="41">
        <v>45020</v>
      </c>
      <c r="D37" s="77" t="s">
        <v>655</v>
      </c>
      <c r="E37" s="78"/>
      <c r="F37" s="470"/>
      <c r="G37" s="520">
        <v>20000</v>
      </c>
      <c r="H37" s="532"/>
    </row>
    <row r="38" spans="3:12" x14ac:dyDescent="0.55000000000000004">
      <c r="C38" s="41">
        <v>45030</v>
      </c>
      <c r="D38" s="77" t="s">
        <v>650</v>
      </c>
      <c r="E38" s="78"/>
      <c r="F38" s="470"/>
      <c r="G38" s="520">
        <v>450000</v>
      </c>
      <c r="H38" s="532"/>
    </row>
    <row r="39" spans="3:12" x14ac:dyDescent="0.55000000000000004">
      <c r="C39" s="41">
        <v>45040</v>
      </c>
      <c r="D39" s="77" t="s">
        <v>656</v>
      </c>
      <c r="E39" s="78"/>
      <c r="F39" s="470"/>
      <c r="G39" s="520">
        <v>5693585</v>
      </c>
      <c r="H39" s="532"/>
    </row>
    <row r="40" spans="3:12" x14ac:dyDescent="0.55000000000000004">
      <c r="C40" s="41">
        <v>45050</v>
      </c>
      <c r="D40" s="77" t="s">
        <v>657</v>
      </c>
      <c r="E40" s="78"/>
      <c r="F40" s="470"/>
      <c r="G40" s="520">
        <v>1490700</v>
      </c>
      <c r="H40" s="532"/>
    </row>
    <row r="41" spans="3:12" x14ac:dyDescent="0.55000000000000004">
      <c r="C41" s="41">
        <v>45060</v>
      </c>
      <c r="D41" s="77" t="s">
        <v>658</v>
      </c>
      <c r="E41" s="78"/>
      <c r="F41" s="470"/>
      <c r="G41" s="520">
        <v>650000</v>
      </c>
      <c r="H41" s="532"/>
    </row>
    <row r="42" spans="3:12" x14ac:dyDescent="0.55000000000000004">
      <c r="C42" s="41">
        <v>45070</v>
      </c>
      <c r="D42" s="1" t="s">
        <v>13</v>
      </c>
      <c r="E42" s="6"/>
      <c r="F42" s="468"/>
      <c r="G42" s="441">
        <v>11007000</v>
      </c>
      <c r="H42" s="528"/>
    </row>
    <row r="43" spans="3:12" x14ac:dyDescent="0.55000000000000004">
      <c r="C43" s="41">
        <v>45080</v>
      </c>
      <c r="D43" s="44" t="s">
        <v>3</v>
      </c>
      <c r="E43" s="6"/>
      <c r="F43" s="468"/>
      <c r="G43" s="441">
        <v>300000</v>
      </c>
      <c r="H43" s="528"/>
    </row>
    <row r="44" spans="3:12" x14ac:dyDescent="0.55000000000000004">
      <c r="C44" s="41">
        <v>45090</v>
      </c>
      <c r="D44" s="46" t="s">
        <v>659</v>
      </c>
      <c r="E44" s="6"/>
      <c r="F44" s="468"/>
      <c r="G44" s="519">
        <v>63076943.277500004</v>
      </c>
      <c r="H44" s="529"/>
    </row>
    <row r="45" spans="3:12" s="2" customFormat="1" x14ac:dyDescent="0.55000000000000004">
      <c r="C45" s="41">
        <v>45100</v>
      </c>
      <c r="D45" s="1" t="s">
        <v>15</v>
      </c>
      <c r="E45" s="13"/>
      <c r="F45" s="471"/>
      <c r="G45" s="522">
        <v>28378920</v>
      </c>
      <c r="H45" s="534"/>
      <c r="J45" s="466"/>
      <c r="K45" s="8"/>
    </row>
    <row r="46" spans="3:12" x14ac:dyDescent="0.55000000000000004">
      <c r="C46" s="41">
        <v>45110</v>
      </c>
      <c r="D46" s="1" t="s">
        <v>17</v>
      </c>
      <c r="E46" s="6"/>
      <c r="F46" s="468"/>
      <c r="G46" s="441">
        <v>6778624.0366666671</v>
      </c>
      <c r="H46" s="528"/>
    </row>
    <row r="47" spans="3:12" x14ac:dyDescent="0.55000000000000004">
      <c r="C47" s="41">
        <v>45555</v>
      </c>
      <c r="D47" s="2" t="s">
        <v>660</v>
      </c>
      <c r="E47" s="6"/>
      <c r="F47" s="468"/>
      <c r="G47" s="519">
        <v>98234487.314166665</v>
      </c>
      <c r="H47" s="529"/>
    </row>
    <row r="48" spans="3:12" x14ac:dyDescent="0.55000000000000004">
      <c r="C48" s="39">
        <v>6</v>
      </c>
      <c r="D48" s="40" t="s">
        <v>661</v>
      </c>
      <c r="E48" s="6"/>
      <c r="F48" s="468"/>
      <c r="G48" s="441"/>
      <c r="H48" s="528"/>
    </row>
    <row r="49" spans="3:8" x14ac:dyDescent="0.55000000000000004">
      <c r="C49" s="41">
        <v>46010</v>
      </c>
      <c r="D49" s="1" t="s">
        <v>644</v>
      </c>
      <c r="E49" s="6"/>
      <c r="F49" s="468"/>
      <c r="G49" s="441">
        <v>0</v>
      </c>
      <c r="H49" s="528">
        <v>6</v>
      </c>
    </row>
    <row r="50" spans="3:8" x14ac:dyDescent="0.55000000000000004">
      <c r="C50" s="41">
        <v>46020</v>
      </c>
      <c r="D50" s="1" t="s">
        <v>645</v>
      </c>
      <c r="E50" s="6"/>
      <c r="F50" s="468"/>
      <c r="G50" s="441">
        <v>3556759.27</v>
      </c>
      <c r="H50" s="528"/>
    </row>
    <row r="51" spans="3:8" x14ac:dyDescent="0.55000000000000004">
      <c r="C51" s="41">
        <v>46030</v>
      </c>
      <c r="D51" s="1" t="s">
        <v>646</v>
      </c>
      <c r="E51" s="6"/>
      <c r="F51" s="468"/>
      <c r="G51" s="441">
        <v>0</v>
      </c>
      <c r="H51" s="528"/>
    </row>
    <row r="52" spans="3:8" ht="24.75" thickBot="1" x14ac:dyDescent="0.6">
      <c r="C52" s="49" t="s">
        <v>696</v>
      </c>
      <c r="D52" s="7" t="s">
        <v>647</v>
      </c>
      <c r="E52" s="6"/>
      <c r="F52" s="468"/>
      <c r="G52" s="523">
        <v>101791246.58416666</v>
      </c>
      <c r="H52" s="529"/>
    </row>
    <row r="53" spans="3:8" ht="24.75" thickBot="1" x14ac:dyDescent="0.6">
      <c r="C53" s="50"/>
      <c r="D53" s="51"/>
      <c r="E53" s="524"/>
      <c r="F53" s="525"/>
      <c r="G53" s="510"/>
      <c r="H53" s="528"/>
    </row>
    <row r="55" spans="3:8" x14ac:dyDescent="0.55000000000000004">
      <c r="E55" s="7" t="s">
        <v>721</v>
      </c>
    </row>
    <row r="56" spans="3:8" x14ac:dyDescent="0.55000000000000004">
      <c r="E56" s="16" t="s">
        <v>722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G43"/>
  <sheetViews>
    <sheetView topLeftCell="A28" zoomScaleNormal="100" workbookViewId="0">
      <selection activeCell="E7" sqref="E7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4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86.25" style="1" customWidth="1"/>
    <col min="8" max="16384" width="9" style="1"/>
  </cols>
  <sheetData>
    <row r="1" spans="3:7" ht="24" customHeight="1" x14ac:dyDescent="0.65">
      <c r="C1" s="588" t="s">
        <v>773</v>
      </c>
      <c r="D1" s="589"/>
      <c r="E1" s="88" t="s">
        <v>1266</v>
      </c>
      <c r="F1" s="53"/>
      <c r="G1" s="12"/>
    </row>
    <row r="2" spans="3:7" s="12" customFormat="1" ht="24" x14ac:dyDescent="0.5">
      <c r="C2" s="89">
        <v>1</v>
      </c>
      <c r="D2" s="82" t="s">
        <v>610</v>
      </c>
      <c r="E2" s="90" t="s">
        <v>636</v>
      </c>
      <c r="F2" s="81" t="s">
        <v>710</v>
      </c>
      <c r="G2" s="1"/>
    </row>
    <row r="3" spans="3:7" x14ac:dyDescent="0.5">
      <c r="C3" s="91">
        <v>51010</v>
      </c>
      <c r="D3" s="83" t="s">
        <v>216</v>
      </c>
      <c r="E3" s="92">
        <f>SUMIF('1.WS-Re-Exp'!$E$3:$E$430,Expense!C3,'1.WS-Re-Exp'!$C$3:$C$430)</f>
        <v>8252608.1900000004</v>
      </c>
      <c r="F3" s="54"/>
    </row>
    <row r="4" spans="3:7" x14ac:dyDescent="0.5">
      <c r="C4" s="91">
        <v>51020</v>
      </c>
      <c r="D4" s="83" t="s">
        <v>218</v>
      </c>
      <c r="E4" s="92">
        <f>SUMIF('1.WS-Re-Exp'!$E$3:$E$430,Expense!C4,'1.WS-Re-Exp'!$C$3:$C$430)</f>
        <v>119000</v>
      </c>
      <c r="F4" s="54"/>
    </row>
    <row r="5" spans="3:7" x14ac:dyDescent="0.5">
      <c r="C5" s="91">
        <v>51030</v>
      </c>
      <c r="D5" s="83" t="s">
        <v>615</v>
      </c>
      <c r="E5" s="92">
        <f>SUMIF('1.WS-Re-Exp'!$E$3:$E$430,Expense!C5,'1.WS-Re-Exp'!$C$3:$C$430)</f>
        <v>2191000</v>
      </c>
      <c r="F5" s="54"/>
    </row>
    <row r="6" spans="3:7" x14ac:dyDescent="0.5">
      <c r="C6" s="91">
        <v>51040</v>
      </c>
      <c r="D6" s="83" t="s">
        <v>616</v>
      </c>
      <c r="E6" s="92">
        <f>SUMIF('1.WS-Re-Exp'!$E$3:$E$430,Expense!C6,'1.WS-Re-Exp'!$C$3:$C$430)</f>
        <v>1066488.8999999999</v>
      </c>
      <c r="F6" s="54"/>
    </row>
    <row r="7" spans="3:7" x14ac:dyDescent="0.5">
      <c r="C7" s="91">
        <v>51050</v>
      </c>
      <c r="D7" s="83" t="s">
        <v>221</v>
      </c>
      <c r="E7" s="92">
        <f>SUMIF('1.WS-Re-Exp'!$E$3:$E$430,Expense!C7,'1.WS-Re-Exp'!$C$3:$C$430)</f>
        <v>597644.38399999996</v>
      </c>
      <c r="F7" s="54"/>
    </row>
    <row r="8" spans="3:7" x14ac:dyDescent="0.5">
      <c r="C8" s="91">
        <v>51060</v>
      </c>
      <c r="D8" s="83" t="s">
        <v>617</v>
      </c>
      <c r="E8" s="92">
        <f>SUMIF('1.WS-Re-Exp'!$E$3:$E$430,Expense!C8,'1.WS-Re-Exp'!$C$3:$C$430)</f>
        <v>2846792.4800000004</v>
      </c>
      <c r="F8" s="54"/>
    </row>
    <row r="9" spans="3:7" x14ac:dyDescent="0.5">
      <c r="C9" s="91">
        <v>51070</v>
      </c>
      <c r="D9" s="83" t="s">
        <v>618</v>
      </c>
      <c r="E9" s="92">
        <f>SUMIF('1.WS-Re-Exp'!$E$3:$E$430,Expense!C9,'1.WS-Re-Exp'!$C$3:$C$430)</f>
        <v>9570160</v>
      </c>
      <c r="F9" s="54"/>
    </row>
    <row r="10" spans="3:7" x14ac:dyDescent="0.5">
      <c r="C10" s="91">
        <v>51080</v>
      </c>
      <c r="D10" s="83" t="s">
        <v>619</v>
      </c>
      <c r="E10" s="92">
        <f>SUMIF('1.WS-Re-Exp'!$E$3:$E$430,Expense!C10,'1.WS-Re-Exp'!$C$3:$C$430)</f>
        <v>2065384.4983999999</v>
      </c>
      <c r="F10" s="54"/>
      <c r="G10" s="421"/>
    </row>
    <row r="11" spans="3:7" x14ac:dyDescent="0.5">
      <c r="C11" s="91">
        <v>51090</v>
      </c>
      <c r="D11" s="83" t="s">
        <v>357</v>
      </c>
      <c r="E11" s="92">
        <f>SUMIF('1.WS-Re-Exp'!$E$3:$E$430,Expense!C11,'1.WS-Re-Exp'!$C$3:$C$430)</f>
        <v>1618000</v>
      </c>
      <c r="F11" s="48"/>
    </row>
    <row r="12" spans="3:7" x14ac:dyDescent="0.5">
      <c r="C12" s="91">
        <v>51100</v>
      </c>
      <c r="D12" s="83" t="s">
        <v>620</v>
      </c>
      <c r="E12" s="93">
        <f>SUMIF('1.WS-Re-Exp'!$E$3:$E$430,Expense!C12,'1.WS-Re-Exp'!$C$3:$C$430)</f>
        <v>576860</v>
      </c>
      <c r="F12" s="48"/>
    </row>
    <row r="13" spans="3:7" x14ac:dyDescent="0.5">
      <c r="C13" s="91">
        <v>51110</v>
      </c>
      <c r="D13" s="83" t="s">
        <v>621</v>
      </c>
      <c r="E13" s="93">
        <f>SUMIF('1.WS-Re-Exp'!$E$3:$E$430,Expense!C13,'1.WS-Re-Exp'!$C$3:$C$430)</f>
        <v>1463190.4</v>
      </c>
      <c r="F13" s="48"/>
    </row>
    <row r="14" spans="3:7" x14ac:dyDescent="0.5">
      <c r="C14" s="91">
        <v>51120</v>
      </c>
      <c r="D14" s="83" t="s">
        <v>622</v>
      </c>
      <c r="E14" s="93">
        <f>SUMIF('1.WS-Re-Exp'!$E$3:$E$430,Expense!C14,'1.WS-Re-Exp'!$C$3:$C$430)</f>
        <v>1244766</v>
      </c>
      <c r="F14" s="48"/>
    </row>
    <row r="15" spans="3:7" x14ac:dyDescent="0.5">
      <c r="C15" s="91">
        <v>51130</v>
      </c>
      <c r="D15" s="83" t="s">
        <v>623</v>
      </c>
      <c r="E15" s="93">
        <f>SUMIF('1.WS-Re-Exp'!$E$3:$E$430,Expense!C15,'1.WS-Re-Exp'!$C$3:$C$430)</f>
        <v>547580.48</v>
      </c>
      <c r="F15" s="48"/>
    </row>
    <row r="16" spans="3:7" x14ac:dyDescent="0.5">
      <c r="C16" s="91">
        <v>51140</v>
      </c>
      <c r="D16" s="83" t="s">
        <v>624</v>
      </c>
      <c r="E16" s="93">
        <f>SUMIF('1.WS-Re-Exp'!$E$3:$E$430,Expense!C16,'1.WS-Re-Exp'!$C$3:$C$430)</f>
        <v>268000</v>
      </c>
      <c r="F16" s="48"/>
    </row>
    <row r="17" spans="2:6" ht="28.5" thickBot="1" x14ac:dyDescent="0.7">
      <c r="C17" s="94">
        <v>51111</v>
      </c>
      <c r="D17" s="80" t="s">
        <v>637</v>
      </c>
      <c r="E17" s="95">
        <f>SUM(E3:E16)</f>
        <v>32427475.332400002</v>
      </c>
      <c r="F17" s="55">
        <f>SUM(F3:F16)</f>
        <v>0</v>
      </c>
    </row>
    <row r="18" spans="2:6" ht="24" x14ac:dyDescent="0.55000000000000004">
      <c r="C18" s="96">
        <v>2</v>
      </c>
      <c r="D18" s="84" t="s">
        <v>609</v>
      </c>
      <c r="E18" s="95"/>
      <c r="F18" s="48"/>
    </row>
    <row r="19" spans="2:6" ht="24" x14ac:dyDescent="0.55000000000000004">
      <c r="B19" s="7"/>
      <c r="C19" s="91">
        <v>52010</v>
      </c>
      <c r="D19" s="83" t="s">
        <v>26</v>
      </c>
      <c r="E19" s="93">
        <f>SUMIF('1.WS-Re-Exp'!$E$3:$E$430,Expense!C19,'1.WS-Re-Exp'!$C$3:$C$430)</f>
        <v>27854520</v>
      </c>
      <c r="F19" s="42"/>
    </row>
    <row r="20" spans="2:6" x14ac:dyDescent="0.5">
      <c r="C20" s="91">
        <v>52020</v>
      </c>
      <c r="D20" s="83" t="s">
        <v>625</v>
      </c>
      <c r="E20" s="93">
        <f>SUMIF('1.WS-Re-Exp'!$E$3:$E$430,Expense!C20,'1.WS-Re-Exp'!$C$3:$C$430)</f>
        <v>3645760</v>
      </c>
      <c r="F20" s="42"/>
    </row>
    <row r="21" spans="2:6" x14ac:dyDescent="0.5">
      <c r="C21" s="91">
        <v>52030</v>
      </c>
      <c r="D21" s="83" t="s">
        <v>28</v>
      </c>
      <c r="E21" s="93">
        <f>SUMIF('1.WS-Re-Exp'!$E$3:$E$430,Expense!C21,'1.WS-Re-Exp'!$C$3:$C$430)</f>
        <v>5676640</v>
      </c>
      <c r="F21" s="42"/>
    </row>
    <row r="22" spans="2:6" x14ac:dyDescent="0.5">
      <c r="C22" s="91">
        <v>52040</v>
      </c>
      <c r="D22" s="83" t="s">
        <v>626</v>
      </c>
      <c r="E22" s="93">
        <f>SUMIF('1.WS-Re-Exp'!$E$3:$E$430,Expense!C22,'1.WS-Re-Exp'!$C$3:$C$430)</f>
        <v>0</v>
      </c>
      <c r="F22" s="42"/>
    </row>
    <row r="23" spans="2:6" x14ac:dyDescent="0.5">
      <c r="C23" s="97">
        <v>52050</v>
      </c>
      <c r="D23" s="85" t="s">
        <v>627</v>
      </c>
      <c r="E23" s="95">
        <f>SUM(E19:E22)</f>
        <v>37176920</v>
      </c>
      <c r="F23" s="48">
        <f>SUM(F19:F22)</f>
        <v>0</v>
      </c>
    </row>
    <row r="24" spans="2:6" x14ac:dyDescent="0.5">
      <c r="C24" s="91">
        <v>52060</v>
      </c>
      <c r="D24" s="83" t="s">
        <v>628</v>
      </c>
      <c r="E24" s="93">
        <f>SUMIF('1.WS-Re-Exp'!$E$3:$E$430,Expense!C24,'1.WS-Re-Exp'!$C$3:$C$430)</f>
        <v>1477976.9100000001</v>
      </c>
      <c r="F24" s="42"/>
    </row>
    <row r="25" spans="2:6" ht="24" x14ac:dyDescent="0.55000000000000004">
      <c r="C25" s="91">
        <v>52070</v>
      </c>
      <c r="D25" s="83" t="s">
        <v>629</v>
      </c>
      <c r="E25" s="98">
        <f>SUMIF('1.WS-Re-Exp'!$E$3:$E$430,Expense!C25,'1.WS-Re-Exp'!$C$3:$C$430)</f>
        <v>1452000</v>
      </c>
      <c r="F25" s="43"/>
    </row>
    <row r="26" spans="2:6" x14ac:dyDescent="0.5">
      <c r="C26" s="91">
        <v>52080</v>
      </c>
      <c r="D26" s="83" t="s">
        <v>662</v>
      </c>
      <c r="E26" s="93">
        <f>SUMIF('1.WS-Re-Exp'!$E$3:$E$430,Expense!C26,'1.WS-Re-Exp'!$C$3:$C$430)</f>
        <v>5137200</v>
      </c>
      <c r="F26" s="42"/>
    </row>
    <row r="27" spans="2:6" x14ac:dyDescent="0.5">
      <c r="C27" s="91">
        <v>52090</v>
      </c>
      <c r="D27" s="83" t="s">
        <v>663</v>
      </c>
      <c r="E27" s="93">
        <f>SUMIF('1.WS-Re-Exp'!$E$3:$E$430,Expense!C27,'1.WS-Re-Exp'!$C$3:$C$430)</f>
        <v>0</v>
      </c>
      <c r="F27" s="42"/>
    </row>
    <row r="28" spans="2:6" x14ac:dyDescent="0.5">
      <c r="C28" s="91">
        <v>52100</v>
      </c>
      <c r="D28" s="83" t="s">
        <v>634</v>
      </c>
      <c r="E28" s="99">
        <f>SUMIF('1.WS-Re-Exp'!$E$3:$E$430,Expense!C28,'1.WS-Re-Exp'!$C$3:$C$430)</f>
        <v>722000</v>
      </c>
      <c r="F28" s="47"/>
    </row>
    <row r="29" spans="2:6" s="7" customFormat="1" ht="24" x14ac:dyDescent="0.55000000000000004">
      <c r="C29" s="100">
        <v>52222</v>
      </c>
      <c r="D29" s="86" t="s">
        <v>638</v>
      </c>
      <c r="E29" s="101">
        <f>SUM(E23,E24,E25,E26,E27,E28)</f>
        <v>45966096.909999996</v>
      </c>
      <c r="F29" s="43">
        <f>SUM(F23,F24,F25,F26,F27,F28)</f>
        <v>0</v>
      </c>
    </row>
    <row r="30" spans="2:6" s="7" customFormat="1" ht="24" x14ac:dyDescent="0.55000000000000004">
      <c r="C30" s="96">
        <v>3</v>
      </c>
      <c r="D30" s="84" t="s">
        <v>635</v>
      </c>
      <c r="E30" s="101"/>
      <c r="F30" s="43"/>
    </row>
    <row r="31" spans="2:6" x14ac:dyDescent="0.5">
      <c r="C31" s="91">
        <v>53010</v>
      </c>
      <c r="D31" s="83" t="s">
        <v>633</v>
      </c>
      <c r="E31" s="93">
        <f>SUMIF('1.WS-Re-Exp'!$E$3:$E$430,Expense!C31,'1.WS-Re-Exp'!$C$3:$C$430)</f>
        <v>900000</v>
      </c>
      <c r="F31" s="47"/>
    </row>
    <row r="32" spans="2:6" ht="24" x14ac:dyDescent="0.55000000000000004">
      <c r="C32" s="91">
        <v>53020</v>
      </c>
      <c r="D32" s="83" t="s">
        <v>630</v>
      </c>
      <c r="E32" s="93">
        <f>SUMIF('1.WS-Re-Exp'!$E$3:$E$430,Expense!C32,'1.WS-Re-Exp'!$C$3:$C$430)</f>
        <v>1702100</v>
      </c>
      <c r="F32" s="43"/>
    </row>
    <row r="33" spans="3:6" x14ac:dyDescent="0.5">
      <c r="C33" s="91">
        <v>53030</v>
      </c>
      <c r="D33" s="83" t="s">
        <v>631</v>
      </c>
      <c r="E33" s="93">
        <f>SUMIF('1.WS-Re-Exp'!$E$3:$E$430,Expense!C33,'1.WS-Re-Exp'!$C$3:$C$430)</f>
        <v>5282141.2299999995</v>
      </c>
      <c r="F33" s="47"/>
    </row>
    <row r="34" spans="3:6" x14ac:dyDescent="0.5">
      <c r="C34" s="91">
        <v>53040</v>
      </c>
      <c r="D34" s="83" t="s">
        <v>651</v>
      </c>
      <c r="E34" s="93">
        <f>SUMIF('1.WS-Re-Exp'!$E$3:$E$430,Expense!C34,'1.WS-Re-Exp'!$C$3:$C$430)</f>
        <v>4100000</v>
      </c>
      <c r="F34" s="47"/>
    </row>
    <row r="35" spans="3:6" x14ac:dyDescent="0.5">
      <c r="C35" s="91">
        <v>53050</v>
      </c>
      <c r="D35" s="87" t="s">
        <v>652</v>
      </c>
      <c r="E35" s="93">
        <f>SUMIF('1.WS-Re-Exp'!$E$3:$E$430,Expense!C35,'1.WS-Re-Exp'!$C$3:$C$430)</f>
        <v>491400</v>
      </c>
      <c r="F35" s="47"/>
    </row>
    <row r="36" spans="3:6" x14ac:dyDescent="0.5">
      <c r="C36" s="91">
        <v>53060</v>
      </c>
      <c r="D36" s="83" t="s">
        <v>632</v>
      </c>
      <c r="E36" s="93">
        <f>SUMIF('1.WS-Re-Exp'!$E$3:$E$430,Expense!C36,'1.WS-Re-Exp'!$C$3:$C$430)</f>
        <v>0</v>
      </c>
      <c r="F36" s="47"/>
    </row>
    <row r="37" spans="3:6" ht="24" x14ac:dyDescent="0.55000000000000004">
      <c r="C37" s="91" t="s">
        <v>697</v>
      </c>
      <c r="D37" s="85" t="s">
        <v>693</v>
      </c>
      <c r="E37" s="101">
        <f>SUM(E17,E29,E31:E36)</f>
        <v>90869213.472399995</v>
      </c>
      <c r="F37" s="56">
        <f>SUM(F17,F29,F31:F36)</f>
        <v>0</v>
      </c>
    </row>
    <row r="38" spans="3:6" s="7" customFormat="1" ht="24" x14ac:dyDescent="0.55000000000000004">
      <c r="C38" s="100">
        <v>61000</v>
      </c>
      <c r="D38" s="86" t="s">
        <v>698</v>
      </c>
      <c r="E38" s="102">
        <f>Revenue!G52-Expense!E37</f>
        <v>10922033.111766666</v>
      </c>
      <c r="F38" s="57"/>
    </row>
    <row r="39" spans="3:6" s="7" customFormat="1" ht="24" x14ac:dyDescent="0.55000000000000004">
      <c r="C39" s="100">
        <v>62000</v>
      </c>
      <c r="D39" s="86" t="s">
        <v>762</v>
      </c>
      <c r="E39" s="102">
        <f>Revenue!G47-Expense!E37+E32+E33+E36</f>
        <v>14349515.071766671</v>
      </c>
      <c r="F39" s="58"/>
    </row>
    <row r="40" spans="3:6" ht="22.5" thickBot="1" x14ac:dyDescent="0.55000000000000004">
      <c r="C40" s="103"/>
      <c r="D40" s="104"/>
      <c r="E40" s="105"/>
      <c r="F40" s="52"/>
    </row>
    <row r="41" spans="3:6" x14ac:dyDescent="0.5">
      <c r="D41" s="2"/>
    </row>
    <row r="42" spans="3:6" ht="24" x14ac:dyDescent="0.55000000000000004">
      <c r="D42" s="33"/>
      <c r="E42" s="7" t="s">
        <v>721</v>
      </c>
    </row>
    <row r="43" spans="3:6" x14ac:dyDescent="0.5">
      <c r="E43" s="16" t="s">
        <v>722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topLeftCell="A22" workbookViewId="0">
      <selection activeCell="H16" sqref="H16"/>
    </sheetView>
  </sheetViews>
  <sheetFormatPr defaultRowHeight="14.25" x14ac:dyDescent="0.2"/>
  <cols>
    <col min="3" max="3" width="39.75" bestFit="1" customWidth="1"/>
    <col min="4" max="4" width="18.125" style="71" customWidth="1"/>
    <col min="5" max="5" width="9.25" style="71" bestFit="1" customWidth="1"/>
    <col min="6" max="6" width="17.375" style="71" customWidth="1"/>
    <col min="7" max="7" width="17.5" style="232" customWidth="1"/>
    <col min="8" max="8" width="12.75" customWidth="1"/>
    <col min="9" max="9" width="17.75" customWidth="1"/>
  </cols>
  <sheetData>
    <row r="1" spans="1:9" x14ac:dyDescent="0.2">
      <c r="A1" s="73" t="s">
        <v>1223</v>
      </c>
      <c r="B1" s="73" t="s">
        <v>1224</v>
      </c>
      <c r="C1" s="73" t="s">
        <v>1225</v>
      </c>
      <c r="D1" s="73" t="s">
        <v>636</v>
      </c>
      <c r="E1" s="73" t="s">
        <v>1226</v>
      </c>
      <c r="F1" s="73" t="s">
        <v>1227</v>
      </c>
      <c r="G1" s="234" t="s">
        <v>1229</v>
      </c>
      <c r="H1" s="429" t="s">
        <v>1230</v>
      </c>
      <c r="I1" s="73" t="s">
        <v>1231</v>
      </c>
    </row>
    <row r="2" spans="1:9" x14ac:dyDescent="0.2">
      <c r="A2">
        <v>1</v>
      </c>
      <c r="B2" t="s">
        <v>0</v>
      </c>
      <c r="C2" t="s">
        <v>1</v>
      </c>
      <c r="D2" s="438">
        <v>43465658.277500004</v>
      </c>
      <c r="E2" s="438" t="e">
        <v>#DIV/0!</v>
      </c>
      <c r="F2" s="438">
        <v>42503730.479999997</v>
      </c>
      <c r="G2" s="437">
        <v>11782606.300000004</v>
      </c>
      <c r="H2" s="435">
        <v>1</v>
      </c>
      <c r="I2" s="120">
        <f>SUM(F2:G2)</f>
        <v>54286336.780000001</v>
      </c>
    </row>
    <row r="3" spans="1:9" x14ac:dyDescent="0.2">
      <c r="A3">
        <v>2</v>
      </c>
      <c r="B3" t="s">
        <v>2</v>
      </c>
      <c r="C3" t="s">
        <v>3</v>
      </c>
      <c r="D3" s="438">
        <v>300000</v>
      </c>
      <c r="E3" s="438" t="e">
        <v>#DIV/0!</v>
      </c>
      <c r="F3" s="438">
        <v>157929.16</v>
      </c>
      <c r="G3" s="437">
        <v>116724.22</v>
      </c>
      <c r="H3" s="435">
        <v>2</v>
      </c>
      <c r="I3" s="120">
        <f t="shared" ref="I3:I30" si="0">SUM(F3:G3)</f>
        <v>274653.38</v>
      </c>
    </row>
    <row r="4" spans="1:9" x14ac:dyDescent="0.2">
      <c r="A4">
        <v>3</v>
      </c>
      <c r="B4" t="s">
        <v>4</v>
      </c>
      <c r="C4" t="s">
        <v>5</v>
      </c>
      <c r="D4" s="438">
        <v>20000</v>
      </c>
      <c r="E4" s="438" t="e">
        <v>#DIV/0!</v>
      </c>
      <c r="F4" s="438">
        <v>109448.93</v>
      </c>
      <c r="G4" s="437">
        <v>191885.21000000002</v>
      </c>
      <c r="H4" s="435">
        <v>0</v>
      </c>
      <c r="I4" s="120">
        <f t="shared" si="0"/>
        <v>301334.14</v>
      </c>
    </row>
    <row r="5" spans="1:9" x14ac:dyDescent="0.2">
      <c r="A5">
        <v>4</v>
      </c>
      <c r="B5" t="s">
        <v>941</v>
      </c>
      <c r="C5" t="s">
        <v>702</v>
      </c>
      <c r="D5" s="438">
        <v>450000</v>
      </c>
      <c r="E5" s="438" t="e">
        <v>#DIV/0!</v>
      </c>
      <c r="F5" s="438">
        <v>0</v>
      </c>
      <c r="G5" s="437">
        <v>0</v>
      </c>
      <c r="H5" s="435">
        <v>0</v>
      </c>
      <c r="I5" s="120">
        <f t="shared" si="0"/>
        <v>0</v>
      </c>
    </row>
    <row r="6" spans="1:9" x14ac:dyDescent="0.2">
      <c r="A6">
        <v>5</v>
      </c>
      <c r="B6" t="s">
        <v>6</v>
      </c>
      <c r="C6" t="s">
        <v>7</v>
      </c>
      <c r="D6" s="438">
        <v>5693585</v>
      </c>
      <c r="E6" s="438" t="e">
        <v>#DIV/0!</v>
      </c>
      <c r="F6" s="438">
        <v>6003172.1600000001</v>
      </c>
      <c r="G6" s="437">
        <v>4855270.51</v>
      </c>
      <c r="H6" s="435">
        <v>0</v>
      </c>
      <c r="I6" s="120">
        <f t="shared" si="0"/>
        <v>10858442.67</v>
      </c>
    </row>
    <row r="7" spans="1:9" x14ac:dyDescent="0.2">
      <c r="A7">
        <v>6</v>
      </c>
      <c r="B7" t="s">
        <v>8</v>
      </c>
      <c r="C7" t="s">
        <v>9</v>
      </c>
      <c r="D7" s="438">
        <v>1490700</v>
      </c>
      <c r="E7" s="438" t="e">
        <v>#DIV/0!</v>
      </c>
      <c r="F7" s="438">
        <v>1507791.8</v>
      </c>
      <c r="G7" s="437">
        <v>1328857.2899999998</v>
      </c>
      <c r="H7" s="435">
        <v>0</v>
      </c>
      <c r="I7" s="120">
        <f t="shared" si="0"/>
        <v>2836649.09</v>
      </c>
    </row>
    <row r="8" spans="1:9" x14ac:dyDescent="0.2">
      <c r="A8">
        <v>7</v>
      </c>
      <c r="B8" t="s">
        <v>10</v>
      </c>
      <c r="C8" t="s">
        <v>11</v>
      </c>
      <c r="D8" s="438">
        <v>650000</v>
      </c>
      <c r="E8" s="438" t="e">
        <v>#DIV/0!</v>
      </c>
      <c r="F8" s="438">
        <v>496858.12</v>
      </c>
      <c r="G8" s="437">
        <v>1040157.65</v>
      </c>
      <c r="H8" s="435">
        <v>1</v>
      </c>
      <c r="I8" s="120">
        <f t="shared" si="0"/>
        <v>1537015.77</v>
      </c>
    </row>
    <row r="9" spans="1:9" x14ac:dyDescent="0.2">
      <c r="A9">
        <v>8</v>
      </c>
      <c r="B9" t="s">
        <v>12</v>
      </c>
      <c r="C9" t="s">
        <v>13</v>
      </c>
      <c r="D9" s="438">
        <v>11007000</v>
      </c>
      <c r="E9" s="438" t="e">
        <v>#DIV/0!</v>
      </c>
      <c r="F9" s="438">
        <v>5345473.12</v>
      </c>
      <c r="G9" s="437">
        <v>4690770.669999999</v>
      </c>
      <c r="H9" s="435">
        <v>2</v>
      </c>
      <c r="I9" s="120">
        <f t="shared" si="0"/>
        <v>10036243.789999999</v>
      </c>
    </row>
    <row r="10" spans="1:9" x14ac:dyDescent="0.2">
      <c r="A10">
        <v>9</v>
      </c>
      <c r="B10" t="s">
        <v>14</v>
      </c>
      <c r="C10" t="s">
        <v>15</v>
      </c>
      <c r="D10" s="438">
        <v>28378920</v>
      </c>
      <c r="E10" s="438" t="e">
        <v>#DIV/0!</v>
      </c>
      <c r="F10" s="438">
        <v>32336197.93</v>
      </c>
      <c r="G10" s="437">
        <v>9271152.0099999979</v>
      </c>
      <c r="H10" s="435">
        <v>0</v>
      </c>
      <c r="I10" s="120">
        <f t="shared" si="0"/>
        <v>41607349.939999998</v>
      </c>
    </row>
    <row r="11" spans="1:9" x14ac:dyDescent="0.2">
      <c r="A11">
        <v>10</v>
      </c>
      <c r="B11" t="s">
        <v>16</v>
      </c>
      <c r="C11" t="s">
        <v>17</v>
      </c>
      <c r="D11" s="438">
        <v>6778624.0366666671</v>
      </c>
      <c r="E11" s="438" t="e">
        <v>#DIV/0!</v>
      </c>
      <c r="F11" s="438">
        <v>8010292.0099999998</v>
      </c>
      <c r="G11" s="437">
        <v>4444436.51</v>
      </c>
      <c r="H11" s="435">
        <v>0</v>
      </c>
      <c r="I11" s="120">
        <f t="shared" si="0"/>
        <v>12454728.52</v>
      </c>
    </row>
    <row r="12" spans="1:9" x14ac:dyDescent="0.2">
      <c r="A12">
        <v>11</v>
      </c>
      <c r="B12" t="s">
        <v>18</v>
      </c>
      <c r="C12" t="s">
        <v>661</v>
      </c>
      <c r="D12" s="438">
        <v>3556759.27</v>
      </c>
      <c r="E12" s="438" t="e">
        <v>#DIV/0!</v>
      </c>
      <c r="F12" s="438">
        <v>4059473.78</v>
      </c>
      <c r="G12" s="437">
        <v>4705786.6500000004</v>
      </c>
      <c r="H12" s="435">
        <v>0</v>
      </c>
      <c r="I12" s="120">
        <f t="shared" si="0"/>
        <v>8765260.4299999997</v>
      </c>
    </row>
    <row r="13" spans="1:9" x14ac:dyDescent="0.2">
      <c r="A13">
        <v>12</v>
      </c>
      <c r="B13" t="s">
        <v>667</v>
      </c>
      <c r="C13" t="s">
        <v>647</v>
      </c>
      <c r="D13" s="433">
        <v>101791246.58416666</v>
      </c>
      <c r="E13" s="438" t="e">
        <v>#DIV/0!</v>
      </c>
      <c r="F13" s="433">
        <v>101348915.13</v>
      </c>
      <c r="G13" s="431">
        <v>24191502.74000001</v>
      </c>
      <c r="H13" s="435">
        <v>1</v>
      </c>
      <c r="I13" s="425">
        <f t="shared" si="0"/>
        <v>125540417.87</v>
      </c>
    </row>
    <row r="14" spans="1:9" x14ac:dyDescent="0.2">
      <c r="A14">
        <v>13</v>
      </c>
      <c r="B14" t="s">
        <v>19</v>
      </c>
      <c r="C14" t="s">
        <v>20</v>
      </c>
      <c r="D14" s="438">
        <v>8252608.1900000004</v>
      </c>
      <c r="E14" s="438" t="e">
        <v>#DIV/0!</v>
      </c>
      <c r="F14" s="438">
        <v>8599313.6799999997</v>
      </c>
      <c r="G14" s="437">
        <v>3134768.2100000009</v>
      </c>
      <c r="H14" s="435">
        <v>0</v>
      </c>
      <c r="I14" s="120">
        <f t="shared" si="0"/>
        <v>11734081.890000001</v>
      </c>
    </row>
    <row r="15" spans="1:9" x14ac:dyDescent="0.2">
      <c r="A15">
        <v>14</v>
      </c>
      <c r="B15" t="s">
        <v>21</v>
      </c>
      <c r="C15" t="s">
        <v>22</v>
      </c>
      <c r="D15" s="438">
        <v>2310000</v>
      </c>
      <c r="E15" s="438" t="e">
        <v>#DIV/0!</v>
      </c>
      <c r="F15" s="438">
        <v>2543495.2599999998</v>
      </c>
      <c r="G15" s="437">
        <v>1204495.0100000002</v>
      </c>
      <c r="H15" s="435">
        <v>0</v>
      </c>
      <c r="I15" s="120">
        <f t="shared" si="0"/>
        <v>3747990.27</v>
      </c>
    </row>
    <row r="16" spans="1:9" x14ac:dyDescent="0.2">
      <c r="A16">
        <v>15</v>
      </c>
      <c r="B16" t="s">
        <v>703</v>
      </c>
      <c r="C16" t="s">
        <v>704</v>
      </c>
      <c r="D16" s="438">
        <v>450000</v>
      </c>
      <c r="E16" s="438" t="e">
        <v>#DIV/0!</v>
      </c>
      <c r="F16" s="438">
        <v>482822.43</v>
      </c>
      <c r="G16" s="437">
        <v>278228.88000000006</v>
      </c>
      <c r="H16" s="435">
        <v>0</v>
      </c>
      <c r="I16" s="120">
        <f t="shared" si="0"/>
        <v>761051.31</v>
      </c>
    </row>
    <row r="17" spans="1:9" x14ac:dyDescent="0.2">
      <c r="A17">
        <v>16</v>
      </c>
      <c r="B17" t="s">
        <v>23</v>
      </c>
      <c r="C17" t="s">
        <v>24</v>
      </c>
      <c r="D17" s="438">
        <v>1066488.8999999999</v>
      </c>
      <c r="E17" s="438" t="e">
        <v>#DIV/0!</v>
      </c>
      <c r="F17" s="438">
        <v>3102348.77</v>
      </c>
      <c r="G17" s="437">
        <v>1228586.8500000001</v>
      </c>
      <c r="H17" s="435">
        <v>0</v>
      </c>
      <c r="I17" s="120">
        <f t="shared" si="0"/>
        <v>4330935.62</v>
      </c>
    </row>
    <row r="18" spans="1:9" x14ac:dyDescent="0.2">
      <c r="A18">
        <v>17</v>
      </c>
      <c r="B18" t="s">
        <v>25</v>
      </c>
      <c r="C18" t="s">
        <v>26</v>
      </c>
      <c r="D18" s="438">
        <v>28378920</v>
      </c>
      <c r="E18" s="438" t="e">
        <v>#DIV/0!</v>
      </c>
      <c r="F18" s="438">
        <v>32313201.23</v>
      </c>
      <c r="G18" s="437">
        <v>9026926.9599999972</v>
      </c>
      <c r="H18" s="435">
        <v>0</v>
      </c>
      <c r="I18" s="120">
        <f t="shared" si="0"/>
        <v>41340128.189999998</v>
      </c>
    </row>
    <row r="19" spans="1:9" x14ac:dyDescent="0.2">
      <c r="A19">
        <v>18</v>
      </c>
      <c r="B19" t="s">
        <v>27</v>
      </c>
      <c r="C19" t="s">
        <v>695</v>
      </c>
      <c r="D19" s="438">
        <v>10698000</v>
      </c>
      <c r="E19" s="438" t="e">
        <v>#DIV/0!</v>
      </c>
      <c r="F19" s="438">
        <v>8910388.5</v>
      </c>
      <c r="G19" s="437">
        <v>2765904.5700000003</v>
      </c>
      <c r="H19" s="435">
        <v>0</v>
      </c>
      <c r="I19" s="120">
        <f t="shared" si="0"/>
        <v>11676293.07</v>
      </c>
    </row>
    <row r="20" spans="1:9" x14ac:dyDescent="0.2">
      <c r="A20">
        <v>19</v>
      </c>
      <c r="B20" t="s">
        <v>29</v>
      </c>
      <c r="C20" t="s">
        <v>30</v>
      </c>
      <c r="D20" s="438">
        <v>16159360</v>
      </c>
      <c r="E20" s="438" t="e">
        <v>#DIV/0!</v>
      </c>
      <c r="F20" s="438">
        <v>15491408.779999999</v>
      </c>
      <c r="G20" s="437">
        <v>4802827.2300000023</v>
      </c>
      <c r="H20" s="435">
        <v>0</v>
      </c>
      <c r="I20" s="120">
        <f t="shared" si="0"/>
        <v>20294236.010000002</v>
      </c>
    </row>
    <row r="21" spans="1:9" x14ac:dyDescent="0.2">
      <c r="A21">
        <v>20</v>
      </c>
      <c r="B21" t="s">
        <v>31</v>
      </c>
      <c r="C21" t="s">
        <v>32</v>
      </c>
      <c r="D21" s="438">
        <v>1994876.9066666665</v>
      </c>
      <c r="E21" s="438" t="e">
        <v>#DIV/0!</v>
      </c>
      <c r="F21" s="438">
        <v>2235706.5699999998</v>
      </c>
      <c r="G21" s="437">
        <v>741574.34000000032</v>
      </c>
      <c r="H21" s="435">
        <v>0</v>
      </c>
      <c r="I21" s="120">
        <f t="shared" si="0"/>
        <v>2977280.91</v>
      </c>
    </row>
    <row r="22" spans="1:9" x14ac:dyDescent="0.2">
      <c r="A22">
        <v>21</v>
      </c>
      <c r="B22" t="s">
        <v>33</v>
      </c>
      <c r="C22" t="s">
        <v>34</v>
      </c>
      <c r="D22" s="438">
        <v>5082580.8800000008</v>
      </c>
      <c r="E22" s="438" t="e">
        <v>#DIV/0!</v>
      </c>
      <c r="F22" s="438">
        <v>4462614.59</v>
      </c>
      <c r="G22" s="437">
        <v>3246823.74</v>
      </c>
      <c r="H22" s="435">
        <v>1</v>
      </c>
      <c r="I22" s="120">
        <f t="shared" si="0"/>
        <v>7709438.3300000001</v>
      </c>
    </row>
    <row r="23" spans="1:9" x14ac:dyDescent="0.2">
      <c r="A23">
        <v>22</v>
      </c>
      <c r="B23" t="s">
        <v>35</v>
      </c>
      <c r="C23" t="s">
        <v>36</v>
      </c>
      <c r="D23" s="438">
        <v>2038876.4983999999</v>
      </c>
      <c r="E23" s="438" t="e">
        <v>#DIV/0!</v>
      </c>
      <c r="F23" s="438">
        <v>2250681.17</v>
      </c>
      <c r="G23" s="437">
        <v>592013.29</v>
      </c>
      <c r="H23" s="435">
        <v>0</v>
      </c>
      <c r="I23" s="120">
        <f t="shared" si="0"/>
        <v>2842694.46</v>
      </c>
    </row>
    <row r="24" spans="1:9" x14ac:dyDescent="0.2">
      <c r="A24">
        <v>23</v>
      </c>
      <c r="B24" t="s">
        <v>37</v>
      </c>
      <c r="C24" t="s">
        <v>38</v>
      </c>
      <c r="D24" s="438">
        <v>3047400</v>
      </c>
      <c r="E24" s="438" t="e">
        <v>#DIV/0!</v>
      </c>
      <c r="F24" s="438">
        <v>3363210.27</v>
      </c>
      <c r="G24" s="437">
        <v>1551663.1700000004</v>
      </c>
      <c r="H24" s="435">
        <v>0</v>
      </c>
      <c r="I24" s="120">
        <f t="shared" si="0"/>
        <v>4914873.4400000004</v>
      </c>
    </row>
    <row r="25" spans="1:9" x14ac:dyDescent="0.2">
      <c r="A25">
        <v>24</v>
      </c>
      <c r="B25" t="s">
        <v>39</v>
      </c>
      <c r="C25" t="s">
        <v>40</v>
      </c>
      <c r="D25" s="438">
        <v>6984241.2266666666</v>
      </c>
      <c r="E25" s="438" t="e">
        <v>#DIV/0!</v>
      </c>
      <c r="F25" s="438">
        <v>5828834.04</v>
      </c>
      <c r="G25" s="437">
        <v>2396337.7199999997</v>
      </c>
      <c r="H25" s="435">
        <v>1</v>
      </c>
      <c r="I25" s="120">
        <f t="shared" si="0"/>
        <v>8225171.7599999998</v>
      </c>
    </row>
    <row r="26" spans="1:9" x14ac:dyDescent="0.2">
      <c r="A26">
        <v>25</v>
      </c>
      <c r="B26" t="s">
        <v>705</v>
      </c>
      <c r="C26" t="s">
        <v>706</v>
      </c>
      <c r="D26" s="438">
        <v>900000</v>
      </c>
      <c r="E26" s="438" t="e">
        <v>#DIV/0!</v>
      </c>
      <c r="F26" s="438">
        <v>495692.42</v>
      </c>
      <c r="G26" s="437">
        <v>684071.89000000013</v>
      </c>
      <c r="H26" s="435">
        <v>1</v>
      </c>
      <c r="I26" s="120">
        <f t="shared" si="0"/>
        <v>1179764.31</v>
      </c>
    </row>
    <row r="27" spans="1:9" x14ac:dyDescent="0.2">
      <c r="A27">
        <v>26</v>
      </c>
      <c r="B27" t="s">
        <v>41</v>
      </c>
      <c r="C27" t="s">
        <v>42</v>
      </c>
      <c r="D27" s="438">
        <v>5581400</v>
      </c>
      <c r="E27" s="438" t="e">
        <v>#DIV/0!</v>
      </c>
      <c r="F27" s="438">
        <v>8912048.0199999996</v>
      </c>
      <c r="G27" s="437">
        <v>5377288.1100000013</v>
      </c>
      <c r="H27" s="435">
        <v>0</v>
      </c>
      <c r="I27" s="120">
        <f t="shared" si="0"/>
        <v>14289336.130000001</v>
      </c>
    </row>
    <row r="28" spans="1:9" x14ac:dyDescent="0.2">
      <c r="A28">
        <v>27</v>
      </c>
      <c r="B28" t="s">
        <v>668</v>
      </c>
      <c r="C28" t="s">
        <v>669</v>
      </c>
      <c r="D28" s="433">
        <v>92944752.601733327</v>
      </c>
      <c r="E28" s="433" t="e">
        <v>#DIV/0!</v>
      </c>
      <c r="F28" s="433">
        <v>98961885.689999998</v>
      </c>
      <c r="G28" s="431">
        <v>22720325.079999998</v>
      </c>
      <c r="H28" s="435">
        <v>0</v>
      </c>
      <c r="I28" s="425">
        <f t="shared" si="0"/>
        <v>121682210.77</v>
      </c>
    </row>
    <row r="29" spans="1:9" x14ac:dyDescent="0.2">
      <c r="A29">
        <v>28</v>
      </c>
      <c r="B29" t="s">
        <v>670</v>
      </c>
      <c r="C29" t="s">
        <v>671</v>
      </c>
      <c r="D29" s="430">
        <v>8846493.982433334</v>
      </c>
      <c r="E29" s="428" t="e">
        <v>#DIV/0!</v>
      </c>
      <c r="F29" s="430">
        <v>2387029.44</v>
      </c>
      <c r="G29" s="437">
        <v>7183393.75</v>
      </c>
      <c r="H29" s="435">
        <v>2</v>
      </c>
      <c r="I29" s="120">
        <f t="shared" si="0"/>
        <v>9570423.1899999995</v>
      </c>
    </row>
    <row r="30" spans="1:9" x14ac:dyDescent="0.2">
      <c r="A30">
        <v>29</v>
      </c>
      <c r="B30" t="s">
        <v>1543</v>
      </c>
      <c r="C30" t="s">
        <v>1542</v>
      </c>
      <c r="D30" s="430">
        <v>12273975.939100001</v>
      </c>
      <c r="E30" s="428" t="e">
        <v>#DIV/0!</v>
      </c>
      <c r="F30" s="430">
        <v>4187027.24</v>
      </c>
      <c r="G30" s="437">
        <v>6783530.2599999998</v>
      </c>
      <c r="H30" s="435">
        <v>2</v>
      </c>
      <c r="I30" s="120">
        <f t="shared" si="0"/>
        <v>10970557.5</v>
      </c>
    </row>
    <row r="31" spans="1:9" x14ac:dyDescent="0.2">
      <c r="D31" s="265" t="s">
        <v>1243</v>
      </c>
      <c r="E31" s="266"/>
    </row>
    <row r="33" spans="1:1" x14ac:dyDescent="0.2">
      <c r="A33" s="427" t="s">
        <v>1545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6"/>
  <sheetViews>
    <sheetView zoomScaleNormal="100" workbookViewId="0">
      <selection activeCell="I4" sqref="I4:J4"/>
    </sheetView>
  </sheetViews>
  <sheetFormatPr defaultColWidth="9.125" defaultRowHeight="24" x14ac:dyDescent="0.55000000000000004"/>
  <cols>
    <col min="1" max="1" width="20.375" style="21" bestFit="1" customWidth="1"/>
    <col min="2" max="2" width="21.25" style="21" bestFit="1" customWidth="1"/>
    <col min="3" max="3" width="16.625" style="21" customWidth="1"/>
    <col min="4" max="4" width="13.25" style="21" bestFit="1" customWidth="1"/>
    <col min="5" max="5" width="18" style="21" bestFit="1" customWidth="1"/>
    <col min="6" max="6" width="16.75" style="21" bestFit="1" customWidth="1"/>
    <col min="7" max="7" width="13.875" style="21" bestFit="1" customWidth="1"/>
    <col min="8" max="8" width="17.75" style="21" bestFit="1" customWidth="1"/>
    <col min="9" max="9" width="19.375" style="21" customWidth="1"/>
    <col min="10" max="10" width="25.625" style="21" customWidth="1"/>
    <col min="11" max="11" width="15.75" style="21" bestFit="1" customWidth="1"/>
    <col min="12" max="12" width="14.875" style="21" customWidth="1"/>
    <col min="13" max="13" width="17.75" style="21" bestFit="1" customWidth="1"/>
    <col min="14" max="14" width="22.75" style="21" customWidth="1"/>
    <col min="15" max="15" width="20.25" style="21" customWidth="1"/>
    <col min="16" max="16" width="19.875" style="21" customWidth="1"/>
    <col min="17" max="17" width="23" style="21" customWidth="1"/>
    <col min="18" max="18" width="13.625" style="21" customWidth="1"/>
    <col min="19" max="19" width="52" style="21" customWidth="1"/>
    <col min="20" max="23" width="9.125" style="21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1" customWidth="1"/>
    <col min="30" max="16384" width="9.125" style="21"/>
  </cols>
  <sheetData>
    <row r="1" spans="1:28" s="312" customFormat="1" ht="39.6" customHeight="1" x14ac:dyDescent="0.2">
      <c r="A1" s="593" t="s">
        <v>1153</v>
      </c>
      <c r="B1" s="593" t="s">
        <v>1176</v>
      </c>
      <c r="C1" s="593" t="s">
        <v>1155</v>
      </c>
      <c r="D1" s="593" t="s">
        <v>1156</v>
      </c>
      <c r="E1" s="593" t="s">
        <v>1177</v>
      </c>
      <c r="F1" s="593" t="s">
        <v>1152</v>
      </c>
      <c r="G1" s="593" t="s">
        <v>1178</v>
      </c>
      <c r="H1" s="593" t="s">
        <v>1179</v>
      </c>
      <c r="I1" s="595" t="s">
        <v>1180</v>
      </c>
      <c r="J1" s="595" t="s">
        <v>1181</v>
      </c>
      <c r="K1" s="593" t="s">
        <v>1182</v>
      </c>
      <c r="L1" s="593" t="s">
        <v>1183</v>
      </c>
      <c r="M1" s="593" t="s">
        <v>1185</v>
      </c>
      <c r="N1" s="595" t="s">
        <v>1253</v>
      </c>
      <c r="O1" s="310" t="s">
        <v>1186</v>
      </c>
      <c r="P1" s="310" t="s">
        <v>1187</v>
      </c>
      <c r="Q1" s="310" t="s">
        <v>1188</v>
      </c>
      <c r="R1" s="311"/>
      <c r="X1" s="313"/>
      <c r="Y1" s="313"/>
      <c r="Z1" s="313"/>
      <c r="AA1" s="313"/>
      <c r="AB1" s="313"/>
    </row>
    <row r="2" spans="1:28" s="192" customFormat="1" ht="28.5" customHeight="1" thickBot="1" x14ac:dyDescent="0.25">
      <c r="A2" s="594"/>
      <c r="B2" s="594"/>
      <c r="C2" s="594"/>
      <c r="D2" s="594"/>
      <c r="E2" s="594"/>
      <c r="F2" s="594"/>
      <c r="G2" s="594"/>
      <c r="H2" s="594"/>
      <c r="I2" s="596"/>
      <c r="J2" s="596"/>
      <c r="K2" s="594"/>
      <c r="L2" s="594"/>
      <c r="M2" s="594"/>
      <c r="N2" s="596"/>
      <c r="O2" s="274" t="s">
        <v>1189</v>
      </c>
      <c r="P2" s="275"/>
      <c r="Q2" s="275"/>
      <c r="R2" s="276"/>
      <c r="S2" s="276"/>
      <c r="X2" s="273"/>
      <c r="Y2" s="273"/>
      <c r="Z2" s="273"/>
      <c r="AA2" s="273"/>
      <c r="AB2" s="273"/>
    </row>
    <row r="3" spans="1:28" s="182" customFormat="1" ht="72" x14ac:dyDescent="0.5">
      <c r="A3" s="106" t="s">
        <v>660</v>
      </c>
      <c r="B3" s="106" t="s">
        <v>1164</v>
      </c>
      <c r="C3" s="106" t="s">
        <v>1165</v>
      </c>
      <c r="D3" s="106" t="s">
        <v>701</v>
      </c>
      <c r="E3" s="106" t="s">
        <v>1166</v>
      </c>
      <c r="F3" s="106" t="s">
        <v>1544</v>
      </c>
      <c r="G3" s="183" t="s">
        <v>1175</v>
      </c>
      <c r="H3" s="106" t="s">
        <v>783</v>
      </c>
      <c r="I3" s="426" t="s">
        <v>1380</v>
      </c>
      <c r="J3" s="426" t="s">
        <v>1381</v>
      </c>
      <c r="K3" s="183" t="s">
        <v>1167</v>
      </c>
      <c r="L3" s="106" t="s">
        <v>1184</v>
      </c>
      <c r="M3" s="188" t="s">
        <v>1168</v>
      </c>
      <c r="N3" s="106" t="s">
        <v>1256</v>
      </c>
      <c r="O3" s="106" t="s">
        <v>1169</v>
      </c>
      <c r="P3" s="221" t="s">
        <v>1170</v>
      </c>
      <c r="Q3" s="221" t="s">
        <v>1171</v>
      </c>
      <c r="R3" s="195" t="s">
        <v>1172</v>
      </c>
      <c r="S3" s="194" t="s">
        <v>1190</v>
      </c>
      <c r="X3" s="1"/>
      <c r="Y3" s="1"/>
      <c r="Z3" s="1"/>
      <c r="AA3" s="1"/>
      <c r="AB3" s="1"/>
    </row>
    <row r="4" spans="1:28" ht="24.75" thickBot="1" x14ac:dyDescent="0.6">
      <c r="A4" s="19">
        <f>SUM(Planfin2562!E17-Planfin2562!E16)</f>
        <v>96922330.875770554</v>
      </c>
      <c r="B4" s="19">
        <f>SUM(Planfin2562!E33-Planfin2562!E29)</f>
        <v>83884972.242400005</v>
      </c>
      <c r="C4" s="166">
        <f>SUM(A4-B4)</f>
        <v>13037358.633370548</v>
      </c>
      <c r="D4" s="186" t="str">
        <f>IF(C4&gt;0,"เกินดุล",IF(C4=0,"สมดุล","ขาดดุล"))</f>
        <v>เกินดุล</v>
      </c>
      <c r="E4" s="184">
        <f>IF(C4&lt;=0,0,ROUNDUP((C4*20%),2))</f>
        <v>2607471.73</v>
      </c>
      <c r="F4" s="166">
        <f>SUM(Planfin2562!E88)</f>
        <v>4974325</v>
      </c>
      <c r="G4" s="185">
        <f>IF(C4=0,0,(F4/C4)*100)</f>
        <v>38.154392618054317</v>
      </c>
      <c r="H4" s="184">
        <f>E4-F4</f>
        <v>-2366853.27</v>
      </c>
      <c r="I4" s="661">
        <f>SUM(Planfin2562!C40)</f>
        <v>24708845.449999999</v>
      </c>
      <c r="J4" s="661">
        <f>SUM(Planfin2562!C41-Planfin2562!C42)</f>
        <v>13766397.130000001</v>
      </c>
      <c r="K4" s="187">
        <f>SUM(B4/12)</f>
        <v>6990414.3535333341</v>
      </c>
      <c r="L4" s="166">
        <f>SUM(I4/K4)</f>
        <v>3.5346753712118382</v>
      </c>
      <c r="M4" s="189">
        <f>SUM(H4:I4)</f>
        <v>22341992.18</v>
      </c>
      <c r="N4" s="271">
        <f>SUM(M4/K4)</f>
        <v>3.1960898238753397</v>
      </c>
      <c r="O4" s="190" t="str">
        <f>IF(C4&gt;=0, "Normal", "Risk")</f>
        <v>Normal</v>
      </c>
      <c r="P4" s="190" t="str">
        <f>IF(H4&gt;=0, "Normal", "Risk")</f>
        <v>Risk</v>
      </c>
      <c r="Q4" s="191" t="str">
        <f>IF(N4&gt;1, "Normal", "Risk")</f>
        <v>Normal</v>
      </c>
      <c r="R4" s="72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3</v>
      </c>
      <c r="S4" s="193" t="str">
        <f>VLOOKUP(R4,$X$9:$AB$16,5,0)</f>
        <v>ทบทวนการลงทุนอีกครั้ง ทำFeasibility study</v>
      </c>
      <c r="Y4" s="199" t="s">
        <v>1191</v>
      </c>
      <c r="Z4" s="199" t="s">
        <v>1192</v>
      </c>
      <c r="AA4" s="199" t="s">
        <v>1193</v>
      </c>
      <c r="AB4" s="199"/>
    </row>
    <row r="5" spans="1:28" ht="27" customHeight="1" x14ac:dyDescent="0.55000000000000004">
      <c r="I5" s="597" t="s">
        <v>1255</v>
      </c>
      <c r="J5" s="597"/>
      <c r="N5" s="272" t="s">
        <v>1254</v>
      </c>
      <c r="X5" s="200" t="s">
        <v>1194</v>
      </c>
      <c r="Y5" s="200" t="s">
        <v>1195</v>
      </c>
      <c r="Z5" s="200" t="s">
        <v>1196</v>
      </c>
      <c r="AA5" s="200" t="s">
        <v>1197</v>
      </c>
      <c r="AB5" s="590" t="s">
        <v>1190</v>
      </c>
    </row>
    <row r="6" spans="1:28" x14ac:dyDescent="0.55000000000000004">
      <c r="X6" s="201" t="s">
        <v>1198</v>
      </c>
      <c r="Y6" s="202" t="s">
        <v>1199</v>
      </c>
      <c r="Z6" s="201" t="s">
        <v>1200</v>
      </c>
      <c r="AA6" s="202" t="s">
        <v>1201</v>
      </c>
      <c r="AB6" s="591"/>
    </row>
    <row r="7" spans="1:28" x14ac:dyDescent="0.55000000000000004">
      <c r="X7" s="203"/>
      <c r="Y7" s="202" t="s">
        <v>1202</v>
      </c>
      <c r="Z7" s="204" t="s">
        <v>1210</v>
      </c>
      <c r="AA7" s="204" t="s">
        <v>1211</v>
      </c>
      <c r="AB7" s="591"/>
    </row>
    <row r="8" spans="1:28" ht="24.75" thickBot="1" x14ac:dyDescent="0.6">
      <c r="X8" s="205"/>
      <c r="Y8" s="205"/>
      <c r="Z8" s="206" t="s">
        <v>1203</v>
      </c>
      <c r="AA8" s="205"/>
      <c r="AB8" s="592"/>
    </row>
    <row r="9" spans="1:28" ht="25.5" thickTop="1" thickBot="1" x14ac:dyDescent="0.6">
      <c r="X9" s="207">
        <v>1</v>
      </c>
      <c r="Y9" s="207" t="s">
        <v>1204</v>
      </c>
      <c r="Z9" s="207" t="s">
        <v>1205</v>
      </c>
      <c r="AA9" s="207" t="s">
        <v>1173</v>
      </c>
      <c r="AB9" s="216" t="s">
        <v>1206</v>
      </c>
    </row>
    <row r="10" spans="1:28" ht="24.75" thickBot="1" x14ac:dyDescent="0.6">
      <c r="X10" s="208">
        <v>2</v>
      </c>
      <c r="Y10" s="208" t="s">
        <v>1204</v>
      </c>
      <c r="Z10" s="208" t="s">
        <v>1205</v>
      </c>
      <c r="AA10" s="209" t="s">
        <v>1174</v>
      </c>
      <c r="AB10" s="217" t="s">
        <v>1207</v>
      </c>
    </row>
    <row r="11" spans="1:28" ht="24.75" thickBot="1" x14ac:dyDescent="0.6">
      <c r="X11" s="212">
        <v>3</v>
      </c>
      <c r="Y11" s="212" t="s">
        <v>1204</v>
      </c>
      <c r="Z11" s="212" t="s">
        <v>1212</v>
      </c>
      <c r="AA11" s="212" t="s">
        <v>1173</v>
      </c>
      <c r="AB11" s="218" t="s">
        <v>1214</v>
      </c>
    </row>
    <row r="12" spans="1:28" ht="24.75" thickBot="1" x14ac:dyDescent="0.6">
      <c r="X12" s="213">
        <v>4</v>
      </c>
      <c r="Y12" s="213" t="s">
        <v>1204</v>
      </c>
      <c r="Z12" s="213" t="s">
        <v>1212</v>
      </c>
      <c r="AA12" s="214" t="s">
        <v>1174</v>
      </c>
      <c r="AB12" s="219" t="s">
        <v>1218</v>
      </c>
    </row>
    <row r="13" spans="1:28" ht="24.75" thickBot="1" x14ac:dyDescent="0.6">
      <c r="X13" s="210">
        <v>5</v>
      </c>
      <c r="Y13" s="211" t="s">
        <v>1174</v>
      </c>
      <c r="Z13" s="211" t="s">
        <v>1213</v>
      </c>
      <c r="AA13" s="210" t="s">
        <v>1173</v>
      </c>
      <c r="AB13" s="220" t="s">
        <v>1208</v>
      </c>
    </row>
    <row r="14" spans="1:28" ht="24.75" thickBot="1" x14ac:dyDescent="0.6">
      <c r="X14" s="213">
        <v>6</v>
      </c>
      <c r="Y14" s="214" t="s">
        <v>1174</v>
      </c>
      <c r="Z14" s="214" t="s">
        <v>1213</v>
      </c>
      <c r="AA14" s="214" t="s">
        <v>1209</v>
      </c>
      <c r="AB14" s="219" t="s">
        <v>1217</v>
      </c>
    </row>
    <row r="15" spans="1:28" ht="24.75" thickBot="1" x14ac:dyDescent="0.6">
      <c r="X15" s="212">
        <v>7</v>
      </c>
      <c r="Y15" s="215" t="s">
        <v>1174</v>
      </c>
      <c r="Z15" s="215" t="s">
        <v>1209</v>
      </c>
      <c r="AA15" s="212" t="s">
        <v>1173</v>
      </c>
      <c r="AB15" s="218" t="s">
        <v>1215</v>
      </c>
    </row>
    <row r="16" spans="1:28" x14ac:dyDescent="0.55000000000000004">
      <c r="X16" s="213">
        <v>8</v>
      </c>
      <c r="Y16" s="214" t="s">
        <v>1174</v>
      </c>
      <c r="Z16" s="214" t="s">
        <v>1209</v>
      </c>
      <c r="AA16" s="214" t="s">
        <v>1174</v>
      </c>
      <c r="AB16" s="219" t="s">
        <v>1216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7" right="0.1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tabColor rgb="FFFFC000"/>
  </sheetPr>
  <dimension ref="A1:O429"/>
  <sheetViews>
    <sheetView zoomScale="90" zoomScaleNormal="90" workbookViewId="0">
      <pane xSplit="4" ySplit="1" topLeftCell="E124" activePane="bottomRight" state="frozen"/>
      <selection activeCell="H54" sqref="H54"/>
      <selection pane="topRight" activeCell="H54" sqref="H54"/>
      <selection pane="bottomLeft" activeCell="H54" sqref="H54"/>
      <selection pane="bottomRight" activeCell="H16" sqref="H16"/>
    </sheetView>
  </sheetViews>
  <sheetFormatPr defaultColWidth="9" defaultRowHeight="24" x14ac:dyDescent="0.2"/>
  <cols>
    <col min="1" max="1" width="15.875" style="285" customWidth="1"/>
    <col min="2" max="2" width="57.125" style="284" customWidth="1"/>
    <col min="3" max="3" width="8.375" style="285" customWidth="1"/>
    <col min="4" max="4" width="33.125" style="291" customWidth="1"/>
    <col min="5" max="5" width="10.375" style="285" customWidth="1"/>
    <col min="6" max="6" width="25.625" style="284" customWidth="1"/>
    <col min="7" max="7" width="7.125" style="285" bestFit="1" customWidth="1"/>
    <col min="8" max="8" width="16.375" style="284" customWidth="1"/>
    <col min="9" max="10" width="9" style="284" customWidth="1"/>
    <col min="11" max="11" width="9" style="285" customWidth="1"/>
    <col min="12" max="12" width="16.375" style="284" customWidth="1"/>
    <col min="13" max="16384" width="9" style="284"/>
  </cols>
  <sheetData>
    <row r="1" spans="1:11" s="285" customFormat="1" ht="27" customHeight="1" x14ac:dyDescent="0.2">
      <c r="A1" s="279" t="s">
        <v>1039</v>
      </c>
      <c r="B1" s="279" t="s">
        <v>1040</v>
      </c>
      <c r="C1" s="282" t="s">
        <v>716</v>
      </c>
      <c r="D1" s="282" t="s">
        <v>717</v>
      </c>
      <c r="E1" s="292" t="s">
        <v>718</v>
      </c>
      <c r="F1" s="292" t="s">
        <v>719</v>
      </c>
      <c r="G1" s="283" t="s">
        <v>1037</v>
      </c>
      <c r="H1" s="283" t="s">
        <v>1038</v>
      </c>
      <c r="I1" s="285" t="s">
        <v>1041</v>
      </c>
      <c r="J1" s="285" t="s">
        <v>1042</v>
      </c>
      <c r="K1" s="285" t="s">
        <v>1043</v>
      </c>
    </row>
    <row r="2" spans="1:11" x14ac:dyDescent="0.2">
      <c r="A2" s="280" t="s">
        <v>140</v>
      </c>
      <c r="B2" s="270" t="s">
        <v>141</v>
      </c>
      <c r="C2" s="280" t="s">
        <v>16</v>
      </c>
      <c r="D2" s="278" t="s">
        <v>17</v>
      </c>
      <c r="E2" s="280" t="s">
        <v>975</v>
      </c>
      <c r="F2" s="270" t="s">
        <v>17</v>
      </c>
      <c r="G2" s="280">
        <v>9</v>
      </c>
      <c r="H2" s="270" t="s">
        <v>961</v>
      </c>
      <c r="I2" s="284" t="s">
        <v>1045</v>
      </c>
      <c r="K2" s="285" t="s">
        <v>1044</v>
      </c>
    </row>
    <row r="3" spans="1:11" x14ac:dyDescent="0.2">
      <c r="A3" s="280" t="s">
        <v>142</v>
      </c>
      <c r="B3" s="270" t="s">
        <v>143</v>
      </c>
      <c r="C3" s="280" t="s">
        <v>16</v>
      </c>
      <c r="D3" s="278" t="s">
        <v>17</v>
      </c>
      <c r="E3" s="280" t="s">
        <v>975</v>
      </c>
      <c r="F3" s="270" t="s">
        <v>17</v>
      </c>
      <c r="G3" s="280">
        <v>9</v>
      </c>
      <c r="H3" s="270" t="s">
        <v>966</v>
      </c>
      <c r="I3" s="284" t="s">
        <v>1045</v>
      </c>
      <c r="K3" s="285" t="s">
        <v>1044</v>
      </c>
    </row>
    <row r="4" spans="1:11" x14ac:dyDescent="0.2">
      <c r="A4" s="280" t="s">
        <v>144</v>
      </c>
      <c r="B4" s="270" t="s">
        <v>145</v>
      </c>
      <c r="C4" s="280" t="s">
        <v>16</v>
      </c>
      <c r="D4" s="278" t="s">
        <v>17</v>
      </c>
      <c r="E4" s="280" t="s">
        <v>975</v>
      </c>
      <c r="F4" s="270" t="s">
        <v>17</v>
      </c>
      <c r="G4" s="280">
        <v>9</v>
      </c>
      <c r="H4" s="270" t="s">
        <v>961</v>
      </c>
      <c r="I4" s="284" t="s">
        <v>1045</v>
      </c>
      <c r="K4" s="285" t="s">
        <v>1047</v>
      </c>
    </row>
    <row r="5" spans="1:11" x14ac:dyDescent="0.2">
      <c r="A5" s="280" t="s">
        <v>146</v>
      </c>
      <c r="B5" s="270" t="s">
        <v>147</v>
      </c>
      <c r="C5" s="280" t="s">
        <v>16</v>
      </c>
      <c r="D5" s="278" t="s">
        <v>17</v>
      </c>
      <c r="E5" s="280" t="s">
        <v>975</v>
      </c>
      <c r="F5" s="270" t="s">
        <v>17</v>
      </c>
      <c r="G5" s="280">
        <v>9</v>
      </c>
      <c r="H5" s="270" t="s">
        <v>961</v>
      </c>
      <c r="I5" s="284" t="s">
        <v>1045</v>
      </c>
      <c r="K5" s="285">
        <v>2560</v>
      </c>
    </row>
    <row r="6" spans="1:11" x14ac:dyDescent="0.2">
      <c r="A6" s="280" t="s">
        <v>148</v>
      </c>
      <c r="B6" s="270" t="s">
        <v>1046</v>
      </c>
      <c r="C6" s="280" t="s">
        <v>16</v>
      </c>
      <c r="D6" s="278" t="s">
        <v>17</v>
      </c>
      <c r="E6" s="280" t="s">
        <v>975</v>
      </c>
      <c r="F6" s="270" t="s">
        <v>17</v>
      </c>
      <c r="G6" s="280">
        <v>9</v>
      </c>
      <c r="H6" s="270" t="s">
        <v>962</v>
      </c>
      <c r="I6" s="284" t="s">
        <v>1045</v>
      </c>
      <c r="K6" s="285" t="s">
        <v>1047</v>
      </c>
    </row>
    <row r="7" spans="1:11" x14ac:dyDescent="0.2">
      <c r="A7" s="280" t="s">
        <v>149</v>
      </c>
      <c r="B7" s="270" t="s">
        <v>150</v>
      </c>
      <c r="C7" s="280" t="s">
        <v>16</v>
      </c>
      <c r="D7" s="278" t="s">
        <v>17</v>
      </c>
      <c r="E7" s="280" t="s">
        <v>975</v>
      </c>
      <c r="F7" s="270" t="s">
        <v>17</v>
      </c>
      <c r="G7" s="280">
        <v>9</v>
      </c>
      <c r="H7" s="270" t="s">
        <v>964</v>
      </c>
      <c r="I7" s="284" t="s">
        <v>1045</v>
      </c>
      <c r="K7" s="285" t="s">
        <v>1047</v>
      </c>
    </row>
    <row r="8" spans="1:11" x14ac:dyDescent="0.2">
      <c r="A8" s="280" t="s">
        <v>151</v>
      </c>
      <c r="B8" s="270" t="s">
        <v>172</v>
      </c>
      <c r="C8" s="280" t="s">
        <v>16</v>
      </c>
      <c r="D8" s="278" t="s">
        <v>17</v>
      </c>
      <c r="E8" s="280" t="s">
        <v>975</v>
      </c>
      <c r="F8" s="270" t="s">
        <v>17</v>
      </c>
      <c r="G8" s="280">
        <v>9</v>
      </c>
      <c r="H8" s="270" t="s">
        <v>964</v>
      </c>
      <c r="I8" s="284" t="s">
        <v>1045</v>
      </c>
      <c r="K8" s="285" t="s">
        <v>1047</v>
      </c>
    </row>
    <row r="9" spans="1:11" x14ac:dyDescent="0.2">
      <c r="A9" s="280" t="s">
        <v>152</v>
      </c>
      <c r="B9" s="270" t="s">
        <v>174</v>
      </c>
      <c r="C9" s="280" t="s">
        <v>16</v>
      </c>
      <c r="D9" s="278" t="s">
        <v>17</v>
      </c>
      <c r="E9" s="280" t="s">
        <v>975</v>
      </c>
      <c r="F9" s="270" t="s">
        <v>17</v>
      </c>
      <c r="G9" s="280">
        <v>9</v>
      </c>
      <c r="H9" s="270" t="s">
        <v>961</v>
      </c>
      <c r="I9" s="284" t="s">
        <v>1045</v>
      </c>
      <c r="K9" s="285" t="s">
        <v>1047</v>
      </c>
    </row>
    <row r="10" spans="1:11" x14ac:dyDescent="0.2">
      <c r="A10" s="280" t="s">
        <v>153</v>
      </c>
      <c r="B10" s="270" t="s">
        <v>154</v>
      </c>
      <c r="C10" s="280" t="s">
        <v>16</v>
      </c>
      <c r="D10" s="278" t="s">
        <v>17</v>
      </c>
      <c r="E10" s="280" t="s">
        <v>975</v>
      </c>
      <c r="F10" s="270" t="s">
        <v>17</v>
      </c>
      <c r="G10" s="280">
        <v>9</v>
      </c>
      <c r="H10" s="270" t="s">
        <v>966</v>
      </c>
      <c r="I10" s="284" t="s">
        <v>1045</v>
      </c>
      <c r="K10" s="285" t="s">
        <v>1047</v>
      </c>
    </row>
    <row r="11" spans="1:11" x14ac:dyDescent="0.2">
      <c r="A11" s="280" t="s">
        <v>155</v>
      </c>
      <c r="B11" s="270" t="s">
        <v>156</v>
      </c>
      <c r="C11" s="280" t="s">
        <v>16</v>
      </c>
      <c r="D11" s="278" t="s">
        <v>17</v>
      </c>
      <c r="E11" s="280" t="s">
        <v>975</v>
      </c>
      <c r="F11" s="270" t="s">
        <v>17</v>
      </c>
      <c r="G11" s="280">
        <v>9</v>
      </c>
      <c r="H11" s="270" t="s">
        <v>966</v>
      </c>
      <c r="I11" s="284" t="s">
        <v>1045</v>
      </c>
      <c r="K11" s="285" t="s">
        <v>1047</v>
      </c>
    </row>
    <row r="12" spans="1:11" hidden="1" x14ac:dyDescent="0.2">
      <c r="A12" s="280" t="s">
        <v>113</v>
      </c>
      <c r="B12" s="270" t="s">
        <v>114</v>
      </c>
      <c r="C12" s="280" t="s">
        <v>12</v>
      </c>
      <c r="D12" s="278" t="s">
        <v>13</v>
      </c>
      <c r="E12" s="280" t="s">
        <v>968</v>
      </c>
      <c r="F12" s="270" t="s">
        <v>969</v>
      </c>
      <c r="G12" s="280">
        <v>8</v>
      </c>
      <c r="H12" s="270" t="s">
        <v>955</v>
      </c>
    </row>
    <row r="13" spans="1:11" hidden="1" x14ac:dyDescent="0.2">
      <c r="A13" s="280" t="s">
        <v>115</v>
      </c>
      <c r="B13" s="270" t="s">
        <v>116</v>
      </c>
      <c r="C13" s="280" t="s">
        <v>12</v>
      </c>
      <c r="D13" s="278" t="s">
        <v>13</v>
      </c>
      <c r="E13" s="280" t="s">
        <v>968</v>
      </c>
      <c r="F13" s="270" t="s">
        <v>969</v>
      </c>
      <c r="G13" s="280">
        <v>8</v>
      </c>
      <c r="H13" s="270" t="s">
        <v>957</v>
      </c>
      <c r="I13" s="284" t="s">
        <v>1045</v>
      </c>
      <c r="K13" s="285" t="s">
        <v>1044</v>
      </c>
    </row>
    <row r="14" spans="1:11" hidden="1" x14ac:dyDescent="0.2">
      <c r="A14" s="280" t="s">
        <v>796</v>
      </c>
      <c r="B14" s="270" t="s">
        <v>118</v>
      </c>
      <c r="C14" s="280" t="s">
        <v>12</v>
      </c>
      <c r="D14" s="278" t="s">
        <v>13</v>
      </c>
      <c r="E14" s="280" t="s">
        <v>968</v>
      </c>
      <c r="F14" s="270" t="s">
        <v>969</v>
      </c>
      <c r="G14" s="280">
        <v>8</v>
      </c>
      <c r="H14" s="270" t="s">
        <v>955</v>
      </c>
      <c r="I14" s="284" t="s">
        <v>1045</v>
      </c>
      <c r="K14" s="285" t="s">
        <v>1044</v>
      </c>
    </row>
    <row r="15" spans="1:11" hidden="1" x14ac:dyDescent="0.2">
      <c r="A15" s="280" t="s">
        <v>797</v>
      </c>
      <c r="B15" s="270" t="s">
        <v>119</v>
      </c>
      <c r="C15" s="280" t="s">
        <v>12</v>
      </c>
      <c r="D15" s="278" t="s">
        <v>13</v>
      </c>
      <c r="E15" s="280" t="s">
        <v>968</v>
      </c>
      <c r="F15" s="270" t="s">
        <v>969</v>
      </c>
      <c r="G15" s="280">
        <v>8</v>
      </c>
      <c r="H15" s="270" t="s">
        <v>957</v>
      </c>
      <c r="I15" s="284" t="s">
        <v>1045</v>
      </c>
      <c r="K15" s="285" t="s">
        <v>1044</v>
      </c>
    </row>
    <row r="16" spans="1:11" hidden="1" x14ac:dyDescent="0.2">
      <c r="A16" s="280" t="s">
        <v>120</v>
      </c>
      <c r="B16" s="270" t="s">
        <v>121</v>
      </c>
      <c r="C16" s="280" t="s">
        <v>12</v>
      </c>
      <c r="D16" s="278" t="s">
        <v>13</v>
      </c>
      <c r="E16" s="280" t="s">
        <v>968</v>
      </c>
      <c r="F16" s="270" t="s">
        <v>969</v>
      </c>
      <c r="G16" s="280">
        <v>8</v>
      </c>
      <c r="H16" s="270" t="s">
        <v>957</v>
      </c>
      <c r="I16" s="284" t="s">
        <v>1045</v>
      </c>
      <c r="K16" s="285" t="s">
        <v>1044</v>
      </c>
    </row>
    <row r="17" spans="1:15" hidden="1" x14ac:dyDescent="0.2">
      <c r="A17" s="280" t="s">
        <v>122</v>
      </c>
      <c r="B17" s="270" t="s">
        <v>123</v>
      </c>
      <c r="C17" s="280" t="s">
        <v>12</v>
      </c>
      <c r="D17" s="278" t="s">
        <v>13</v>
      </c>
      <c r="E17" s="280" t="s">
        <v>968</v>
      </c>
      <c r="F17" s="270" t="s">
        <v>969</v>
      </c>
      <c r="G17" s="280">
        <v>8</v>
      </c>
      <c r="H17" s="270" t="s">
        <v>955</v>
      </c>
      <c r="I17" s="284" t="s">
        <v>1045</v>
      </c>
      <c r="K17" s="285" t="s">
        <v>1044</v>
      </c>
    </row>
    <row r="18" spans="1:15" hidden="1" x14ac:dyDescent="0.2">
      <c r="A18" s="280" t="s">
        <v>798</v>
      </c>
      <c r="B18" s="270" t="s">
        <v>117</v>
      </c>
      <c r="C18" s="280" t="s">
        <v>12</v>
      </c>
      <c r="D18" s="278" t="s">
        <v>13</v>
      </c>
      <c r="E18" s="280" t="s">
        <v>968</v>
      </c>
      <c r="F18" s="270" t="s">
        <v>969</v>
      </c>
      <c r="G18" s="280">
        <v>8</v>
      </c>
      <c r="H18" s="270" t="s">
        <v>957</v>
      </c>
      <c r="I18" s="284" t="s">
        <v>1045</v>
      </c>
      <c r="K18" s="285" t="s">
        <v>1044</v>
      </c>
    </row>
    <row r="19" spans="1:15" hidden="1" x14ac:dyDescent="0.2">
      <c r="A19" s="280" t="s">
        <v>799</v>
      </c>
      <c r="B19" s="270" t="s">
        <v>80</v>
      </c>
      <c r="C19" s="280" t="s">
        <v>6</v>
      </c>
      <c r="D19" s="278" t="s">
        <v>7</v>
      </c>
      <c r="E19" s="280" t="s">
        <v>947</v>
      </c>
      <c r="F19" s="270" t="s">
        <v>948</v>
      </c>
      <c r="G19" s="280">
        <v>4</v>
      </c>
      <c r="H19" s="270" t="s">
        <v>929</v>
      </c>
      <c r="I19" s="284" t="s">
        <v>1045</v>
      </c>
      <c r="K19" s="285" t="s">
        <v>1044</v>
      </c>
    </row>
    <row r="20" spans="1:15" hidden="1" x14ac:dyDescent="0.2">
      <c r="A20" s="280" t="s">
        <v>800</v>
      </c>
      <c r="B20" s="270" t="s">
        <v>801</v>
      </c>
      <c r="C20" s="280" t="s">
        <v>2</v>
      </c>
      <c r="D20" s="278" t="s">
        <v>3</v>
      </c>
      <c r="E20" s="280" t="s">
        <v>936</v>
      </c>
      <c r="F20" s="270" t="s">
        <v>3</v>
      </c>
      <c r="G20" s="280">
        <v>162</v>
      </c>
      <c r="H20" s="270" t="s">
        <v>946</v>
      </c>
      <c r="I20" s="284" t="s">
        <v>1045</v>
      </c>
      <c r="K20" s="285" t="s">
        <v>1047</v>
      </c>
    </row>
    <row r="21" spans="1:15" hidden="1" x14ac:dyDescent="0.2">
      <c r="A21" s="280" t="s">
        <v>802</v>
      </c>
      <c r="B21" s="270" t="s">
        <v>803</v>
      </c>
      <c r="C21" s="280" t="s">
        <v>12</v>
      </c>
      <c r="D21" s="278" t="s">
        <v>13</v>
      </c>
      <c r="E21" s="280" t="s">
        <v>968</v>
      </c>
      <c r="F21" s="270" t="s">
        <v>969</v>
      </c>
      <c r="G21" s="280">
        <v>8</v>
      </c>
      <c r="H21" s="270" t="s">
        <v>954</v>
      </c>
      <c r="I21" s="284" t="s">
        <v>1045</v>
      </c>
      <c r="K21" s="285" t="s">
        <v>1044</v>
      </c>
    </row>
    <row r="22" spans="1:15" hidden="1" x14ac:dyDescent="0.2">
      <c r="A22" s="280" t="s">
        <v>72</v>
      </c>
      <c r="B22" s="270" t="s">
        <v>1048</v>
      </c>
      <c r="C22" s="280" t="s">
        <v>4</v>
      </c>
      <c r="D22" s="278" t="s">
        <v>5</v>
      </c>
      <c r="E22" s="280" t="s">
        <v>937</v>
      </c>
      <c r="F22" s="270" t="s">
        <v>938</v>
      </c>
      <c r="G22" s="280">
        <v>162</v>
      </c>
      <c r="H22" s="270" t="s">
        <v>946</v>
      </c>
      <c r="I22" s="284" t="s">
        <v>1045</v>
      </c>
      <c r="K22" s="285" t="s">
        <v>1047</v>
      </c>
    </row>
    <row r="23" spans="1:15" hidden="1" x14ac:dyDescent="0.2">
      <c r="A23" s="280" t="s">
        <v>73</v>
      </c>
      <c r="B23" s="270" t="s">
        <v>1049</v>
      </c>
      <c r="C23" s="280" t="s">
        <v>4</v>
      </c>
      <c r="D23" s="278" t="s">
        <v>5</v>
      </c>
      <c r="E23" s="280" t="s">
        <v>939</v>
      </c>
      <c r="F23" s="270" t="s">
        <v>940</v>
      </c>
      <c r="G23" s="280">
        <v>4</v>
      </c>
      <c r="H23" s="270" t="s">
        <v>929</v>
      </c>
      <c r="I23" s="284" t="s">
        <v>1045</v>
      </c>
      <c r="K23" s="285" t="s">
        <v>1044</v>
      </c>
    </row>
    <row r="24" spans="1:15" hidden="1" x14ac:dyDescent="0.2">
      <c r="A24" s="280" t="s">
        <v>124</v>
      </c>
      <c r="B24" s="270" t="s">
        <v>1050</v>
      </c>
      <c r="C24" s="280" t="s">
        <v>12</v>
      </c>
      <c r="D24" s="278" t="s">
        <v>13</v>
      </c>
      <c r="E24" s="280" t="s">
        <v>970</v>
      </c>
      <c r="F24" s="270" t="s">
        <v>971</v>
      </c>
      <c r="G24" s="280">
        <v>4</v>
      </c>
      <c r="H24" s="270" t="s">
        <v>933</v>
      </c>
      <c r="I24" s="284" t="s">
        <v>1045</v>
      </c>
      <c r="K24" s="285" t="s">
        <v>1047</v>
      </c>
    </row>
    <row r="25" spans="1:15" hidden="1" x14ac:dyDescent="0.2">
      <c r="A25" s="280" t="s">
        <v>125</v>
      </c>
      <c r="B25" s="270" t="s">
        <v>1051</v>
      </c>
      <c r="C25" s="280" t="s">
        <v>12</v>
      </c>
      <c r="D25" s="278" t="s">
        <v>13</v>
      </c>
      <c r="E25" s="280" t="s">
        <v>972</v>
      </c>
      <c r="F25" s="270" t="s">
        <v>973</v>
      </c>
      <c r="G25" s="280">
        <v>4</v>
      </c>
      <c r="H25" s="270" t="s">
        <v>933</v>
      </c>
      <c r="I25" s="284" t="s">
        <v>1045</v>
      </c>
      <c r="K25" s="285" t="s">
        <v>1047</v>
      </c>
      <c r="O25" s="287"/>
    </row>
    <row r="26" spans="1:15" s="287" customFormat="1" hidden="1" x14ac:dyDescent="0.2">
      <c r="A26" s="281" t="s">
        <v>1326</v>
      </c>
      <c r="B26" s="270" t="s">
        <v>1277</v>
      </c>
      <c r="C26" s="280" t="s">
        <v>4</v>
      </c>
      <c r="D26" s="278" t="s">
        <v>5</v>
      </c>
      <c r="E26" s="280" t="s">
        <v>937</v>
      </c>
      <c r="F26" s="270" t="s">
        <v>938</v>
      </c>
      <c r="G26" s="280">
        <v>162</v>
      </c>
      <c r="H26" s="270" t="s">
        <v>946</v>
      </c>
      <c r="I26" s="286" t="s">
        <v>1045</v>
      </c>
      <c r="K26" s="288">
        <v>2562</v>
      </c>
      <c r="L26" s="284"/>
    </row>
    <row r="27" spans="1:15" s="287" customFormat="1" hidden="1" x14ac:dyDescent="0.2">
      <c r="A27" s="281" t="s">
        <v>1327</v>
      </c>
      <c r="B27" s="270" t="s">
        <v>1278</v>
      </c>
      <c r="C27" s="280" t="s">
        <v>4</v>
      </c>
      <c r="D27" s="278" t="s">
        <v>5</v>
      </c>
      <c r="E27" s="280" t="s">
        <v>939</v>
      </c>
      <c r="F27" s="270" t="s">
        <v>940</v>
      </c>
      <c r="G27" s="280">
        <v>4</v>
      </c>
      <c r="H27" s="270" t="s">
        <v>929</v>
      </c>
      <c r="I27" s="286" t="s">
        <v>1045</v>
      </c>
      <c r="K27" s="288">
        <v>2562</v>
      </c>
      <c r="L27" s="284"/>
    </row>
    <row r="28" spans="1:15" s="287" customFormat="1" hidden="1" x14ac:dyDescent="0.2">
      <c r="A28" s="281" t="s">
        <v>1328</v>
      </c>
      <c r="B28" s="270" t="s">
        <v>1279</v>
      </c>
      <c r="C28" s="280" t="s">
        <v>4</v>
      </c>
      <c r="D28" s="278" t="s">
        <v>7</v>
      </c>
      <c r="E28" s="280" t="s">
        <v>937</v>
      </c>
      <c r="F28" s="270" t="s">
        <v>640</v>
      </c>
      <c r="G28" s="280">
        <v>162</v>
      </c>
      <c r="H28" s="270" t="s">
        <v>929</v>
      </c>
      <c r="I28" s="286" t="s">
        <v>1045</v>
      </c>
      <c r="K28" s="288">
        <v>2562</v>
      </c>
      <c r="L28" s="284"/>
    </row>
    <row r="29" spans="1:15" s="287" customFormat="1" hidden="1" x14ac:dyDescent="0.2">
      <c r="A29" s="281" t="s">
        <v>1329</v>
      </c>
      <c r="B29" s="270" t="s">
        <v>1280</v>
      </c>
      <c r="C29" s="280" t="s">
        <v>4</v>
      </c>
      <c r="D29" s="278" t="s">
        <v>7</v>
      </c>
      <c r="E29" s="280" t="s">
        <v>939</v>
      </c>
      <c r="F29" s="270" t="s">
        <v>640</v>
      </c>
      <c r="G29" s="280">
        <v>4</v>
      </c>
      <c r="H29" s="270" t="s">
        <v>978</v>
      </c>
      <c r="I29" s="286" t="s">
        <v>1045</v>
      </c>
      <c r="K29" s="288">
        <v>2562</v>
      </c>
      <c r="L29" s="284"/>
      <c r="O29" s="284"/>
    </row>
    <row r="30" spans="1:15" hidden="1" x14ac:dyDescent="0.2">
      <c r="A30" s="280" t="s">
        <v>81</v>
      </c>
      <c r="B30" s="270" t="s">
        <v>1052</v>
      </c>
      <c r="C30" s="280" t="s">
        <v>6</v>
      </c>
      <c r="D30" s="278" t="s">
        <v>7</v>
      </c>
      <c r="E30" s="280" t="s">
        <v>949</v>
      </c>
      <c r="F30" s="270" t="s">
        <v>950</v>
      </c>
      <c r="G30" s="280">
        <v>4</v>
      </c>
      <c r="H30" s="270" t="s">
        <v>931</v>
      </c>
      <c r="I30" s="284" t="s">
        <v>1045</v>
      </c>
      <c r="K30" s="285" t="s">
        <v>1044</v>
      </c>
    </row>
    <row r="31" spans="1:15" hidden="1" x14ac:dyDescent="0.2">
      <c r="A31" s="280" t="s">
        <v>82</v>
      </c>
      <c r="B31" s="270" t="s">
        <v>1053</v>
      </c>
      <c r="C31" s="280" t="s">
        <v>6</v>
      </c>
      <c r="D31" s="278" t="s">
        <v>7</v>
      </c>
      <c r="E31" s="280" t="s">
        <v>951</v>
      </c>
      <c r="F31" s="270" t="s">
        <v>952</v>
      </c>
      <c r="G31" s="280">
        <v>4</v>
      </c>
      <c r="H31" s="270" t="s">
        <v>929</v>
      </c>
      <c r="I31" s="284" t="s">
        <v>1045</v>
      </c>
      <c r="K31" s="285" t="s">
        <v>1044</v>
      </c>
    </row>
    <row r="32" spans="1:15" hidden="1" x14ac:dyDescent="0.2">
      <c r="A32" s="280" t="s">
        <v>83</v>
      </c>
      <c r="B32" s="270" t="s">
        <v>84</v>
      </c>
      <c r="C32" s="280" t="s">
        <v>6</v>
      </c>
      <c r="D32" s="278" t="s">
        <v>7</v>
      </c>
      <c r="E32" s="280" t="s">
        <v>953</v>
      </c>
      <c r="F32" s="270" t="s">
        <v>640</v>
      </c>
      <c r="G32" s="280">
        <v>4</v>
      </c>
      <c r="H32" s="270" t="s">
        <v>929</v>
      </c>
      <c r="I32" s="284" t="s">
        <v>1045</v>
      </c>
      <c r="K32" s="285" t="s">
        <v>1044</v>
      </c>
    </row>
    <row r="33" spans="1:11" hidden="1" x14ac:dyDescent="0.2">
      <c r="A33" s="280" t="s">
        <v>85</v>
      </c>
      <c r="B33" s="270" t="s">
        <v>86</v>
      </c>
      <c r="C33" s="280" t="s">
        <v>6</v>
      </c>
      <c r="D33" s="278" t="s">
        <v>7</v>
      </c>
      <c r="E33" s="280" t="s">
        <v>953</v>
      </c>
      <c r="F33" s="270" t="s">
        <v>640</v>
      </c>
      <c r="G33" s="280">
        <v>33</v>
      </c>
      <c r="H33" s="270" t="s">
        <v>978</v>
      </c>
      <c r="I33" s="284" t="s">
        <v>1045</v>
      </c>
      <c r="K33" s="285" t="s">
        <v>1044</v>
      </c>
    </row>
    <row r="34" spans="1:11" hidden="1" x14ac:dyDescent="0.2">
      <c r="A34" s="280" t="s">
        <v>126</v>
      </c>
      <c r="B34" s="270" t="s">
        <v>1054</v>
      </c>
      <c r="C34" s="280" t="s">
        <v>12</v>
      </c>
      <c r="D34" s="278" t="s">
        <v>13</v>
      </c>
      <c r="E34" s="280" t="s">
        <v>970</v>
      </c>
      <c r="F34" s="270" t="s">
        <v>971</v>
      </c>
      <c r="G34" s="280">
        <v>4</v>
      </c>
      <c r="H34" s="270" t="s">
        <v>933</v>
      </c>
      <c r="I34" s="284" t="s">
        <v>1045</v>
      </c>
      <c r="K34" s="285" t="s">
        <v>1047</v>
      </c>
    </row>
    <row r="35" spans="1:11" hidden="1" x14ac:dyDescent="0.2">
      <c r="A35" s="280" t="s">
        <v>127</v>
      </c>
      <c r="B35" s="270" t="s">
        <v>1055</v>
      </c>
      <c r="C35" s="280" t="s">
        <v>12</v>
      </c>
      <c r="D35" s="278" t="s">
        <v>13</v>
      </c>
      <c r="E35" s="280" t="s">
        <v>972</v>
      </c>
      <c r="F35" s="270" t="s">
        <v>973</v>
      </c>
      <c r="G35" s="280">
        <v>4</v>
      </c>
      <c r="H35" s="270" t="s">
        <v>933</v>
      </c>
      <c r="I35" s="284" t="s">
        <v>1045</v>
      </c>
      <c r="K35" s="285" t="s">
        <v>1047</v>
      </c>
    </row>
    <row r="36" spans="1:11" hidden="1" x14ac:dyDescent="0.2">
      <c r="A36" s="280" t="s">
        <v>74</v>
      </c>
      <c r="B36" s="270" t="s">
        <v>1056</v>
      </c>
      <c r="C36" s="280" t="s">
        <v>941</v>
      </c>
      <c r="D36" s="278" t="s">
        <v>702</v>
      </c>
      <c r="E36" s="280" t="s">
        <v>942</v>
      </c>
      <c r="F36" s="270" t="s">
        <v>943</v>
      </c>
      <c r="G36" s="280">
        <v>25</v>
      </c>
      <c r="H36" s="270" t="s">
        <v>1033</v>
      </c>
      <c r="I36" s="284" t="s">
        <v>1045</v>
      </c>
      <c r="K36" s="285" t="s">
        <v>1044</v>
      </c>
    </row>
    <row r="37" spans="1:11" hidden="1" x14ac:dyDescent="0.2">
      <c r="A37" s="280" t="s">
        <v>75</v>
      </c>
      <c r="B37" s="270" t="s">
        <v>1283</v>
      </c>
      <c r="C37" s="280" t="s">
        <v>941</v>
      </c>
      <c r="D37" s="278" t="s">
        <v>702</v>
      </c>
      <c r="E37" s="280" t="s">
        <v>944</v>
      </c>
      <c r="F37" s="270" t="s">
        <v>945</v>
      </c>
      <c r="G37" s="280">
        <v>25</v>
      </c>
      <c r="H37" s="270" t="s">
        <v>1033</v>
      </c>
      <c r="I37" s="284" t="s">
        <v>1045</v>
      </c>
      <c r="K37" s="285" t="s">
        <v>1044</v>
      </c>
    </row>
    <row r="38" spans="1:11" hidden="1" x14ac:dyDescent="0.2">
      <c r="A38" s="280" t="s">
        <v>76</v>
      </c>
      <c r="B38" s="270" t="s">
        <v>77</v>
      </c>
      <c r="C38" s="280" t="s">
        <v>941</v>
      </c>
      <c r="D38" s="278" t="s">
        <v>702</v>
      </c>
      <c r="E38" s="280" t="s">
        <v>946</v>
      </c>
      <c r="F38" s="270" t="s">
        <v>641</v>
      </c>
      <c r="G38" s="280">
        <v>25</v>
      </c>
      <c r="H38" s="270" t="s">
        <v>1033</v>
      </c>
      <c r="I38" s="284" t="s">
        <v>1045</v>
      </c>
      <c r="K38" s="285" t="s">
        <v>1044</v>
      </c>
    </row>
    <row r="39" spans="1:11" hidden="1" x14ac:dyDescent="0.2">
      <c r="A39" s="280" t="s">
        <v>78</v>
      </c>
      <c r="B39" s="270" t="s">
        <v>79</v>
      </c>
      <c r="C39" s="280" t="s">
        <v>941</v>
      </c>
      <c r="D39" s="278" t="s">
        <v>702</v>
      </c>
      <c r="E39" s="280" t="s">
        <v>946</v>
      </c>
      <c r="F39" s="270" t="s">
        <v>641</v>
      </c>
      <c r="G39" s="280">
        <v>25</v>
      </c>
      <c r="H39" s="270" t="s">
        <v>1033</v>
      </c>
      <c r="I39" s="284" t="s">
        <v>1045</v>
      </c>
      <c r="K39" s="285" t="s">
        <v>1044</v>
      </c>
    </row>
    <row r="40" spans="1:11" hidden="1" x14ac:dyDescent="0.2">
      <c r="A40" s="280" t="s">
        <v>804</v>
      </c>
      <c r="B40" s="270" t="s">
        <v>1281</v>
      </c>
      <c r="C40" s="280" t="s">
        <v>941</v>
      </c>
      <c r="D40" s="278" t="s">
        <v>702</v>
      </c>
      <c r="E40" s="280" t="s">
        <v>942</v>
      </c>
      <c r="F40" s="270" t="s">
        <v>943</v>
      </c>
      <c r="G40" s="280">
        <v>25</v>
      </c>
      <c r="H40" s="270" t="s">
        <v>1033</v>
      </c>
      <c r="I40" s="289" t="s">
        <v>1045</v>
      </c>
      <c r="J40" s="284">
        <v>1</v>
      </c>
      <c r="K40" s="285" t="s">
        <v>1044</v>
      </c>
    </row>
    <row r="41" spans="1:11" hidden="1" x14ac:dyDescent="0.2">
      <c r="A41" s="280" t="s">
        <v>805</v>
      </c>
      <c r="B41" s="270" t="s">
        <v>1282</v>
      </c>
      <c r="C41" s="280" t="s">
        <v>941</v>
      </c>
      <c r="D41" s="278" t="s">
        <v>702</v>
      </c>
      <c r="E41" s="280" t="s">
        <v>944</v>
      </c>
      <c r="F41" s="270" t="s">
        <v>945</v>
      </c>
      <c r="G41" s="280">
        <v>25</v>
      </c>
      <c r="H41" s="270" t="s">
        <v>1033</v>
      </c>
      <c r="I41" s="289" t="s">
        <v>1045</v>
      </c>
      <c r="K41" s="285" t="s">
        <v>1044</v>
      </c>
    </row>
    <row r="42" spans="1:11" hidden="1" x14ac:dyDescent="0.2">
      <c r="A42" s="280" t="s">
        <v>806</v>
      </c>
      <c r="B42" s="270" t="s">
        <v>1284</v>
      </c>
      <c r="C42" s="280" t="s">
        <v>941</v>
      </c>
      <c r="D42" s="278" t="s">
        <v>702</v>
      </c>
      <c r="E42" s="280" t="s">
        <v>946</v>
      </c>
      <c r="F42" s="270" t="s">
        <v>641</v>
      </c>
      <c r="G42" s="280">
        <v>25</v>
      </c>
      <c r="H42" s="270" t="s">
        <v>1033</v>
      </c>
      <c r="I42" s="289" t="s">
        <v>1045</v>
      </c>
      <c r="K42" s="285" t="s">
        <v>1044</v>
      </c>
    </row>
    <row r="43" spans="1:11" hidden="1" x14ac:dyDescent="0.2">
      <c r="A43" s="280" t="s">
        <v>807</v>
      </c>
      <c r="B43" s="270" t="s">
        <v>1285</v>
      </c>
      <c r="C43" s="280" t="s">
        <v>941</v>
      </c>
      <c r="D43" s="278" t="s">
        <v>702</v>
      </c>
      <c r="E43" s="280" t="s">
        <v>946</v>
      </c>
      <c r="F43" s="270" t="s">
        <v>641</v>
      </c>
      <c r="G43" s="280">
        <v>25</v>
      </c>
      <c r="H43" s="270" t="s">
        <v>1033</v>
      </c>
      <c r="I43" s="289" t="s">
        <v>1045</v>
      </c>
      <c r="K43" s="285" t="s">
        <v>1044</v>
      </c>
    </row>
    <row r="44" spans="1:11" hidden="1" x14ac:dyDescent="0.2">
      <c r="A44" s="280" t="s">
        <v>45</v>
      </c>
      <c r="B44" s="270" t="s">
        <v>1057</v>
      </c>
      <c r="C44" s="280" t="s">
        <v>0</v>
      </c>
      <c r="D44" s="278" t="s">
        <v>1</v>
      </c>
      <c r="E44" s="280" t="s">
        <v>929</v>
      </c>
      <c r="F44" s="270" t="s">
        <v>930</v>
      </c>
      <c r="G44" s="280">
        <v>12</v>
      </c>
      <c r="H44" s="270" t="s">
        <v>975</v>
      </c>
      <c r="I44" s="284" t="s">
        <v>1045</v>
      </c>
      <c r="K44" s="285" t="s">
        <v>1044</v>
      </c>
    </row>
    <row r="45" spans="1:11" hidden="1" x14ac:dyDescent="0.2">
      <c r="A45" s="280" t="s">
        <v>46</v>
      </c>
      <c r="B45" s="270" t="s">
        <v>1058</v>
      </c>
      <c r="C45" s="280" t="s">
        <v>0</v>
      </c>
      <c r="D45" s="278" t="s">
        <v>1</v>
      </c>
      <c r="E45" s="280" t="s">
        <v>931</v>
      </c>
      <c r="F45" s="270" t="s">
        <v>932</v>
      </c>
      <c r="G45" s="280">
        <v>12</v>
      </c>
      <c r="H45" s="270" t="s">
        <v>975</v>
      </c>
      <c r="I45" s="284" t="s">
        <v>1045</v>
      </c>
      <c r="K45" s="285" t="s">
        <v>1044</v>
      </c>
    </row>
    <row r="46" spans="1:11" hidden="1" x14ac:dyDescent="0.2">
      <c r="A46" s="280" t="s">
        <v>47</v>
      </c>
      <c r="B46" s="270" t="s">
        <v>1059</v>
      </c>
      <c r="C46" s="280" t="s">
        <v>0</v>
      </c>
      <c r="D46" s="278" t="s">
        <v>1</v>
      </c>
      <c r="E46" s="280" t="s">
        <v>929</v>
      </c>
      <c r="F46" s="270" t="s">
        <v>930</v>
      </c>
      <c r="G46" s="280">
        <v>12</v>
      </c>
      <c r="H46" s="270" t="s">
        <v>975</v>
      </c>
      <c r="I46" s="284" t="s">
        <v>1045</v>
      </c>
      <c r="K46" s="285" t="s">
        <v>1044</v>
      </c>
    </row>
    <row r="47" spans="1:11" hidden="1" x14ac:dyDescent="0.2">
      <c r="A47" s="280" t="s">
        <v>48</v>
      </c>
      <c r="B47" s="270" t="s">
        <v>1060</v>
      </c>
      <c r="C47" s="280" t="s">
        <v>0</v>
      </c>
      <c r="D47" s="278" t="s">
        <v>1</v>
      </c>
      <c r="E47" s="280" t="s">
        <v>929</v>
      </c>
      <c r="F47" s="270" t="s">
        <v>930</v>
      </c>
      <c r="G47" s="280">
        <v>12</v>
      </c>
      <c r="H47" s="270" t="s">
        <v>975</v>
      </c>
      <c r="I47" s="284" t="s">
        <v>1045</v>
      </c>
      <c r="K47" s="285" t="s">
        <v>1044</v>
      </c>
    </row>
    <row r="48" spans="1:11" hidden="1" x14ac:dyDescent="0.2">
      <c r="A48" s="280" t="s">
        <v>49</v>
      </c>
      <c r="B48" s="270" t="s">
        <v>1061</v>
      </c>
      <c r="C48" s="280" t="s">
        <v>0</v>
      </c>
      <c r="D48" s="278" t="s">
        <v>1</v>
      </c>
      <c r="E48" s="280" t="s">
        <v>929</v>
      </c>
      <c r="F48" s="270" t="s">
        <v>930</v>
      </c>
      <c r="G48" s="280">
        <v>12</v>
      </c>
      <c r="H48" s="270" t="s">
        <v>975</v>
      </c>
      <c r="I48" s="284" t="s">
        <v>1045</v>
      </c>
      <c r="K48" s="285" t="s">
        <v>1044</v>
      </c>
    </row>
    <row r="49" spans="1:11" hidden="1" x14ac:dyDescent="0.2">
      <c r="A49" s="280" t="s">
        <v>210</v>
      </c>
      <c r="B49" s="270" t="s">
        <v>211</v>
      </c>
      <c r="C49" s="280" t="s">
        <v>18</v>
      </c>
      <c r="D49" s="278" t="s">
        <v>661</v>
      </c>
      <c r="E49" s="280" t="s">
        <v>978</v>
      </c>
      <c r="F49" s="270" t="s">
        <v>645</v>
      </c>
      <c r="G49" s="280">
        <v>12</v>
      </c>
      <c r="H49" s="270" t="s">
        <v>975</v>
      </c>
      <c r="I49" s="284" t="s">
        <v>1045</v>
      </c>
      <c r="K49" s="285" t="s">
        <v>1044</v>
      </c>
    </row>
    <row r="50" spans="1:11" hidden="1" x14ac:dyDescent="0.2">
      <c r="A50" s="280" t="s">
        <v>50</v>
      </c>
      <c r="B50" s="270" t="s">
        <v>1062</v>
      </c>
      <c r="C50" s="280" t="s">
        <v>0</v>
      </c>
      <c r="D50" s="278" t="s">
        <v>1</v>
      </c>
      <c r="E50" s="280" t="s">
        <v>929</v>
      </c>
      <c r="F50" s="270" t="s">
        <v>930</v>
      </c>
      <c r="G50" s="280">
        <v>6</v>
      </c>
      <c r="H50" s="270" t="s">
        <v>937</v>
      </c>
      <c r="I50" s="284" t="s">
        <v>1045</v>
      </c>
      <c r="J50" s="284">
        <v>1</v>
      </c>
      <c r="K50" s="285" t="s">
        <v>1044</v>
      </c>
    </row>
    <row r="51" spans="1:11" hidden="1" x14ac:dyDescent="0.2">
      <c r="A51" s="280" t="s">
        <v>51</v>
      </c>
      <c r="B51" s="270" t="s">
        <v>1063</v>
      </c>
      <c r="C51" s="280" t="s">
        <v>0</v>
      </c>
      <c r="D51" s="278" t="s">
        <v>1</v>
      </c>
      <c r="E51" s="280" t="s">
        <v>934</v>
      </c>
      <c r="F51" s="270" t="s">
        <v>935</v>
      </c>
      <c r="G51" s="280">
        <v>10</v>
      </c>
      <c r="H51" s="270" t="s">
        <v>968</v>
      </c>
      <c r="I51" s="284" t="s">
        <v>1045</v>
      </c>
      <c r="K51" s="285" t="s">
        <v>1047</v>
      </c>
    </row>
    <row r="52" spans="1:11" hidden="1" x14ac:dyDescent="0.2">
      <c r="A52" s="280" t="s">
        <v>52</v>
      </c>
      <c r="B52" s="270" t="s">
        <v>1064</v>
      </c>
      <c r="C52" s="280" t="s">
        <v>0</v>
      </c>
      <c r="D52" s="278" t="s">
        <v>1</v>
      </c>
      <c r="E52" s="280" t="s">
        <v>929</v>
      </c>
      <c r="F52" s="270" t="s">
        <v>930</v>
      </c>
      <c r="G52" s="280">
        <v>12</v>
      </c>
      <c r="H52" s="270" t="s">
        <v>975</v>
      </c>
      <c r="I52" s="284" t="s">
        <v>1045</v>
      </c>
      <c r="K52" s="285" t="s">
        <v>1044</v>
      </c>
    </row>
    <row r="53" spans="1:11" hidden="1" x14ac:dyDescent="0.2">
      <c r="A53" s="280" t="s">
        <v>53</v>
      </c>
      <c r="B53" s="270" t="s">
        <v>54</v>
      </c>
      <c r="C53" s="280" t="s">
        <v>0</v>
      </c>
      <c r="D53" s="278" t="s">
        <v>1</v>
      </c>
      <c r="E53" s="280" t="s">
        <v>934</v>
      </c>
      <c r="F53" s="270" t="s">
        <v>935</v>
      </c>
      <c r="G53" s="280">
        <v>10</v>
      </c>
      <c r="H53" s="270" t="s">
        <v>968</v>
      </c>
      <c r="I53" s="284" t="s">
        <v>1045</v>
      </c>
      <c r="K53" s="285" t="s">
        <v>1047</v>
      </c>
    </row>
    <row r="54" spans="1:11" hidden="1" x14ac:dyDescent="0.2">
      <c r="A54" s="280" t="s">
        <v>55</v>
      </c>
      <c r="B54" s="270" t="s">
        <v>1065</v>
      </c>
      <c r="C54" s="280" t="s">
        <v>0</v>
      </c>
      <c r="D54" s="278" t="s">
        <v>1</v>
      </c>
      <c r="E54" s="280" t="s">
        <v>934</v>
      </c>
      <c r="F54" s="270" t="s">
        <v>935</v>
      </c>
      <c r="G54" s="280">
        <v>10</v>
      </c>
      <c r="H54" s="270" t="s">
        <v>968</v>
      </c>
      <c r="I54" s="284" t="s">
        <v>1045</v>
      </c>
      <c r="K54" s="285" t="s">
        <v>1044</v>
      </c>
    </row>
    <row r="55" spans="1:11" hidden="1" x14ac:dyDescent="0.2">
      <c r="A55" s="280" t="s">
        <v>56</v>
      </c>
      <c r="B55" s="270" t="s">
        <v>57</v>
      </c>
      <c r="C55" s="280" t="s">
        <v>0</v>
      </c>
      <c r="D55" s="278" t="s">
        <v>1</v>
      </c>
      <c r="E55" s="280" t="s">
        <v>934</v>
      </c>
      <c r="F55" s="270" t="s">
        <v>935</v>
      </c>
      <c r="G55" s="280">
        <v>10</v>
      </c>
      <c r="H55" s="270" t="s">
        <v>968</v>
      </c>
      <c r="I55" s="284" t="s">
        <v>1045</v>
      </c>
      <c r="K55" s="285" t="s">
        <v>1044</v>
      </c>
    </row>
    <row r="56" spans="1:11" hidden="1" x14ac:dyDescent="0.2">
      <c r="A56" s="280" t="s">
        <v>58</v>
      </c>
      <c r="B56" s="270" t="s">
        <v>1066</v>
      </c>
      <c r="C56" s="280" t="s">
        <v>0</v>
      </c>
      <c r="D56" s="278" t="s">
        <v>1</v>
      </c>
      <c r="E56" s="280" t="s">
        <v>933</v>
      </c>
      <c r="F56" s="270" t="s">
        <v>639</v>
      </c>
      <c r="G56" s="280">
        <v>6</v>
      </c>
      <c r="H56" s="270" t="s">
        <v>939</v>
      </c>
      <c r="I56" s="284" t="s">
        <v>1045</v>
      </c>
      <c r="K56" s="285" t="s">
        <v>1044</v>
      </c>
    </row>
    <row r="57" spans="1:11" hidden="1" x14ac:dyDescent="0.2">
      <c r="A57" s="280" t="s">
        <v>59</v>
      </c>
      <c r="B57" s="270" t="s">
        <v>1067</v>
      </c>
      <c r="C57" s="280" t="s">
        <v>0</v>
      </c>
      <c r="D57" s="278" t="s">
        <v>1</v>
      </c>
      <c r="E57" s="280" t="s">
        <v>933</v>
      </c>
      <c r="F57" s="270" t="s">
        <v>639</v>
      </c>
      <c r="G57" s="280">
        <v>10</v>
      </c>
      <c r="H57" s="270" t="s">
        <v>970</v>
      </c>
      <c r="I57" s="284" t="s">
        <v>1045</v>
      </c>
      <c r="K57" s="285" t="s">
        <v>1044</v>
      </c>
    </row>
    <row r="58" spans="1:11" hidden="1" x14ac:dyDescent="0.2">
      <c r="A58" s="280" t="s">
        <v>60</v>
      </c>
      <c r="B58" s="270" t="s">
        <v>1068</v>
      </c>
      <c r="C58" s="280" t="s">
        <v>0</v>
      </c>
      <c r="D58" s="278" t="s">
        <v>1</v>
      </c>
      <c r="E58" s="280" t="s">
        <v>933</v>
      </c>
      <c r="F58" s="270" t="s">
        <v>639</v>
      </c>
      <c r="G58" s="280">
        <v>10</v>
      </c>
      <c r="H58" s="270" t="s">
        <v>972</v>
      </c>
      <c r="I58" s="284" t="s">
        <v>1045</v>
      </c>
      <c r="K58" s="285" t="s">
        <v>1044</v>
      </c>
    </row>
    <row r="59" spans="1:11" hidden="1" x14ac:dyDescent="0.2">
      <c r="A59" s="280" t="s">
        <v>61</v>
      </c>
      <c r="B59" s="270" t="s">
        <v>1069</v>
      </c>
      <c r="C59" s="280" t="s">
        <v>0</v>
      </c>
      <c r="D59" s="278" t="s">
        <v>1</v>
      </c>
      <c r="E59" s="280" t="s">
        <v>933</v>
      </c>
      <c r="F59" s="270" t="s">
        <v>639</v>
      </c>
      <c r="G59" s="280">
        <v>7</v>
      </c>
      <c r="H59" s="270" t="s">
        <v>949</v>
      </c>
      <c r="I59" s="284" t="s">
        <v>1045</v>
      </c>
      <c r="K59" s="285" t="s">
        <v>1044</v>
      </c>
    </row>
    <row r="60" spans="1:11" hidden="1" x14ac:dyDescent="0.2">
      <c r="A60" s="281">
        <v>4301020105.2399998</v>
      </c>
      <c r="B60" s="270" t="s">
        <v>1070</v>
      </c>
      <c r="C60" s="280" t="s">
        <v>0</v>
      </c>
      <c r="D60" s="278" t="s">
        <v>1</v>
      </c>
      <c r="E60" s="280" t="s">
        <v>933</v>
      </c>
      <c r="F60" s="270" t="s">
        <v>639</v>
      </c>
      <c r="G60" s="280">
        <v>7</v>
      </c>
      <c r="H60" s="270" t="s">
        <v>951</v>
      </c>
      <c r="I60" s="284" t="s">
        <v>1045</v>
      </c>
      <c r="K60" s="285" t="s">
        <v>1044</v>
      </c>
    </row>
    <row r="61" spans="1:11" hidden="1" x14ac:dyDescent="0.2">
      <c r="A61" s="280" t="s">
        <v>63</v>
      </c>
      <c r="B61" s="270" t="s">
        <v>1071</v>
      </c>
      <c r="C61" s="280" t="s">
        <v>0</v>
      </c>
      <c r="D61" s="278" t="s">
        <v>1</v>
      </c>
      <c r="E61" s="280" t="s">
        <v>929</v>
      </c>
      <c r="F61" s="270" t="s">
        <v>930</v>
      </c>
      <c r="G61" s="280">
        <v>12</v>
      </c>
      <c r="H61" s="270" t="s">
        <v>975</v>
      </c>
      <c r="I61" s="284" t="s">
        <v>1045</v>
      </c>
      <c r="K61" s="285" t="s">
        <v>1044</v>
      </c>
    </row>
    <row r="62" spans="1:11" hidden="1" x14ac:dyDescent="0.2">
      <c r="A62" s="280" t="s">
        <v>64</v>
      </c>
      <c r="B62" s="270" t="s">
        <v>65</v>
      </c>
      <c r="C62" s="280" t="s">
        <v>0</v>
      </c>
      <c r="D62" s="278" t="s">
        <v>1</v>
      </c>
      <c r="E62" s="280" t="s">
        <v>934</v>
      </c>
      <c r="F62" s="270" t="s">
        <v>935</v>
      </c>
      <c r="G62" s="280">
        <v>10</v>
      </c>
      <c r="H62" s="270" t="s">
        <v>968</v>
      </c>
      <c r="I62" s="284" t="s">
        <v>1045</v>
      </c>
      <c r="K62" s="285" t="s">
        <v>1047</v>
      </c>
    </row>
    <row r="63" spans="1:11" hidden="1" x14ac:dyDescent="0.2">
      <c r="A63" s="280" t="s">
        <v>66</v>
      </c>
      <c r="B63" s="270" t="s">
        <v>67</v>
      </c>
      <c r="C63" s="280" t="s">
        <v>0</v>
      </c>
      <c r="D63" s="278" t="s">
        <v>1</v>
      </c>
      <c r="E63" s="280" t="s">
        <v>934</v>
      </c>
      <c r="F63" s="270" t="s">
        <v>935</v>
      </c>
      <c r="G63" s="280">
        <v>7</v>
      </c>
      <c r="H63" s="270" t="s">
        <v>947</v>
      </c>
      <c r="I63" s="284" t="s">
        <v>1045</v>
      </c>
      <c r="K63" s="285" t="s">
        <v>1047</v>
      </c>
    </row>
    <row r="64" spans="1:11" hidden="1" x14ac:dyDescent="0.2">
      <c r="A64" s="280" t="s">
        <v>68</v>
      </c>
      <c r="B64" s="270" t="s">
        <v>1286</v>
      </c>
      <c r="C64" s="280" t="s">
        <v>0</v>
      </c>
      <c r="D64" s="278" t="s">
        <v>1</v>
      </c>
      <c r="E64" s="280" t="s">
        <v>929</v>
      </c>
      <c r="F64" s="270" t="s">
        <v>930</v>
      </c>
      <c r="G64" s="280">
        <v>12</v>
      </c>
      <c r="H64" s="270" t="s">
        <v>975</v>
      </c>
      <c r="I64" s="284" t="s">
        <v>1045</v>
      </c>
      <c r="K64" s="285" t="s">
        <v>1044</v>
      </c>
    </row>
    <row r="65" spans="1:11" hidden="1" x14ac:dyDescent="0.2">
      <c r="A65" s="280" t="s">
        <v>69</v>
      </c>
      <c r="B65" s="270" t="s">
        <v>1287</v>
      </c>
      <c r="C65" s="280" t="s">
        <v>0</v>
      </c>
      <c r="D65" s="278" t="s">
        <v>1</v>
      </c>
      <c r="E65" s="280" t="s">
        <v>931</v>
      </c>
      <c r="F65" s="270" t="s">
        <v>932</v>
      </c>
      <c r="G65" s="280">
        <v>10</v>
      </c>
      <c r="H65" s="270" t="s">
        <v>968</v>
      </c>
      <c r="I65" s="284" t="s">
        <v>1045</v>
      </c>
      <c r="K65" s="285" t="s">
        <v>1044</v>
      </c>
    </row>
    <row r="66" spans="1:11" hidden="1" x14ac:dyDescent="0.2">
      <c r="A66" s="280" t="s">
        <v>70</v>
      </c>
      <c r="B66" s="270" t="s">
        <v>1072</v>
      </c>
      <c r="C66" s="280" t="s">
        <v>0</v>
      </c>
      <c r="D66" s="278" t="s">
        <v>1</v>
      </c>
      <c r="E66" s="280" t="s">
        <v>933</v>
      </c>
      <c r="F66" s="270" t="s">
        <v>639</v>
      </c>
      <c r="G66" s="280">
        <v>7</v>
      </c>
      <c r="H66" s="270" t="s">
        <v>953</v>
      </c>
      <c r="I66" s="284" t="s">
        <v>1045</v>
      </c>
      <c r="K66" s="285" t="s">
        <v>1044</v>
      </c>
    </row>
    <row r="67" spans="1:11" hidden="1" x14ac:dyDescent="0.2">
      <c r="A67" s="280" t="s">
        <v>71</v>
      </c>
      <c r="B67" s="270" t="s">
        <v>1073</v>
      </c>
      <c r="C67" s="280" t="s">
        <v>0</v>
      </c>
      <c r="D67" s="278" t="s">
        <v>1</v>
      </c>
      <c r="E67" s="280" t="s">
        <v>933</v>
      </c>
      <c r="F67" s="270" t="s">
        <v>639</v>
      </c>
      <c r="G67" s="280">
        <v>7</v>
      </c>
      <c r="H67" s="270" t="s">
        <v>953</v>
      </c>
      <c r="I67" s="284" t="s">
        <v>1045</v>
      </c>
      <c r="K67" s="285" t="s">
        <v>1044</v>
      </c>
    </row>
    <row r="68" spans="1:11" hidden="1" x14ac:dyDescent="0.2">
      <c r="A68" s="280" t="s">
        <v>808</v>
      </c>
      <c r="B68" s="270" t="s">
        <v>809</v>
      </c>
      <c r="C68" s="280" t="s">
        <v>0</v>
      </c>
      <c r="D68" s="278" t="s">
        <v>1</v>
      </c>
      <c r="E68" s="280" t="s">
        <v>934</v>
      </c>
      <c r="F68" s="270" t="s">
        <v>935</v>
      </c>
      <c r="G68" s="280">
        <v>5</v>
      </c>
      <c r="H68" s="270" t="s">
        <v>936</v>
      </c>
      <c r="I68" s="284" t="s">
        <v>1045</v>
      </c>
      <c r="K68" s="285" t="s">
        <v>1047</v>
      </c>
    </row>
    <row r="69" spans="1:11" hidden="1" x14ac:dyDescent="0.2">
      <c r="A69" s="280" t="s">
        <v>810</v>
      </c>
      <c r="B69" s="270" t="s">
        <v>811</v>
      </c>
      <c r="C69" s="280" t="s">
        <v>0</v>
      </c>
      <c r="D69" s="278" t="s">
        <v>1</v>
      </c>
      <c r="E69" s="280" t="s">
        <v>934</v>
      </c>
      <c r="F69" s="270" t="s">
        <v>935</v>
      </c>
      <c r="G69" s="280">
        <v>10</v>
      </c>
      <c r="H69" s="270" t="s">
        <v>968</v>
      </c>
      <c r="I69" s="284" t="s">
        <v>1045</v>
      </c>
      <c r="K69" s="285" t="s">
        <v>1047</v>
      </c>
    </row>
    <row r="70" spans="1:11" hidden="1" x14ac:dyDescent="0.2">
      <c r="A70" s="280" t="s">
        <v>812</v>
      </c>
      <c r="B70" s="270" t="s">
        <v>813</v>
      </c>
      <c r="C70" s="280" t="s">
        <v>0</v>
      </c>
      <c r="D70" s="278" t="s">
        <v>1</v>
      </c>
      <c r="E70" s="280" t="s">
        <v>933</v>
      </c>
      <c r="F70" s="270" t="s">
        <v>639</v>
      </c>
      <c r="G70" s="280">
        <v>162</v>
      </c>
      <c r="H70" s="270" t="s">
        <v>942</v>
      </c>
      <c r="I70" s="284" t="s">
        <v>1045</v>
      </c>
      <c r="K70" s="285" t="s">
        <v>1044</v>
      </c>
    </row>
    <row r="71" spans="1:11" hidden="1" x14ac:dyDescent="0.2">
      <c r="A71" s="280" t="s">
        <v>814</v>
      </c>
      <c r="B71" s="270" t="s">
        <v>815</v>
      </c>
      <c r="C71" s="280" t="s">
        <v>0</v>
      </c>
      <c r="D71" s="278" t="s">
        <v>1</v>
      </c>
      <c r="E71" s="280" t="s">
        <v>933</v>
      </c>
      <c r="F71" s="270" t="s">
        <v>639</v>
      </c>
      <c r="G71" s="280">
        <v>162</v>
      </c>
      <c r="H71" s="270" t="s">
        <v>944</v>
      </c>
      <c r="I71" s="284" t="s">
        <v>1045</v>
      </c>
      <c r="K71" s="285" t="s">
        <v>1044</v>
      </c>
    </row>
    <row r="72" spans="1:11" hidden="1" x14ac:dyDescent="0.2">
      <c r="A72" s="280" t="s">
        <v>787</v>
      </c>
      <c r="B72" s="270" t="s">
        <v>1074</v>
      </c>
      <c r="C72" s="280" t="s">
        <v>0</v>
      </c>
      <c r="D72" s="278" t="s">
        <v>1</v>
      </c>
      <c r="E72" s="280" t="s">
        <v>933</v>
      </c>
      <c r="F72" s="270" t="s">
        <v>639</v>
      </c>
      <c r="G72" s="280">
        <v>162</v>
      </c>
      <c r="H72" s="270" t="s">
        <v>946</v>
      </c>
      <c r="I72" s="284" t="s">
        <v>1045</v>
      </c>
      <c r="K72" s="285" t="s">
        <v>1044</v>
      </c>
    </row>
    <row r="73" spans="1:11" hidden="1" x14ac:dyDescent="0.2">
      <c r="A73" s="280" t="s">
        <v>788</v>
      </c>
      <c r="B73" s="270" t="s">
        <v>789</v>
      </c>
      <c r="C73" s="280" t="s">
        <v>0</v>
      </c>
      <c r="D73" s="278" t="s">
        <v>1</v>
      </c>
      <c r="E73" s="280" t="s">
        <v>929</v>
      </c>
      <c r="F73" s="270" t="s">
        <v>930</v>
      </c>
      <c r="G73" s="280">
        <v>162</v>
      </c>
      <c r="H73" s="270" t="s">
        <v>946</v>
      </c>
      <c r="I73" s="284" t="s">
        <v>1045</v>
      </c>
      <c r="J73" s="284">
        <v>1</v>
      </c>
      <c r="K73" s="285" t="s">
        <v>1047</v>
      </c>
    </row>
    <row r="74" spans="1:11" hidden="1" x14ac:dyDescent="0.2">
      <c r="A74" s="280" t="s">
        <v>790</v>
      </c>
      <c r="B74" s="270" t="s">
        <v>791</v>
      </c>
      <c r="C74" s="280" t="s">
        <v>0</v>
      </c>
      <c r="D74" s="278" t="s">
        <v>1</v>
      </c>
      <c r="E74" s="280" t="s">
        <v>933</v>
      </c>
      <c r="F74" s="270" t="s">
        <v>639</v>
      </c>
      <c r="G74" s="280">
        <v>162</v>
      </c>
      <c r="H74" s="270" t="s">
        <v>946</v>
      </c>
      <c r="I74" s="284" t="s">
        <v>1045</v>
      </c>
      <c r="K74" s="285" t="s">
        <v>1047</v>
      </c>
    </row>
    <row r="75" spans="1:11" hidden="1" x14ac:dyDescent="0.2">
      <c r="A75" s="280" t="s">
        <v>792</v>
      </c>
      <c r="B75" s="270" t="s">
        <v>793</v>
      </c>
      <c r="C75" s="280" t="s">
        <v>0</v>
      </c>
      <c r="D75" s="278" t="s">
        <v>1</v>
      </c>
      <c r="E75" s="280" t="s">
        <v>933</v>
      </c>
      <c r="F75" s="270" t="s">
        <v>639</v>
      </c>
      <c r="G75" s="280">
        <v>162</v>
      </c>
      <c r="H75" s="270" t="s">
        <v>946</v>
      </c>
      <c r="I75" s="284" t="s">
        <v>1045</v>
      </c>
      <c r="K75" s="285" t="s">
        <v>1047</v>
      </c>
    </row>
    <row r="76" spans="1:11" hidden="1" x14ac:dyDescent="0.2">
      <c r="A76" s="280" t="s">
        <v>794</v>
      </c>
      <c r="B76" s="270" t="s">
        <v>795</v>
      </c>
      <c r="C76" s="280" t="s">
        <v>0</v>
      </c>
      <c r="D76" s="278" t="s">
        <v>1</v>
      </c>
      <c r="E76" s="280" t="s">
        <v>933</v>
      </c>
      <c r="F76" s="270" t="s">
        <v>639</v>
      </c>
      <c r="G76" s="280">
        <v>162</v>
      </c>
      <c r="H76" s="270" t="s">
        <v>944</v>
      </c>
      <c r="I76" s="284" t="s">
        <v>1045</v>
      </c>
      <c r="K76" s="285" t="s">
        <v>1047</v>
      </c>
    </row>
    <row r="77" spans="1:11" hidden="1" x14ac:dyDescent="0.2">
      <c r="A77" s="280" t="s">
        <v>87</v>
      </c>
      <c r="B77" s="270" t="s">
        <v>88</v>
      </c>
      <c r="C77" s="280" t="s">
        <v>8</v>
      </c>
      <c r="D77" s="278" t="s">
        <v>9</v>
      </c>
      <c r="E77" s="280" t="s">
        <v>959</v>
      </c>
      <c r="F77" s="270" t="s">
        <v>960</v>
      </c>
      <c r="G77" s="280">
        <v>4</v>
      </c>
      <c r="H77" s="270" t="s">
        <v>933</v>
      </c>
      <c r="I77" s="284" t="s">
        <v>1045</v>
      </c>
      <c r="K77" s="285" t="s">
        <v>1044</v>
      </c>
    </row>
    <row r="78" spans="1:11" hidden="1" x14ac:dyDescent="0.2">
      <c r="A78" s="280" t="s">
        <v>89</v>
      </c>
      <c r="B78" s="270" t="s">
        <v>1075</v>
      </c>
      <c r="C78" s="280" t="s">
        <v>8</v>
      </c>
      <c r="D78" s="278" t="s">
        <v>9</v>
      </c>
      <c r="E78" s="280" t="s">
        <v>955</v>
      </c>
      <c r="F78" s="270" t="s">
        <v>956</v>
      </c>
      <c r="G78" s="280">
        <v>4</v>
      </c>
      <c r="H78" s="270" t="s">
        <v>933</v>
      </c>
      <c r="I78" s="284" t="s">
        <v>1045</v>
      </c>
      <c r="K78" s="285" t="s">
        <v>1044</v>
      </c>
    </row>
    <row r="79" spans="1:11" hidden="1" x14ac:dyDescent="0.2">
      <c r="A79" s="280" t="s">
        <v>90</v>
      </c>
      <c r="B79" s="270" t="s">
        <v>1076</v>
      </c>
      <c r="C79" s="280" t="s">
        <v>8</v>
      </c>
      <c r="D79" s="278" t="s">
        <v>9</v>
      </c>
      <c r="E79" s="280" t="s">
        <v>957</v>
      </c>
      <c r="F79" s="270" t="s">
        <v>958</v>
      </c>
      <c r="G79" s="280">
        <v>4</v>
      </c>
      <c r="H79" s="270" t="s">
        <v>934</v>
      </c>
      <c r="I79" s="284" t="s">
        <v>1045</v>
      </c>
      <c r="K79" s="285" t="s">
        <v>1044</v>
      </c>
    </row>
    <row r="80" spans="1:11" hidden="1" x14ac:dyDescent="0.2">
      <c r="A80" s="280" t="s">
        <v>91</v>
      </c>
      <c r="B80" s="270" t="s">
        <v>1077</v>
      </c>
      <c r="C80" s="280" t="s">
        <v>8</v>
      </c>
      <c r="D80" s="278" t="s">
        <v>9</v>
      </c>
      <c r="E80" s="280" t="s">
        <v>955</v>
      </c>
      <c r="F80" s="270" t="s">
        <v>956</v>
      </c>
      <c r="G80" s="280">
        <v>4</v>
      </c>
      <c r="H80" s="270" t="s">
        <v>934</v>
      </c>
      <c r="I80" s="284" t="s">
        <v>1045</v>
      </c>
      <c r="K80" s="285" t="s">
        <v>1044</v>
      </c>
    </row>
    <row r="81" spans="1:15" hidden="1" x14ac:dyDescent="0.2">
      <c r="A81" s="280" t="s">
        <v>92</v>
      </c>
      <c r="B81" s="270" t="s">
        <v>1078</v>
      </c>
      <c r="C81" s="280" t="s">
        <v>8</v>
      </c>
      <c r="D81" s="278" t="s">
        <v>9</v>
      </c>
      <c r="E81" s="280" t="s">
        <v>957</v>
      </c>
      <c r="F81" s="270" t="s">
        <v>958</v>
      </c>
      <c r="G81" s="280">
        <v>4</v>
      </c>
      <c r="H81" s="270" t="s">
        <v>934</v>
      </c>
      <c r="I81" s="284" t="s">
        <v>1045</v>
      </c>
      <c r="K81" s="285" t="s">
        <v>1044</v>
      </c>
    </row>
    <row r="82" spans="1:15" hidden="1" x14ac:dyDescent="0.2">
      <c r="A82" s="280" t="s">
        <v>93</v>
      </c>
      <c r="B82" s="270" t="s">
        <v>94</v>
      </c>
      <c r="C82" s="280" t="s">
        <v>8</v>
      </c>
      <c r="D82" s="278" t="s">
        <v>9</v>
      </c>
      <c r="E82" s="280" t="s">
        <v>959</v>
      </c>
      <c r="F82" s="270" t="s">
        <v>960</v>
      </c>
      <c r="G82" s="280">
        <v>4</v>
      </c>
      <c r="H82" s="270" t="s">
        <v>933</v>
      </c>
      <c r="I82" s="284" t="s">
        <v>1045</v>
      </c>
      <c r="K82" s="285" t="s">
        <v>1044</v>
      </c>
    </row>
    <row r="83" spans="1:15" hidden="1" x14ac:dyDescent="0.2">
      <c r="A83" s="280" t="s">
        <v>95</v>
      </c>
      <c r="B83" s="270" t="s">
        <v>96</v>
      </c>
      <c r="C83" s="280" t="s">
        <v>8</v>
      </c>
      <c r="D83" s="278" t="s">
        <v>9</v>
      </c>
      <c r="E83" s="280" t="s">
        <v>957</v>
      </c>
      <c r="F83" s="270" t="s">
        <v>958</v>
      </c>
      <c r="G83" s="280">
        <v>4</v>
      </c>
      <c r="H83" s="270" t="s">
        <v>934</v>
      </c>
      <c r="I83" s="284" t="s">
        <v>1045</v>
      </c>
      <c r="K83" s="285" t="s">
        <v>1044</v>
      </c>
    </row>
    <row r="84" spans="1:15" hidden="1" x14ac:dyDescent="0.2">
      <c r="A84" s="280" t="s">
        <v>97</v>
      </c>
      <c r="B84" s="270" t="s">
        <v>1079</v>
      </c>
      <c r="C84" s="280" t="s">
        <v>8</v>
      </c>
      <c r="D84" s="278" t="s">
        <v>9</v>
      </c>
      <c r="E84" s="280" t="s">
        <v>955</v>
      </c>
      <c r="F84" s="270" t="s">
        <v>956</v>
      </c>
      <c r="G84" s="280">
        <v>4</v>
      </c>
      <c r="H84" s="270" t="s">
        <v>929</v>
      </c>
      <c r="I84" s="284" t="s">
        <v>1045</v>
      </c>
      <c r="K84" s="285" t="s">
        <v>1044</v>
      </c>
    </row>
    <row r="85" spans="1:15" hidden="1" x14ac:dyDescent="0.2">
      <c r="A85" s="280" t="s">
        <v>98</v>
      </c>
      <c r="B85" s="270" t="s">
        <v>1080</v>
      </c>
      <c r="C85" s="280" t="s">
        <v>8</v>
      </c>
      <c r="D85" s="278" t="s">
        <v>9</v>
      </c>
      <c r="E85" s="280" t="s">
        <v>957</v>
      </c>
      <c r="F85" s="270" t="s">
        <v>958</v>
      </c>
      <c r="G85" s="280">
        <v>4</v>
      </c>
      <c r="H85" s="270" t="s">
        <v>933</v>
      </c>
      <c r="I85" s="284" t="s">
        <v>1045</v>
      </c>
      <c r="K85" s="285" t="s">
        <v>1044</v>
      </c>
    </row>
    <row r="86" spans="1:15" hidden="1" x14ac:dyDescent="0.2">
      <c r="A86" s="281" t="s">
        <v>99</v>
      </c>
      <c r="B86" s="270" t="s">
        <v>1081</v>
      </c>
      <c r="C86" s="280" t="s">
        <v>8</v>
      </c>
      <c r="D86" s="278" t="s">
        <v>9</v>
      </c>
      <c r="E86" s="280" t="s">
        <v>954</v>
      </c>
      <c r="F86" s="270" t="s">
        <v>642</v>
      </c>
      <c r="G86" s="280">
        <v>4</v>
      </c>
      <c r="H86" s="270" t="s">
        <v>929</v>
      </c>
      <c r="I86" s="284" t="s">
        <v>1045</v>
      </c>
      <c r="K86" s="285" t="s">
        <v>1044</v>
      </c>
    </row>
    <row r="87" spans="1:15" hidden="1" x14ac:dyDescent="0.2">
      <c r="A87" s="281" t="s">
        <v>100</v>
      </c>
      <c r="B87" s="270" t="s">
        <v>1082</v>
      </c>
      <c r="C87" s="280" t="s">
        <v>8</v>
      </c>
      <c r="D87" s="278" t="s">
        <v>9</v>
      </c>
      <c r="E87" s="280" t="s">
        <v>954</v>
      </c>
      <c r="F87" s="270" t="s">
        <v>642</v>
      </c>
      <c r="G87" s="280">
        <v>4</v>
      </c>
      <c r="H87" s="270" t="s">
        <v>934</v>
      </c>
      <c r="I87" s="284" t="s">
        <v>1045</v>
      </c>
      <c r="K87" s="285" t="s">
        <v>1044</v>
      </c>
    </row>
    <row r="88" spans="1:15" hidden="1" x14ac:dyDescent="0.2">
      <c r="A88" s="280" t="s">
        <v>101</v>
      </c>
      <c r="B88" s="270" t="s">
        <v>1083</v>
      </c>
      <c r="C88" s="280" t="s">
        <v>8</v>
      </c>
      <c r="D88" s="278" t="s">
        <v>9</v>
      </c>
      <c r="E88" s="280" t="s">
        <v>954</v>
      </c>
      <c r="F88" s="270" t="s">
        <v>642</v>
      </c>
      <c r="G88" s="280">
        <v>4</v>
      </c>
      <c r="H88" s="270" t="s">
        <v>934</v>
      </c>
      <c r="I88" s="284" t="s">
        <v>1045</v>
      </c>
      <c r="K88" s="285" t="s">
        <v>1044</v>
      </c>
    </row>
    <row r="89" spans="1:15" hidden="1" x14ac:dyDescent="0.2">
      <c r="A89" s="280" t="s">
        <v>102</v>
      </c>
      <c r="B89" s="270" t="s">
        <v>1084</v>
      </c>
      <c r="C89" s="280" t="s">
        <v>8</v>
      </c>
      <c r="D89" s="278" t="s">
        <v>9</v>
      </c>
      <c r="E89" s="280" t="s">
        <v>954</v>
      </c>
      <c r="F89" s="270" t="s">
        <v>642</v>
      </c>
      <c r="G89" s="280">
        <v>4</v>
      </c>
      <c r="H89" s="270" t="s">
        <v>929</v>
      </c>
      <c r="I89" s="284" t="s">
        <v>1045</v>
      </c>
      <c r="K89" s="285" t="s">
        <v>1044</v>
      </c>
    </row>
    <row r="90" spans="1:15" hidden="1" x14ac:dyDescent="0.2">
      <c r="A90" s="280" t="s">
        <v>816</v>
      </c>
      <c r="B90" s="270" t="s">
        <v>103</v>
      </c>
      <c r="C90" s="280" t="s">
        <v>8</v>
      </c>
      <c r="D90" s="278" t="s">
        <v>9</v>
      </c>
      <c r="E90" s="280" t="s">
        <v>959</v>
      </c>
      <c r="F90" s="270" t="s">
        <v>960</v>
      </c>
      <c r="G90" s="280">
        <v>4</v>
      </c>
      <c r="H90" s="270" t="s">
        <v>933</v>
      </c>
      <c r="I90" s="284" t="s">
        <v>1045</v>
      </c>
      <c r="K90" s="285" t="s">
        <v>1044</v>
      </c>
    </row>
    <row r="91" spans="1:15" hidden="1" x14ac:dyDescent="0.2">
      <c r="A91" s="280" t="s">
        <v>817</v>
      </c>
      <c r="B91" s="270" t="s">
        <v>104</v>
      </c>
      <c r="C91" s="280" t="s">
        <v>8</v>
      </c>
      <c r="D91" s="278" t="s">
        <v>9</v>
      </c>
      <c r="E91" s="280" t="s">
        <v>959</v>
      </c>
      <c r="F91" s="270" t="s">
        <v>960</v>
      </c>
      <c r="G91" s="280">
        <v>4</v>
      </c>
      <c r="H91" s="270" t="s">
        <v>933</v>
      </c>
      <c r="I91" s="284" t="s">
        <v>1045</v>
      </c>
      <c r="K91" s="285" t="s">
        <v>1044</v>
      </c>
    </row>
    <row r="92" spans="1:15" hidden="1" x14ac:dyDescent="0.2">
      <c r="A92" s="280" t="s">
        <v>1371</v>
      </c>
      <c r="B92" s="270" t="s">
        <v>1372</v>
      </c>
      <c r="C92" s="280" t="s">
        <v>10</v>
      </c>
      <c r="D92" s="278" t="s">
        <v>11</v>
      </c>
      <c r="E92" s="280" t="s">
        <v>961</v>
      </c>
      <c r="F92" s="270" t="s">
        <v>643</v>
      </c>
      <c r="G92" s="280">
        <v>4</v>
      </c>
      <c r="H92" s="270" t="s">
        <v>934</v>
      </c>
    </row>
    <row r="93" spans="1:15" hidden="1" x14ac:dyDescent="0.2">
      <c r="A93" s="280" t="s">
        <v>105</v>
      </c>
      <c r="B93" s="270" t="s">
        <v>1085</v>
      </c>
      <c r="C93" s="280" t="s">
        <v>10</v>
      </c>
      <c r="D93" s="278" t="s">
        <v>11</v>
      </c>
      <c r="E93" s="280" t="s">
        <v>962</v>
      </c>
      <c r="F93" s="270" t="s">
        <v>963</v>
      </c>
      <c r="G93" s="280">
        <v>4</v>
      </c>
      <c r="H93" s="270" t="s">
        <v>931</v>
      </c>
      <c r="I93" s="284" t="s">
        <v>1045</v>
      </c>
      <c r="K93" s="285" t="s">
        <v>1044</v>
      </c>
    </row>
    <row r="94" spans="1:15" hidden="1" x14ac:dyDescent="0.2">
      <c r="A94" s="280" t="s">
        <v>106</v>
      </c>
      <c r="B94" s="270" t="s">
        <v>1086</v>
      </c>
      <c r="C94" s="280" t="s">
        <v>10</v>
      </c>
      <c r="D94" s="278" t="s">
        <v>11</v>
      </c>
      <c r="E94" s="280" t="s">
        <v>964</v>
      </c>
      <c r="F94" s="270" t="s">
        <v>965</v>
      </c>
      <c r="G94" s="280">
        <v>4</v>
      </c>
      <c r="H94" s="270" t="s">
        <v>931</v>
      </c>
      <c r="I94" s="284" t="s">
        <v>1045</v>
      </c>
      <c r="K94" s="285" t="s">
        <v>1044</v>
      </c>
    </row>
    <row r="95" spans="1:15" hidden="1" x14ac:dyDescent="0.2">
      <c r="A95" s="280" t="s">
        <v>107</v>
      </c>
      <c r="B95" s="270" t="s">
        <v>1087</v>
      </c>
      <c r="C95" s="280" t="s">
        <v>10</v>
      </c>
      <c r="D95" s="278" t="s">
        <v>11</v>
      </c>
      <c r="E95" s="280" t="s">
        <v>961</v>
      </c>
      <c r="F95" s="270" t="s">
        <v>643</v>
      </c>
      <c r="G95" s="280">
        <v>4</v>
      </c>
      <c r="H95" s="270" t="s">
        <v>934</v>
      </c>
      <c r="I95" s="284" t="s">
        <v>1045</v>
      </c>
      <c r="K95" s="285" t="s">
        <v>1047</v>
      </c>
    </row>
    <row r="96" spans="1:15" hidden="1" x14ac:dyDescent="0.2">
      <c r="A96" s="280" t="s">
        <v>108</v>
      </c>
      <c r="B96" s="270" t="s">
        <v>1088</v>
      </c>
      <c r="C96" s="280" t="s">
        <v>10</v>
      </c>
      <c r="D96" s="278" t="s">
        <v>11</v>
      </c>
      <c r="E96" s="280" t="s">
        <v>961</v>
      </c>
      <c r="F96" s="270" t="s">
        <v>643</v>
      </c>
      <c r="G96" s="280">
        <v>4</v>
      </c>
      <c r="H96" s="270" t="s">
        <v>934</v>
      </c>
      <c r="I96" s="284" t="s">
        <v>1045</v>
      </c>
      <c r="K96" s="285" t="s">
        <v>1047</v>
      </c>
      <c r="O96" s="287"/>
    </row>
    <row r="97" spans="1:15" s="287" customFormat="1" hidden="1" x14ac:dyDescent="0.2">
      <c r="A97" s="280" t="s">
        <v>109</v>
      </c>
      <c r="B97" s="270" t="s">
        <v>1089</v>
      </c>
      <c r="C97" s="280" t="s">
        <v>10</v>
      </c>
      <c r="D97" s="278" t="s">
        <v>11</v>
      </c>
      <c r="E97" s="280" t="s">
        <v>962</v>
      </c>
      <c r="F97" s="270" t="s">
        <v>963</v>
      </c>
      <c r="G97" s="280">
        <v>4</v>
      </c>
      <c r="H97" s="270" t="s">
        <v>934</v>
      </c>
      <c r="I97" s="287" t="s">
        <v>1045</v>
      </c>
      <c r="J97" s="287">
        <v>1</v>
      </c>
      <c r="K97" s="288" t="s">
        <v>1047</v>
      </c>
      <c r="L97" s="284"/>
      <c r="O97" s="284"/>
    </row>
    <row r="98" spans="1:15" hidden="1" x14ac:dyDescent="0.2">
      <c r="A98" s="280" t="s">
        <v>110</v>
      </c>
      <c r="B98" s="270" t="s">
        <v>1090</v>
      </c>
      <c r="C98" s="280" t="s">
        <v>10</v>
      </c>
      <c r="D98" s="278" t="s">
        <v>11</v>
      </c>
      <c r="E98" s="280" t="s">
        <v>961</v>
      </c>
      <c r="F98" s="270" t="s">
        <v>643</v>
      </c>
      <c r="G98" s="280">
        <v>4</v>
      </c>
      <c r="H98" s="270" t="s">
        <v>933</v>
      </c>
      <c r="I98" s="284" t="s">
        <v>1045</v>
      </c>
      <c r="K98" s="285" t="s">
        <v>1047</v>
      </c>
    </row>
    <row r="99" spans="1:15" hidden="1" x14ac:dyDescent="0.2">
      <c r="A99" s="280" t="s">
        <v>111</v>
      </c>
      <c r="B99" s="270" t="s">
        <v>1091</v>
      </c>
      <c r="C99" s="280" t="s">
        <v>10</v>
      </c>
      <c r="D99" s="278" t="s">
        <v>11</v>
      </c>
      <c r="E99" s="280" t="s">
        <v>961</v>
      </c>
      <c r="F99" s="270" t="s">
        <v>643</v>
      </c>
      <c r="G99" s="280">
        <v>4</v>
      </c>
      <c r="H99" s="270" t="s">
        <v>933</v>
      </c>
      <c r="I99" s="284" t="s">
        <v>1045</v>
      </c>
      <c r="K99" s="285" t="s">
        <v>1047</v>
      </c>
    </row>
    <row r="100" spans="1:15" hidden="1" x14ac:dyDescent="0.2">
      <c r="A100" s="280" t="s">
        <v>818</v>
      </c>
      <c r="B100" s="270" t="s">
        <v>819</v>
      </c>
      <c r="C100" s="280" t="s">
        <v>10</v>
      </c>
      <c r="D100" s="278" t="s">
        <v>11</v>
      </c>
      <c r="E100" s="280" t="s">
        <v>962</v>
      </c>
      <c r="F100" s="270" t="s">
        <v>963</v>
      </c>
      <c r="G100" s="280">
        <v>4</v>
      </c>
      <c r="H100" s="270" t="s">
        <v>929</v>
      </c>
      <c r="I100" s="284" t="s">
        <v>1045</v>
      </c>
      <c r="K100" s="285" t="s">
        <v>1044</v>
      </c>
    </row>
    <row r="101" spans="1:15" hidden="1" x14ac:dyDescent="0.2">
      <c r="A101" s="280" t="s">
        <v>820</v>
      </c>
      <c r="B101" s="270" t="s">
        <v>821</v>
      </c>
      <c r="C101" s="280" t="s">
        <v>10</v>
      </c>
      <c r="D101" s="278" t="s">
        <v>11</v>
      </c>
      <c r="E101" s="280" t="s">
        <v>964</v>
      </c>
      <c r="F101" s="270" t="s">
        <v>965</v>
      </c>
      <c r="G101" s="280">
        <v>4</v>
      </c>
      <c r="H101" s="270" t="s">
        <v>929</v>
      </c>
      <c r="I101" s="284" t="s">
        <v>1045</v>
      </c>
      <c r="K101" s="285" t="s">
        <v>1044</v>
      </c>
    </row>
    <row r="102" spans="1:15" hidden="1" x14ac:dyDescent="0.2">
      <c r="A102" s="280" t="s">
        <v>822</v>
      </c>
      <c r="B102" s="270" t="s">
        <v>823</v>
      </c>
      <c r="C102" s="280" t="s">
        <v>10</v>
      </c>
      <c r="D102" s="278" t="s">
        <v>11</v>
      </c>
      <c r="E102" s="280" t="s">
        <v>964</v>
      </c>
      <c r="F102" s="270" t="s">
        <v>965</v>
      </c>
      <c r="G102" s="280">
        <v>4</v>
      </c>
      <c r="H102" s="270" t="s">
        <v>931</v>
      </c>
      <c r="I102" s="284" t="s">
        <v>1045</v>
      </c>
      <c r="K102" s="285" t="s">
        <v>1044</v>
      </c>
    </row>
    <row r="103" spans="1:15" hidden="1" x14ac:dyDescent="0.2">
      <c r="A103" s="280" t="s">
        <v>824</v>
      </c>
      <c r="B103" s="270" t="s">
        <v>825</v>
      </c>
      <c r="C103" s="280" t="s">
        <v>10</v>
      </c>
      <c r="D103" s="278" t="s">
        <v>11</v>
      </c>
      <c r="E103" s="280" t="s">
        <v>961</v>
      </c>
      <c r="F103" s="270" t="s">
        <v>643</v>
      </c>
      <c r="G103" s="280">
        <v>4</v>
      </c>
      <c r="H103" s="270" t="s">
        <v>933</v>
      </c>
      <c r="I103" s="284" t="s">
        <v>1045</v>
      </c>
      <c r="K103" s="285" t="s">
        <v>1047</v>
      </c>
    </row>
    <row r="104" spans="1:15" hidden="1" x14ac:dyDescent="0.2">
      <c r="A104" s="280" t="s">
        <v>826</v>
      </c>
      <c r="B104" s="270" t="s">
        <v>827</v>
      </c>
      <c r="C104" s="280" t="s">
        <v>10</v>
      </c>
      <c r="D104" s="278" t="s">
        <v>11</v>
      </c>
      <c r="E104" s="280" t="s">
        <v>966</v>
      </c>
      <c r="F104" s="270" t="s">
        <v>967</v>
      </c>
      <c r="G104" s="280">
        <v>4</v>
      </c>
      <c r="H104" s="270" t="s">
        <v>934</v>
      </c>
      <c r="I104" s="284" t="s">
        <v>1045</v>
      </c>
      <c r="K104" s="285" t="s">
        <v>1047</v>
      </c>
    </row>
    <row r="105" spans="1:15" hidden="1" x14ac:dyDescent="0.2">
      <c r="A105" s="280" t="s">
        <v>828</v>
      </c>
      <c r="B105" s="270" t="s">
        <v>112</v>
      </c>
      <c r="C105" s="280" t="s">
        <v>10</v>
      </c>
      <c r="D105" s="278" t="s">
        <v>11</v>
      </c>
      <c r="E105" s="280" t="s">
        <v>966</v>
      </c>
      <c r="F105" s="270" t="s">
        <v>967</v>
      </c>
      <c r="G105" s="280">
        <v>4</v>
      </c>
      <c r="H105" s="270" t="s">
        <v>933</v>
      </c>
      <c r="I105" s="284" t="s">
        <v>1045</v>
      </c>
      <c r="K105" s="285" t="s">
        <v>1047</v>
      </c>
    </row>
    <row r="106" spans="1:15" hidden="1" x14ac:dyDescent="0.2">
      <c r="A106" s="280" t="s">
        <v>829</v>
      </c>
      <c r="B106" s="270" t="s">
        <v>830</v>
      </c>
      <c r="C106" s="280" t="s">
        <v>10</v>
      </c>
      <c r="D106" s="278" t="s">
        <v>11</v>
      </c>
      <c r="E106" s="280" t="s">
        <v>966</v>
      </c>
      <c r="F106" s="270" t="s">
        <v>967</v>
      </c>
      <c r="G106" s="280">
        <v>4</v>
      </c>
      <c r="H106" s="270" t="s">
        <v>933</v>
      </c>
      <c r="I106" s="284" t="s">
        <v>1045</v>
      </c>
      <c r="K106" s="285" t="s">
        <v>1047</v>
      </c>
    </row>
    <row r="107" spans="1:15" hidden="1" x14ac:dyDescent="0.2">
      <c r="A107" s="281" t="s">
        <v>1330</v>
      </c>
      <c r="B107" s="270" t="s">
        <v>1288</v>
      </c>
      <c r="C107" s="280" t="s">
        <v>10</v>
      </c>
      <c r="D107" s="278" t="s">
        <v>11</v>
      </c>
      <c r="E107" s="280" t="s">
        <v>961</v>
      </c>
      <c r="F107" s="270" t="s">
        <v>643</v>
      </c>
      <c r="G107" s="280">
        <v>4</v>
      </c>
      <c r="H107" s="278">
        <v>44010</v>
      </c>
      <c r="I107" s="289" t="s">
        <v>1045</v>
      </c>
      <c r="J107" s="289"/>
      <c r="K107" s="290">
        <v>2562</v>
      </c>
    </row>
    <row r="108" spans="1:15" hidden="1" x14ac:dyDescent="0.2">
      <c r="A108" s="280" t="s">
        <v>128</v>
      </c>
      <c r="B108" s="270" t="s">
        <v>1092</v>
      </c>
      <c r="C108" s="280" t="s">
        <v>12</v>
      </c>
      <c r="D108" s="278" t="s">
        <v>13</v>
      </c>
      <c r="E108" s="280" t="s">
        <v>970</v>
      </c>
      <c r="F108" s="270" t="s">
        <v>971</v>
      </c>
      <c r="G108" s="280">
        <v>4</v>
      </c>
      <c r="H108" s="270" t="s">
        <v>933</v>
      </c>
      <c r="I108" s="284" t="s">
        <v>1045</v>
      </c>
      <c r="K108" s="285" t="s">
        <v>1047</v>
      </c>
    </row>
    <row r="109" spans="1:15" hidden="1" x14ac:dyDescent="0.2">
      <c r="A109" s="280" t="s">
        <v>129</v>
      </c>
      <c r="B109" s="270" t="s">
        <v>1093</v>
      </c>
      <c r="C109" s="280" t="s">
        <v>12</v>
      </c>
      <c r="D109" s="278" t="s">
        <v>13</v>
      </c>
      <c r="E109" s="280" t="s">
        <v>970</v>
      </c>
      <c r="F109" s="270" t="s">
        <v>971</v>
      </c>
      <c r="G109" s="280">
        <v>8</v>
      </c>
      <c r="H109" s="270" t="s">
        <v>954</v>
      </c>
      <c r="I109" s="284" t="s">
        <v>1045</v>
      </c>
      <c r="J109" s="284">
        <v>1</v>
      </c>
      <c r="K109" s="285" t="s">
        <v>1044</v>
      </c>
    </row>
    <row r="110" spans="1:15" hidden="1" x14ac:dyDescent="0.2">
      <c r="A110" s="280" t="s">
        <v>130</v>
      </c>
      <c r="B110" s="270" t="s">
        <v>1094</v>
      </c>
      <c r="C110" s="280" t="s">
        <v>12</v>
      </c>
      <c r="D110" s="278" t="s">
        <v>13</v>
      </c>
      <c r="E110" s="280" t="s">
        <v>970</v>
      </c>
      <c r="F110" s="270" t="s">
        <v>971</v>
      </c>
      <c r="G110" s="280">
        <v>8</v>
      </c>
      <c r="H110" s="270" t="s">
        <v>954</v>
      </c>
      <c r="I110" s="284" t="s">
        <v>1045</v>
      </c>
      <c r="J110" s="284">
        <v>1</v>
      </c>
      <c r="K110" s="285" t="s">
        <v>1044</v>
      </c>
    </row>
    <row r="111" spans="1:15" hidden="1" x14ac:dyDescent="0.2">
      <c r="A111" s="280" t="s">
        <v>131</v>
      </c>
      <c r="B111" s="270" t="s">
        <v>132</v>
      </c>
      <c r="C111" s="280" t="s">
        <v>12</v>
      </c>
      <c r="D111" s="278" t="s">
        <v>13</v>
      </c>
      <c r="E111" s="280" t="s">
        <v>968</v>
      </c>
      <c r="F111" s="270" t="s">
        <v>969</v>
      </c>
      <c r="G111" s="280">
        <v>8</v>
      </c>
      <c r="H111" s="270" t="s">
        <v>954</v>
      </c>
      <c r="I111" s="284" t="s">
        <v>1045</v>
      </c>
      <c r="K111" s="285" t="s">
        <v>1047</v>
      </c>
    </row>
    <row r="112" spans="1:15" hidden="1" x14ac:dyDescent="0.2">
      <c r="A112" s="280" t="s">
        <v>133</v>
      </c>
      <c r="B112" s="270" t="s">
        <v>134</v>
      </c>
      <c r="C112" s="280" t="s">
        <v>12</v>
      </c>
      <c r="D112" s="278" t="s">
        <v>13</v>
      </c>
      <c r="E112" s="280" t="s">
        <v>968</v>
      </c>
      <c r="F112" s="270" t="s">
        <v>969</v>
      </c>
      <c r="G112" s="280">
        <v>8</v>
      </c>
      <c r="H112" s="270" t="s">
        <v>959</v>
      </c>
      <c r="I112" s="284" t="s">
        <v>1045</v>
      </c>
      <c r="K112" s="285" t="s">
        <v>1047</v>
      </c>
    </row>
    <row r="113" spans="1:11" hidden="1" x14ac:dyDescent="0.2">
      <c r="A113" s="280" t="s">
        <v>831</v>
      </c>
      <c r="B113" s="270" t="s">
        <v>832</v>
      </c>
      <c r="C113" s="280" t="s">
        <v>12</v>
      </c>
      <c r="D113" s="278" t="s">
        <v>13</v>
      </c>
      <c r="E113" s="280" t="s">
        <v>970</v>
      </c>
      <c r="F113" s="270" t="s">
        <v>971</v>
      </c>
      <c r="G113" s="280">
        <v>4</v>
      </c>
      <c r="H113" s="270" t="s">
        <v>933</v>
      </c>
      <c r="I113" s="284" t="s">
        <v>1045</v>
      </c>
      <c r="K113" s="285" t="s">
        <v>1047</v>
      </c>
    </row>
    <row r="114" spans="1:11" hidden="1" x14ac:dyDescent="0.2">
      <c r="A114" s="280" t="s">
        <v>833</v>
      </c>
      <c r="B114" s="270" t="s">
        <v>834</v>
      </c>
      <c r="C114" s="280" t="s">
        <v>12</v>
      </c>
      <c r="D114" s="278" t="s">
        <v>13</v>
      </c>
      <c r="E114" s="280" t="s">
        <v>972</v>
      </c>
      <c r="F114" s="270" t="s">
        <v>973</v>
      </c>
      <c r="G114" s="280">
        <v>4</v>
      </c>
      <c r="H114" s="270" t="s">
        <v>933</v>
      </c>
      <c r="I114" s="284" t="s">
        <v>1045</v>
      </c>
      <c r="K114" s="285" t="s">
        <v>1047</v>
      </c>
    </row>
    <row r="115" spans="1:11" hidden="1" x14ac:dyDescent="0.2">
      <c r="A115" s="280" t="s">
        <v>835</v>
      </c>
      <c r="B115" s="270" t="s">
        <v>836</v>
      </c>
      <c r="C115" s="280" t="s">
        <v>12</v>
      </c>
      <c r="D115" s="278" t="s">
        <v>13</v>
      </c>
      <c r="E115" s="280" t="s">
        <v>970</v>
      </c>
      <c r="F115" s="270" t="s">
        <v>971</v>
      </c>
      <c r="G115" s="280">
        <v>8</v>
      </c>
      <c r="H115" s="270" t="s">
        <v>954</v>
      </c>
      <c r="I115" s="284" t="s">
        <v>1045</v>
      </c>
      <c r="J115" s="284">
        <v>1</v>
      </c>
      <c r="K115" s="285" t="s">
        <v>1044</v>
      </c>
    </row>
    <row r="116" spans="1:11" hidden="1" x14ac:dyDescent="0.2">
      <c r="A116" s="280" t="s">
        <v>837</v>
      </c>
      <c r="B116" s="270" t="s">
        <v>838</v>
      </c>
      <c r="C116" s="280" t="s">
        <v>12</v>
      </c>
      <c r="D116" s="278" t="s">
        <v>13</v>
      </c>
      <c r="E116" s="280" t="s">
        <v>968</v>
      </c>
      <c r="F116" s="270" t="s">
        <v>969</v>
      </c>
      <c r="G116" s="280">
        <v>8</v>
      </c>
      <c r="H116" s="270" t="s">
        <v>959</v>
      </c>
      <c r="I116" s="284" t="s">
        <v>1045</v>
      </c>
      <c r="K116" s="285" t="s">
        <v>1047</v>
      </c>
    </row>
    <row r="117" spans="1:11" x14ac:dyDescent="0.2">
      <c r="A117" s="280" t="s">
        <v>157</v>
      </c>
      <c r="B117" s="270" t="s">
        <v>158</v>
      </c>
      <c r="C117" s="280" t="s">
        <v>16</v>
      </c>
      <c r="D117" s="278" t="s">
        <v>17</v>
      </c>
      <c r="E117" s="280" t="s">
        <v>975</v>
      </c>
      <c r="F117" s="270" t="s">
        <v>17</v>
      </c>
      <c r="G117" s="280">
        <v>9</v>
      </c>
      <c r="H117" s="270" t="s">
        <v>966</v>
      </c>
      <c r="I117" s="284" t="s">
        <v>1045</v>
      </c>
      <c r="K117" s="285" t="s">
        <v>1047</v>
      </c>
    </row>
    <row r="118" spans="1:11" x14ac:dyDescent="0.2">
      <c r="A118" s="280" t="s">
        <v>159</v>
      </c>
      <c r="B118" s="270" t="s">
        <v>1095</v>
      </c>
      <c r="C118" s="280" t="s">
        <v>16</v>
      </c>
      <c r="D118" s="278" t="s">
        <v>17</v>
      </c>
      <c r="E118" s="280" t="s">
        <v>975</v>
      </c>
      <c r="F118" s="270" t="s">
        <v>17</v>
      </c>
      <c r="G118" s="280">
        <v>10</v>
      </c>
      <c r="H118" s="270" t="s">
        <v>970</v>
      </c>
      <c r="I118" s="284" t="s">
        <v>1045</v>
      </c>
      <c r="K118" s="285" t="s">
        <v>1044</v>
      </c>
    </row>
    <row r="119" spans="1:11" x14ac:dyDescent="0.2">
      <c r="A119" s="280" t="s">
        <v>160</v>
      </c>
      <c r="B119" s="270" t="s">
        <v>1096</v>
      </c>
      <c r="C119" s="280" t="s">
        <v>16</v>
      </c>
      <c r="D119" s="278" t="s">
        <v>17</v>
      </c>
      <c r="E119" s="280" t="s">
        <v>975</v>
      </c>
      <c r="F119" s="270" t="s">
        <v>17</v>
      </c>
      <c r="G119" s="280">
        <v>10</v>
      </c>
      <c r="H119" s="270" t="s">
        <v>968</v>
      </c>
      <c r="I119" s="284" t="s">
        <v>1045</v>
      </c>
      <c r="K119" s="285" t="s">
        <v>1044</v>
      </c>
    </row>
    <row r="120" spans="1:11" x14ac:dyDescent="0.2">
      <c r="A120" s="280" t="s">
        <v>161</v>
      </c>
      <c r="B120" s="270" t="s">
        <v>162</v>
      </c>
      <c r="C120" s="280" t="s">
        <v>16</v>
      </c>
      <c r="D120" s="278" t="s">
        <v>17</v>
      </c>
      <c r="E120" s="280" t="s">
        <v>975</v>
      </c>
      <c r="F120" s="270" t="s">
        <v>17</v>
      </c>
      <c r="G120" s="280">
        <v>10</v>
      </c>
      <c r="H120" s="270" t="s">
        <v>968</v>
      </c>
      <c r="I120" s="284" t="s">
        <v>1045</v>
      </c>
      <c r="K120" s="285" t="s">
        <v>1044</v>
      </c>
    </row>
    <row r="121" spans="1:11" x14ac:dyDescent="0.2">
      <c r="A121" s="280" t="s">
        <v>163</v>
      </c>
      <c r="B121" s="270" t="s">
        <v>164</v>
      </c>
      <c r="C121" s="280" t="s">
        <v>16</v>
      </c>
      <c r="D121" s="278" t="s">
        <v>17</v>
      </c>
      <c r="E121" s="280" t="s">
        <v>975</v>
      </c>
      <c r="F121" s="270" t="s">
        <v>17</v>
      </c>
      <c r="G121" s="280">
        <v>10</v>
      </c>
      <c r="H121" s="270" t="s">
        <v>968</v>
      </c>
      <c r="I121" s="284" t="s">
        <v>1045</v>
      </c>
      <c r="K121" s="285" t="s">
        <v>1044</v>
      </c>
    </row>
    <row r="122" spans="1:11" hidden="1" x14ac:dyDescent="0.2">
      <c r="A122" s="280" t="s">
        <v>165</v>
      </c>
      <c r="B122" s="270" t="s">
        <v>166</v>
      </c>
      <c r="C122" s="280" t="s">
        <v>18</v>
      </c>
      <c r="D122" s="278" t="s">
        <v>661</v>
      </c>
      <c r="E122" s="280" t="s">
        <v>976</v>
      </c>
      <c r="F122" s="270" t="s">
        <v>646</v>
      </c>
      <c r="G122" s="280">
        <v>12</v>
      </c>
      <c r="H122" s="270" t="s">
        <v>975</v>
      </c>
      <c r="I122" s="284" t="s">
        <v>1045</v>
      </c>
      <c r="K122" s="285" t="s">
        <v>1044</v>
      </c>
    </row>
    <row r="123" spans="1:11" hidden="1" x14ac:dyDescent="0.2">
      <c r="A123" s="280" t="s">
        <v>167</v>
      </c>
      <c r="B123" s="270" t="s">
        <v>168</v>
      </c>
      <c r="C123" s="280" t="s">
        <v>18</v>
      </c>
      <c r="D123" s="278" t="s">
        <v>661</v>
      </c>
      <c r="E123" s="280" t="s">
        <v>976</v>
      </c>
      <c r="F123" s="270" t="s">
        <v>646</v>
      </c>
      <c r="G123" s="280">
        <v>12</v>
      </c>
      <c r="H123" s="270" t="s">
        <v>975</v>
      </c>
      <c r="I123" s="284" t="s">
        <v>1045</v>
      </c>
      <c r="K123" s="285" t="s">
        <v>1044</v>
      </c>
    </row>
    <row r="124" spans="1:11" x14ac:dyDescent="0.2">
      <c r="A124" s="280" t="s">
        <v>169</v>
      </c>
      <c r="B124" s="270" t="s">
        <v>1097</v>
      </c>
      <c r="C124" s="280" t="s">
        <v>16</v>
      </c>
      <c r="D124" s="278" t="s">
        <v>17</v>
      </c>
      <c r="E124" s="280" t="s">
        <v>975</v>
      </c>
      <c r="F124" s="270" t="s">
        <v>17</v>
      </c>
      <c r="G124" s="280">
        <v>10</v>
      </c>
      <c r="H124" s="270" t="s">
        <v>970</v>
      </c>
      <c r="I124" s="284" t="s">
        <v>1045</v>
      </c>
      <c r="K124" s="285" t="s">
        <v>1047</v>
      </c>
    </row>
    <row r="125" spans="1:11" x14ac:dyDescent="0.2">
      <c r="A125" s="280" t="s">
        <v>839</v>
      </c>
      <c r="B125" s="270" t="s">
        <v>840</v>
      </c>
      <c r="C125" s="280" t="s">
        <v>16</v>
      </c>
      <c r="D125" s="278" t="s">
        <v>17</v>
      </c>
      <c r="E125" s="280" t="s">
        <v>975</v>
      </c>
      <c r="F125" s="270" t="s">
        <v>17</v>
      </c>
      <c r="G125" s="280">
        <v>10</v>
      </c>
      <c r="H125" s="270" t="s">
        <v>972</v>
      </c>
      <c r="I125" s="284" t="s">
        <v>1045</v>
      </c>
      <c r="K125" s="285" t="s">
        <v>1047</v>
      </c>
    </row>
    <row r="126" spans="1:11" x14ac:dyDescent="0.2">
      <c r="A126" s="296" t="s">
        <v>841</v>
      </c>
      <c r="B126" s="297" t="s">
        <v>842</v>
      </c>
      <c r="C126" s="296" t="s">
        <v>1373</v>
      </c>
      <c r="D126" s="298" t="s">
        <v>1385</v>
      </c>
      <c r="E126" s="296" t="s">
        <v>975</v>
      </c>
      <c r="F126" s="297" t="s">
        <v>17</v>
      </c>
      <c r="G126" s="296">
        <v>10</v>
      </c>
      <c r="H126" s="297" t="s">
        <v>972</v>
      </c>
      <c r="I126" s="299" t="s">
        <v>1045</v>
      </c>
      <c r="J126" s="299"/>
      <c r="K126" s="300" t="s">
        <v>1047</v>
      </c>
    </row>
    <row r="127" spans="1:11" x14ac:dyDescent="0.2">
      <c r="A127" s="280" t="s">
        <v>170</v>
      </c>
      <c r="B127" s="270" t="s">
        <v>1098</v>
      </c>
      <c r="C127" s="280" t="s">
        <v>16</v>
      </c>
      <c r="D127" s="278" t="s">
        <v>17</v>
      </c>
      <c r="E127" s="280" t="s">
        <v>975</v>
      </c>
      <c r="F127" s="270" t="s">
        <v>17</v>
      </c>
      <c r="G127" s="280">
        <v>10</v>
      </c>
      <c r="H127" s="270" t="s">
        <v>968</v>
      </c>
      <c r="I127" s="284" t="s">
        <v>1045</v>
      </c>
      <c r="K127" s="285" t="s">
        <v>1047</v>
      </c>
    </row>
    <row r="128" spans="1:11" x14ac:dyDescent="0.2">
      <c r="A128" s="280" t="s">
        <v>171</v>
      </c>
      <c r="B128" s="270" t="s">
        <v>172</v>
      </c>
      <c r="C128" s="280" t="s">
        <v>16</v>
      </c>
      <c r="D128" s="278" t="s">
        <v>17</v>
      </c>
      <c r="E128" s="280" t="s">
        <v>975</v>
      </c>
      <c r="F128" s="270" t="s">
        <v>17</v>
      </c>
      <c r="G128" s="280">
        <v>12</v>
      </c>
      <c r="H128" s="270" t="s">
        <v>975</v>
      </c>
      <c r="I128" s="284" t="s">
        <v>1045</v>
      </c>
      <c r="K128" s="285" t="s">
        <v>1044</v>
      </c>
    </row>
    <row r="129" spans="1:11" x14ac:dyDescent="0.2">
      <c r="A129" s="280" t="s">
        <v>173</v>
      </c>
      <c r="B129" s="270" t="s">
        <v>174</v>
      </c>
      <c r="C129" s="280" t="s">
        <v>16</v>
      </c>
      <c r="D129" s="278" t="s">
        <v>17</v>
      </c>
      <c r="E129" s="280" t="s">
        <v>975</v>
      </c>
      <c r="F129" s="270" t="s">
        <v>17</v>
      </c>
      <c r="G129" s="280">
        <v>12</v>
      </c>
      <c r="H129" s="270" t="s">
        <v>975</v>
      </c>
      <c r="I129" s="284" t="s">
        <v>1045</v>
      </c>
      <c r="K129" s="285" t="s">
        <v>1044</v>
      </c>
    </row>
    <row r="130" spans="1:11" x14ac:dyDescent="0.2">
      <c r="A130" s="280" t="s">
        <v>843</v>
      </c>
      <c r="B130" s="270" t="s">
        <v>844</v>
      </c>
      <c r="C130" s="280" t="s">
        <v>16</v>
      </c>
      <c r="D130" s="278" t="s">
        <v>17</v>
      </c>
      <c r="E130" s="280" t="s">
        <v>975</v>
      </c>
      <c r="F130" s="270" t="s">
        <v>17</v>
      </c>
      <c r="G130" s="280">
        <v>12</v>
      </c>
      <c r="H130" s="270" t="s">
        <v>975</v>
      </c>
      <c r="I130" s="284" t="s">
        <v>1045</v>
      </c>
      <c r="K130" s="285" t="s">
        <v>1044</v>
      </c>
    </row>
    <row r="131" spans="1:11" hidden="1" x14ac:dyDescent="0.2">
      <c r="A131" s="280" t="s">
        <v>139</v>
      </c>
      <c r="B131" s="270" t="s">
        <v>1099</v>
      </c>
      <c r="C131" s="280" t="s">
        <v>14</v>
      </c>
      <c r="D131" s="278" t="s">
        <v>15</v>
      </c>
      <c r="E131" s="280" t="s">
        <v>974</v>
      </c>
      <c r="F131" s="270" t="s">
        <v>15</v>
      </c>
      <c r="G131" s="280">
        <v>9</v>
      </c>
      <c r="H131" s="270" t="s">
        <v>961</v>
      </c>
      <c r="I131" s="284" t="s">
        <v>1045</v>
      </c>
      <c r="K131" s="285" t="s">
        <v>1044</v>
      </c>
    </row>
    <row r="132" spans="1:11" hidden="1" x14ac:dyDescent="0.2">
      <c r="A132" s="280" t="s">
        <v>212</v>
      </c>
      <c r="B132" s="270" t="s">
        <v>1100</v>
      </c>
      <c r="C132" s="280" t="s">
        <v>18</v>
      </c>
      <c r="D132" s="278" t="s">
        <v>661</v>
      </c>
      <c r="E132" s="280" t="s">
        <v>977</v>
      </c>
      <c r="F132" s="270" t="s">
        <v>644</v>
      </c>
      <c r="G132" s="280">
        <v>10</v>
      </c>
      <c r="H132" s="270" t="s">
        <v>968</v>
      </c>
      <c r="I132" s="284" t="s">
        <v>1045</v>
      </c>
      <c r="K132" s="285" t="s">
        <v>1044</v>
      </c>
    </row>
    <row r="133" spans="1:11" x14ac:dyDescent="0.2">
      <c r="A133" s="280" t="s">
        <v>175</v>
      </c>
      <c r="B133" s="270" t="s">
        <v>1101</v>
      </c>
      <c r="C133" s="280" t="s">
        <v>16</v>
      </c>
      <c r="D133" s="278" t="s">
        <v>17</v>
      </c>
      <c r="E133" s="280" t="s">
        <v>975</v>
      </c>
      <c r="F133" s="270" t="s">
        <v>17</v>
      </c>
      <c r="G133" s="280">
        <v>12</v>
      </c>
      <c r="H133" s="270" t="s">
        <v>975</v>
      </c>
      <c r="I133" s="284" t="s">
        <v>1045</v>
      </c>
      <c r="K133" s="285" t="s">
        <v>1044</v>
      </c>
    </row>
    <row r="134" spans="1:11" x14ac:dyDescent="0.2">
      <c r="A134" s="280" t="s">
        <v>176</v>
      </c>
      <c r="B134" s="270" t="s">
        <v>1102</v>
      </c>
      <c r="C134" s="280" t="s">
        <v>16</v>
      </c>
      <c r="D134" s="278" t="s">
        <v>17</v>
      </c>
      <c r="E134" s="280" t="s">
        <v>975</v>
      </c>
      <c r="F134" s="270" t="s">
        <v>17</v>
      </c>
      <c r="G134" s="280">
        <v>12</v>
      </c>
      <c r="H134" s="270" t="s">
        <v>975</v>
      </c>
      <c r="I134" s="284" t="s">
        <v>1045</v>
      </c>
      <c r="K134" s="285" t="s">
        <v>1044</v>
      </c>
    </row>
    <row r="135" spans="1:11" x14ac:dyDescent="0.2">
      <c r="A135" s="280" t="s">
        <v>177</v>
      </c>
      <c r="B135" s="270" t="s">
        <v>1103</v>
      </c>
      <c r="C135" s="280" t="s">
        <v>16</v>
      </c>
      <c r="D135" s="278" t="s">
        <v>17</v>
      </c>
      <c r="E135" s="280" t="s">
        <v>975</v>
      </c>
      <c r="F135" s="270" t="s">
        <v>17</v>
      </c>
      <c r="G135" s="280">
        <v>33</v>
      </c>
      <c r="H135" s="270" t="s">
        <v>976</v>
      </c>
      <c r="I135" s="284" t="s">
        <v>1045</v>
      </c>
      <c r="K135" s="285" t="s">
        <v>1044</v>
      </c>
    </row>
    <row r="136" spans="1:11" x14ac:dyDescent="0.2">
      <c r="A136" s="280" t="s">
        <v>178</v>
      </c>
      <c r="B136" s="270" t="s">
        <v>1104</v>
      </c>
      <c r="C136" s="280" t="s">
        <v>16</v>
      </c>
      <c r="D136" s="278" t="s">
        <v>17</v>
      </c>
      <c r="E136" s="280" t="s">
        <v>975</v>
      </c>
      <c r="F136" s="270" t="s">
        <v>17</v>
      </c>
      <c r="G136" s="280">
        <v>33</v>
      </c>
      <c r="H136" s="270" t="s">
        <v>976</v>
      </c>
      <c r="I136" s="284" t="s">
        <v>1045</v>
      </c>
      <c r="K136" s="285" t="s">
        <v>1044</v>
      </c>
    </row>
    <row r="137" spans="1:11" x14ac:dyDescent="0.2">
      <c r="A137" s="280" t="s">
        <v>179</v>
      </c>
      <c r="B137" s="270" t="s">
        <v>1105</v>
      </c>
      <c r="C137" s="280" t="s">
        <v>16</v>
      </c>
      <c r="D137" s="278" t="s">
        <v>17</v>
      </c>
      <c r="E137" s="280" t="s">
        <v>975</v>
      </c>
      <c r="F137" s="270" t="s">
        <v>17</v>
      </c>
      <c r="G137" s="280">
        <v>12</v>
      </c>
      <c r="H137" s="270" t="s">
        <v>975</v>
      </c>
      <c r="I137" s="284" t="s">
        <v>1045</v>
      </c>
      <c r="K137" s="285" t="s">
        <v>1047</v>
      </c>
    </row>
    <row r="138" spans="1:11" x14ac:dyDescent="0.2">
      <c r="A138" s="296" t="s">
        <v>845</v>
      </c>
      <c r="B138" s="297" t="s">
        <v>846</v>
      </c>
      <c r="C138" s="296" t="s">
        <v>1373</v>
      </c>
      <c r="D138" s="298" t="s">
        <v>1385</v>
      </c>
      <c r="E138" s="296" t="s">
        <v>975</v>
      </c>
      <c r="F138" s="297" t="s">
        <v>17</v>
      </c>
      <c r="G138" s="296">
        <v>12</v>
      </c>
      <c r="H138" s="297" t="s">
        <v>975</v>
      </c>
      <c r="I138" s="299" t="s">
        <v>1045</v>
      </c>
      <c r="J138" s="299"/>
      <c r="K138" s="300" t="s">
        <v>1044</v>
      </c>
    </row>
    <row r="139" spans="1:11" x14ac:dyDescent="0.2">
      <c r="A139" s="296" t="s">
        <v>847</v>
      </c>
      <c r="B139" s="297" t="s">
        <v>848</v>
      </c>
      <c r="C139" s="296" t="s">
        <v>1373</v>
      </c>
      <c r="D139" s="298" t="s">
        <v>1385</v>
      </c>
      <c r="E139" s="296" t="s">
        <v>975</v>
      </c>
      <c r="F139" s="297" t="s">
        <v>17</v>
      </c>
      <c r="G139" s="296">
        <v>12</v>
      </c>
      <c r="H139" s="297" t="s">
        <v>975</v>
      </c>
      <c r="I139" s="299" t="s">
        <v>1045</v>
      </c>
      <c r="J139" s="299"/>
      <c r="K139" s="300" t="s">
        <v>1047</v>
      </c>
    </row>
    <row r="140" spans="1:11" x14ac:dyDescent="0.2">
      <c r="A140" s="296" t="s">
        <v>849</v>
      </c>
      <c r="B140" s="297" t="s">
        <v>850</v>
      </c>
      <c r="C140" s="296" t="s">
        <v>1373</v>
      </c>
      <c r="D140" s="298" t="s">
        <v>1385</v>
      </c>
      <c r="E140" s="296" t="s">
        <v>975</v>
      </c>
      <c r="F140" s="297" t="s">
        <v>17</v>
      </c>
      <c r="G140" s="296">
        <v>12</v>
      </c>
      <c r="H140" s="297" t="s">
        <v>975</v>
      </c>
      <c r="I140" s="299" t="s">
        <v>1045</v>
      </c>
      <c r="J140" s="299"/>
      <c r="K140" s="300" t="s">
        <v>1047</v>
      </c>
    </row>
    <row r="141" spans="1:11" x14ac:dyDescent="0.2">
      <c r="A141" s="296" t="s">
        <v>180</v>
      </c>
      <c r="B141" s="297" t="s">
        <v>1106</v>
      </c>
      <c r="C141" s="296" t="s">
        <v>1373</v>
      </c>
      <c r="D141" s="298" t="s">
        <v>1385</v>
      </c>
      <c r="E141" s="296" t="s">
        <v>975</v>
      </c>
      <c r="F141" s="297" t="s">
        <v>17</v>
      </c>
      <c r="G141" s="296">
        <v>12</v>
      </c>
      <c r="H141" s="297" t="s">
        <v>975</v>
      </c>
      <c r="I141" s="299" t="s">
        <v>1045</v>
      </c>
      <c r="J141" s="299"/>
      <c r="K141" s="300" t="s">
        <v>1044</v>
      </c>
    </row>
    <row r="142" spans="1:11" x14ac:dyDescent="0.2">
      <c r="A142" s="296" t="s">
        <v>851</v>
      </c>
      <c r="B142" s="297" t="s">
        <v>852</v>
      </c>
      <c r="C142" s="296" t="s">
        <v>1373</v>
      </c>
      <c r="D142" s="298" t="s">
        <v>1385</v>
      </c>
      <c r="E142" s="296" t="s">
        <v>975</v>
      </c>
      <c r="F142" s="297" t="s">
        <v>17</v>
      </c>
      <c r="G142" s="296">
        <v>12</v>
      </c>
      <c r="H142" s="297" t="s">
        <v>975</v>
      </c>
      <c r="I142" s="299" t="s">
        <v>1045</v>
      </c>
      <c r="J142" s="299"/>
      <c r="K142" s="300" t="s">
        <v>1044</v>
      </c>
    </row>
    <row r="143" spans="1:11" x14ac:dyDescent="0.2">
      <c r="A143" s="296" t="s">
        <v>181</v>
      </c>
      <c r="B143" s="297" t="s">
        <v>1107</v>
      </c>
      <c r="C143" s="296" t="s">
        <v>1373</v>
      </c>
      <c r="D143" s="298" t="s">
        <v>1385</v>
      </c>
      <c r="E143" s="296" t="s">
        <v>975</v>
      </c>
      <c r="F143" s="297" t="s">
        <v>17</v>
      </c>
      <c r="G143" s="296">
        <v>12</v>
      </c>
      <c r="H143" s="297" t="s">
        <v>975</v>
      </c>
      <c r="I143" s="299" t="s">
        <v>1045</v>
      </c>
      <c r="J143" s="299"/>
      <c r="K143" s="300" t="s">
        <v>1044</v>
      </c>
    </row>
    <row r="144" spans="1:11" x14ac:dyDescent="0.2">
      <c r="A144" s="280" t="s">
        <v>182</v>
      </c>
      <c r="B144" s="270" t="s">
        <v>183</v>
      </c>
      <c r="C144" s="280" t="s">
        <v>16</v>
      </c>
      <c r="D144" s="278" t="s">
        <v>17</v>
      </c>
      <c r="E144" s="280" t="s">
        <v>975</v>
      </c>
      <c r="F144" s="270" t="s">
        <v>17</v>
      </c>
      <c r="G144" s="280">
        <v>12</v>
      </c>
      <c r="H144" s="270" t="s">
        <v>975</v>
      </c>
      <c r="I144" s="284" t="s">
        <v>1045</v>
      </c>
      <c r="K144" s="285" t="s">
        <v>1047</v>
      </c>
    </row>
    <row r="145" spans="1:11" x14ac:dyDescent="0.2">
      <c r="A145" s="280" t="s">
        <v>184</v>
      </c>
      <c r="B145" s="270" t="s">
        <v>185</v>
      </c>
      <c r="C145" s="280" t="s">
        <v>16</v>
      </c>
      <c r="D145" s="278" t="s">
        <v>17</v>
      </c>
      <c r="E145" s="280" t="s">
        <v>975</v>
      </c>
      <c r="F145" s="270" t="s">
        <v>17</v>
      </c>
      <c r="G145" s="280">
        <v>11</v>
      </c>
      <c r="H145" s="270" t="s">
        <v>974</v>
      </c>
      <c r="I145" s="284" t="s">
        <v>1045</v>
      </c>
      <c r="K145" s="285" t="s">
        <v>1044</v>
      </c>
    </row>
    <row r="146" spans="1:11" hidden="1" x14ac:dyDescent="0.2">
      <c r="A146" s="280" t="s">
        <v>135</v>
      </c>
      <c r="B146" s="270" t="s">
        <v>136</v>
      </c>
      <c r="C146" s="280" t="s">
        <v>12</v>
      </c>
      <c r="D146" s="278" t="s">
        <v>13</v>
      </c>
      <c r="E146" s="280" t="s">
        <v>968</v>
      </c>
      <c r="F146" s="270" t="s">
        <v>969</v>
      </c>
      <c r="G146" s="280">
        <v>9</v>
      </c>
      <c r="H146" s="270" t="s">
        <v>962</v>
      </c>
      <c r="I146" s="284" t="s">
        <v>1045</v>
      </c>
      <c r="K146" s="285" t="s">
        <v>1044</v>
      </c>
    </row>
    <row r="147" spans="1:11" hidden="1" x14ac:dyDescent="0.2">
      <c r="A147" s="280" t="s">
        <v>137</v>
      </c>
      <c r="B147" s="270" t="s">
        <v>138</v>
      </c>
      <c r="C147" s="280" t="s">
        <v>12</v>
      </c>
      <c r="D147" s="278" t="s">
        <v>13</v>
      </c>
      <c r="E147" s="280" t="s">
        <v>968</v>
      </c>
      <c r="F147" s="270" t="s">
        <v>969</v>
      </c>
      <c r="G147" s="280">
        <v>9</v>
      </c>
      <c r="H147" s="270" t="s">
        <v>964</v>
      </c>
      <c r="I147" s="284" t="s">
        <v>1045</v>
      </c>
      <c r="K147" s="285" t="s">
        <v>1044</v>
      </c>
    </row>
    <row r="148" spans="1:11" x14ac:dyDescent="0.2">
      <c r="A148" s="280" t="s">
        <v>186</v>
      </c>
      <c r="B148" s="270" t="s">
        <v>187</v>
      </c>
      <c r="C148" s="280" t="s">
        <v>16</v>
      </c>
      <c r="D148" s="278" t="s">
        <v>17</v>
      </c>
      <c r="E148" s="280" t="s">
        <v>975</v>
      </c>
      <c r="F148" s="270" t="s">
        <v>17</v>
      </c>
      <c r="G148" s="280">
        <v>33</v>
      </c>
      <c r="H148" s="270" t="s">
        <v>977</v>
      </c>
      <c r="I148" s="284" t="s">
        <v>1045</v>
      </c>
      <c r="K148" s="285" t="s">
        <v>1044</v>
      </c>
    </row>
    <row r="149" spans="1:11" x14ac:dyDescent="0.2">
      <c r="A149" s="280" t="s">
        <v>188</v>
      </c>
      <c r="B149" s="270" t="s">
        <v>189</v>
      </c>
      <c r="C149" s="280" t="s">
        <v>16</v>
      </c>
      <c r="D149" s="278" t="s">
        <v>17</v>
      </c>
      <c r="E149" s="280" t="s">
        <v>975</v>
      </c>
      <c r="F149" s="270" t="s">
        <v>17</v>
      </c>
      <c r="G149" s="280">
        <v>12</v>
      </c>
      <c r="H149" s="270" t="s">
        <v>975</v>
      </c>
      <c r="I149" s="284" t="s">
        <v>1045</v>
      </c>
      <c r="K149" s="285" t="s">
        <v>1044</v>
      </c>
    </row>
    <row r="150" spans="1:11" x14ac:dyDescent="0.2">
      <c r="A150" s="280" t="s">
        <v>190</v>
      </c>
      <c r="B150" s="270" t="s">
        <v>191</v>
      </c>
      <c r="C150" s="280" t="s">
        <v>16</v>
      </c>
      <c r="D150" s="278" t="s">
        <v>17</v>
      </c>
      <c r="E150" s="280" t="s">
        <v>975</v>
      </c>
      <c r="F150" s="270" t="s">
        <v>17</v>
      </c>
      <c r="G150" s="280">
        <v>12</v>
      </c>
      <c r="H150" s="270" t="s">
        <v>975</v>
      </c>
      <c r="I150" s="284" t="s">
        <v>1045</v>
      </c>
      <c r="K150" s="285" t="s">
        <v>1044</v>
      </c>
    </row>
    <row r="151" spans="1:11" x14ac:dyDescent="0.2">
      <c r="A151" s="280" t="s">
        <v>192</v>
      </c>
      <c r="B151" s="270" t="s">
        <v>193</v>
      </c>
      <c r="C151" s="280" t="s">
        <v>16</v>
      </c>
      <c r="D151" s="278" t="s">
        <v>17</v>
      </c>
      <c r="E151" s="280" t="s">
        <v>975</v>
      </c>
      <c r="F151" s="270" t="s">
        <v>17</v>
      </c>
      <c r="G151" s="280">
        <v>12</v>
      </c>
      <c r="H151" s="270" t="s">
        <v>975</v>
      </c>
      <c r="I151" s="284" t="s">
        <v>1045</v>
      </c>
      <c r="K151" s="285" t="s">
        <v>1044</v>
      </c>
    </row>
    <row r="152" spans="1:11" x14ac:dyDescent="0.2">
      <c r="A152" s="280" t="s">
        <v>194</v>
      </c>
      <c r="B152" s="270" t="s">
        <v>195</v>
      </c>
      <c r="C152" s="280" t="s">
        <v>16</v>
      </c>
      <c r="D152" s="278" t="s">
        <v>17</v>
      </c>
      <c r="E152" s="280" t="s">
        <v>975</v>
      </c>
      <c r="F152" s="270" t="s">
        <v>17</v>
      </c>
      <c r="G152" s="280">
        <v>12</v>
      </c>
      <c r="H152" s="270" t="s">
        <v>975</v>
      </c>
      <c r="I152" s="284" t="s">
        <v>1045</v>
      </c>
      <c r="K152" s="285" t="s">
        <v>1044</v>
      </c>
    </row>
    <row r="153" spans="1:11" x14ac:dyDescent="0.2">
      <c r="A153" s="280" t="s">
        <v>196</v>
      </c>
      <c r="B153" s="270" t="s">
        <v>1108</v>
      </c>
      <c r="C153" s="280" t="s">
        <v>16</v>
      </c>
      <c r="D153" s="278" t="s">
        <v>17</v>
      </c>
      <c r="E153" s="280" t="s">
        <v>975</v>
      </c>
      <c r="F153" s="270" t="s">
        <v>17</v>
      </c>
      <c r="G153" s="280">
        <v>12</v>
      </c>
      <c r="H153" s="270" t="s">
        <v>975</v>
      </c>
      <c r="I153" s="284" t="s">
        <v>1045</v>
      </c>
      <c r="K153" s="285" t="s">
        <v>1044</v>
      </c>
    </row>
    <row r="154" spans="1:11" x14ac:dyDescent="0.2">
      <c r="A154" s="280" t="s">
        <v>197</v>
      </c>
      <c r="B154" s="270" t="s">
        <v>1109</v>
      </c>
      <c r="C154" s="280" t="s">
        <v>16</v>
      </c>
      <c r="D154" s="278" t="s">
        <v>17</v>
      </c>
      <c r="E154" s="280" t="s">
        <v>975</v>
      </c>
      <c r="F154" s="270" t="s">
        <v>17</v>
      </c>
      <c r="G154" s="280">
        <v>12</v>
      </c>
      <c r="H154" s="270" t="s">
        <v>975</v>
      </c>
      <c r="I154" s="284" t="s">
        <v>1045</v>
      </c>
      <c r="K154" s="285" t="s">
        <v>1047</v>
      </c>
    </row>
    <row r="155" spans="1:11" x14ac:dyDescent="0.2">
      <c r="A155" s="280" t="s">
        <v>198</v>
      </c>
      <c r="B155" s="270" t="s">
        <v>199</v>
      </c>
      <c r="C155" s="280" t="s">
        <v>16</v>
      </c>
      <c r="D155" s="278" t="s">
        <v>17</v>
      </c>
      <c r="E155" s="280" t="s">
        <v>975</v>
      </c>
      <c r="F155" s="270" t="s">
        <v>17</v>
      </c>
      <c r="G155" s="280">
        <v>12</v>
      </c>
      <c r="H155" s="270" t="s">
        <v>975</v>
      </c>
      <c r="I155" s="284" t="s">
        <v>1045</v>
      </c>
      <c r="K155" s="285" t="s">
        <v>1047</v>
      </c>
    </row>
    <row r="156" spans="1:11" x14ac:dyDescent="0.2">
      <c r="A156" s="280" t="s">
        <v>200</v>
      </c>
      <c r="B156" s="270" t="s">
        <v>201</v>
      </c>
      <c r="C156" s="280" t="s">
        <v>16</v>
      </c>
      <c r="D156" s="278" t="s">
        <v>17</v>
      </c>
      <c r="E156" s="280" t="s">
        <v>975</v>
      </c>
      <c r="F156" s="270" t="s">
        <v>17</v>
      </c>
      <c r="G156" s="280">
        <v>12</v>
      </c>
      <c r="H156" s="270" t="s">
        <v>975</v>
      </c>
      <c r="I156" s="284" t="s">
        <v>1045</v>
      </c>
      <c r="K156" s="285" t="s">
        <v>1047</v>
      </c>
    </row>
    <row r="157" spans="1:11" hidden="1" x14ac:dyDescent="0.2">
      <c r="A157" s="280" t="s">
        <v>213</v>
      </c>
      <c r="B157" s="270" t="s">
        <v>214</v>
      </c>
      <c r="C157" s="280" t="s">
        <v>18</v>
      </c>
      <c r="D157" s="278" t="s">
        <v>661</v>
      </c>
      <c r="E157" s="280" t="s">
        <v>977</v>
      </c>
      <c r="F157" s="270" t="s">
        <v>644</v>
      </c>
      <c r="G157" s="280">
        <v>10</v>
      </c>
      <c r="H157" s="270" t="s">
        <v>968</v>
      </c>
      <c r="I157" s="284" t="s">
        <v>1045</v>
      </c>
      <c r="K157" s="285" t="s">
        <v>1044</v>
      </c>
    </row>
    <row r="158" spans="1:11" x14ac:dyDescent="0.2">
      <c r="A158" s="280" t="s">
        <v>202</v>
      </c>
      <c r="B158" s="270" t="s">
        <v>1110</v>
      </c>
      <c r="C158" s="280" t="s">
        <v>16</v>
      </c>
      <c r="D158" s="278" t="s">
        <v>17</v>
      </c>
      <c r="E158" s="280" t="s">
        <v>975</v>
      </c>
      <c r="F158" s="270" t="s">
        <v>17</v>
      </c>
      <c r="G158" s="280">
        <v>12</v>
      </c>
      <c r="H158" s="270" t="s">
        <v>975</v>
      </c>
      <c r="I158" s="284" t="s">
        <v>1045</v>
      </c>
      <c r="K158" s="285" t="s">
        <v>1044</v>
      </c>
    </row>
    <row r="159" spans="1:11" x14ac:dyDescent="0.2">
      <c r="A159" s="280" t="s">
        <v>203</v>
      </c>
      <c r="B159" s="270" t="s">
        <v>204</v>
      </c>
      <c r="C159" s="280" t="s">
        <v>16</v>
      </c>
      <c r="D159" s="278" t="s">
        <v>17</v>
      </c>
      <c r="E159" s="280" t="s">
        <v>975</v>
      </c>
      <c r="F159" s="270" t="s">
        <v>17</v>
      </c>
      <c r="G159" s="280">
        <v>12</v>
      </c>
      <c r="H159" s="270" t="s">
        <v>975</v>
      </c>
      <c r="I159" s="284" t="s">
        <v>1045</v>
      </c>
      <c r="K159" s="285" t="s">
        <v>1047</v>
      </c>
    </row>
    <row r="160" spans="1:11" x14ac:dyDescent="0.2">
      <c r="A160" s="280" t="s">
        <v>205</v>
      </c>
      <c r="B160" s="270" t="s">
        <v>1111</v>
      </c>
      <c r="C160" s="280" t="s">
        <v>16</v>
      </c>
      <c r="D160" s="278" t="s">
        <v>17</v>
      </c>
      <c r="E160" s="280" t="s">
        <v>975</v>
      </c>
      <c r="F160" s="270" t="s">
        <v>17</v>
      </c>
      <c r="G160" s="280">
        <v>12</v>
      </c>
      <c r="H160" s="270" t="s">
        <v>975</v>
      </c>
      <c r="I160" s="284" t="s">
        <v>1045</v>
      </c>
      <c r="K160" s="285" t="s">
        <v>1044</v>
      </c>
    </row>
    <row r="161" spans="1:11" x14ac:dyDescent="0.2">
      <c r="A161" s="280" t="s">
        <v>206</v>
      </c>
      <c r="B161" s="270" t="s">
        <v>207</v>
      </c>
      <c r="C161" s="280" t="s">
        <v>16</v>
      </c>
      <c r="D161" s="278" t="s">
        <v>17</v>
      </c>
      <c r="E161" s="280" t="s">
        <v>975</v>
      </c>
      <c r="F161" s="270" t="s">
        <v>17</v>
      </c>
      <c r="G161" s="280">
        <v>12</v>
      </c>
      <c r="H161" s="270" t="s">
        <v>975</v>
      </c>
      <c r="I161" s="284" t="s">
        <v>1045</v>
      </c>
      <c r="K161" s="285" t="s">
        <v>1044</v>
      </c>
    </row>
    <row r="162" spans="1:11" x14ac:dyDescent="0.2">
      <c r="A162" s="280" t="s">
        <v>208</v>
      </c>
      <c r="B162" s="270" t="s">
        <v>209</v>
      </c>
      <c r="C162" s="280" t="s">
        <v>16</v>
      </c>
      <c r="D162" s="278" t="s">
        <v>17</v>
      </c>
      <c r="E162" s="280" t="s">
        <v>975</v>
      </c>
      <c r="F162" s="270" t="s">
        <v>17</v>
      </c>
      <c r="G162" s="280">
        <v>12</v>
      </c>
      <c r="H162" s="270" t="s">
        <v>975</v>
      </c>
      <c r="I162" s="284" t="s">
        <v>1045</v>
      </c>
      <c r="K162" s="285" t="s">
        <v>1044</v>
      </c>
    </row>
    <row r="163" spans="1:11" hidden="1" x14ac:dyDescent="0.2">
      <c r="A163" s="280" t="s">
        <v>224</v>
      </c>
      <c r="B163" s="270" t="s">
        <v>225</v>
      </c>
      <c r="C163" s="280" t="s">
        <v>25</v>
      </c>
      <c r="D163" s="278" t="s">
        <v>26</v>
      </c>
      <c r="E163" s="280" t="s">
        <v>989</v>
      </c>
      <c r="F163" s="270" t="s">
        <v>990</v>
      </c>
      <c r="G163" s="280">
        <v>33</v>
      </c>
      <c r="H163" s="270" t="s">
        <v>977</v>
      </c>
      <c r="I163" s="284" t="s">
        <v>1045</v>
      </c>
      <c r="K163" s="285" t="s">
        <v>1044</v>
      </c>
    </row>
    <row r="164" spans="1:11" hidden="1" x14ac:dyDescent="0.2">
      <c r="A164" s="280" t="s">
        <v>226</v>
      </c>
      <c r="B164" s="270" t="s">
        <v>227</v>
      </c>
      <c r="C164" s="280" t="s">
        <v>25</v>
      </c>
      <c r="D164" s="278" t="s">
        <v>26</v>
      </c>
      <c r="E164" s="280" t="s">
        <v>989</v>
      </c>
      <c r="F164" s="270" t="s">
        <v>990</v>
      </c>
      <c r="G164" s="280">
        <v>12</v>
      </c>
      <c r="H164" s="270" t="s">
        <v>975</v>
      </c>
      <c r="I164" s="284" t="s">
        <v>1045</v>
      </c>
      <c r="K164" s="285" t="s">
        <v>1044</v>
      </c>
    </row>
    <row r="165" spans="1:11" hidden="1" x14ac:dyDescent="0.2">
      <c r="A165" s="280" t="s">
        <v>228</v>
      </c>
      <c r="B165" s="270" t="s">
        <v>229</v>
      </c>
      <c r="C165" s="280" t="s">
        <v>25</v>
      </c>
      <c r="D165" s="278" t="s">
        <v>26</v>
      </c>
      <c r="E165" s="280" t="s">
        <v>989</v>
      </c>
      <c r="F165" s="270" t="s">
        <v>990</v>
      </c>
      <c r="G165" s="280">
        <v>12</v>
      </c>
      <c r="H165" s="270" t="s">
        <v>975</v>
      </c>
      <c r="I165" s="284" t="s">
        <v>1045</v>
      </c>
      <c r="K165" s="285" t="s">
        <v>1044</v>
      </c>
    </row>
    <row r="166" spans="1:11" hidden="1" x14ac:dyDescent="0.2">
      <c r="A166" s="280" t="s">
        <v>230</v>
      </c>
      <c r="B166" s="270" t="s">
        <v>231</v>
      </c>
      <c r="C166" s="280" t="s">
        <v>25</v>
      </c>
      <c r="D166" s="278" t="s">
        <v>26</v>
      </c>
      <c r="E166" s="280" t="s">
        <v>989</v>
      </c>
      <c r="F166" s="270" t="s">
        <v>990</v>
      </c>
      <c r="G166" s="280">
        <v>12</v>
      </c>
      <c r="H166" s="270" t="s">
        <v>975</v>
      </c>
      <c r="I166" s="284" t="s">
        <v>1045</v>
      </c>
      <c r="K166" s="285" t="s">
        <v>1044</v>
      </c>
    </row>
    <row r="167" spans="1:11" hidden="1" x14ac:dyDescent="0.2">
      <c r="A167" s="280" t="s">
        <v>232</v>
      </c>
      <c r="B167" s="270" t="s">
        <v>233</v>
      </c>
      <c r="C167" s="280" t="s">
        <v>25</v>
      </c>
      <c r="D167" s="278" t="s">
        <v>26</v>
      </c>
      <c r="E167" s="280" t="s">
        <v>989</v>
      </c>
      <c r="F167" s="270" t="s">
        <v>990</v>
      </c>
      <c r="G167" s="280">
        <v>12</v>
      </c>
      <c r="H167" s="270" t="s">
        <v>975</v>
      </c>
      <c r="I167" s="284" t="s">
        <v>1045</v>
      </c>
      <c r="K167" s="285" t="s">
        <v>1044</v>
      </c>
    </row>
    <row r="168" spans="1:11" hidden="1" x14ac:dyDescent="0.2">
      <c r="A168" s="280" t="s">
        <v>234</v>
      </c>
      <c r="B168" s="270" t="s">
        <v>235</v>
      </c>
      <c r="C168" s="280" t="s">
        <v>29</v>
      </c>
      <c r="D168" s="278" t="s">
        <v>30</v>
      </c>
      <c r="E168" s="280" t="s">
        <v>991</v>
      </c>
      <c r="F168" s="270" t="s">
        <v>992</v>
      </c>
      <c r="G168" s="280">
        <v>17</v>
      </c>
      <c r="H168" s="270" t="s">
        <v>989</v>
      </c>
      <c r="I168" s="284" t="s">
        <v>1045</v>
      </c>
      <c r="K168" s="285" t="s">
        <v>1044</v>
      </c>
    </row>
    <row r="169" spans="1:11" hidden="1" x14ac:dyDescent="0.2">
      <c r="A169" s="280" t="s">
        <v>236</v>
      </c>
      <c r="B169" s="270" t="s">
        <v>237</v>
      </c>
      <c r="C169" s="280" t="s">
        <v>25</v>
      </c>
      <c r="D169" s="278" t="s">
        <v>26</v>
      </c>
      <c r="E169" s="280" t="s">
        <v>989</v>
      </c>
      <c r="F169" s="270" t="s">
        <v>990</v>
      </c>
      <c r="G169" s="280">
        <v>12</v>
      </c>
      <c r="H169" s="270" t="s">
        <v>975</v>
      </c>
      <c r="I169" s="284" t="s">
        <v>1045</v>
      </c>
      <c r="K169" s="285" t="s">
        <v>1044</v>
      </c>
    </row>
    <row r="170" spans="1:11" hidden="1" x14ac:dyDescent="0.2">
      <c r="A170" s="280" t="s">
        <v>238</v>
      </c>
      <c r="B170" s="270" t="s">
        <v>239</v>
      </c>
      <c r="C170" s="280" t="s">
        <v>25</v>
      </c>
      <c r="D170" s="278" t="s">
        <v>26</v>
      </c>
      <c r="E170" s="280" t="s">
        <v>989</v>
      </c>
      <c r="F170" s="270" t="s">
        <v>990</v>
      </c>
      <c r="G170" s="280">
        <v>17</v>
      </c>
      <c r="H170" s="270" t="s">
        <v>989</v>
      </c>
      <c r="I170" s="284" t="s">
        <v>1045</v>
      </c>
      <c r="K170" s="285" t="s">
        <v>1044</v>
      </c>
    </row>
    <row r="171" spans="1:11" hidden="1" x14ac:dyDescent="0.2">
      <c r="A171" s="280" t="s">
        <v>240</v>
      </c>
      <c r="B171" s="270" t="s">
        <v>241</v>
      </c>
      <c r="C171" s="280" t="s">
        <v>25</v>
      </c>
      <c r="D171" s="278" t="s">
        <v>26</v>
      </c>
      <c r="E171" s="280" t="s">
        <v>989</v>
      </c>
      <c r="F171" s="270" t="s">
        <v>990</v>
      </c>
      <c r="G171" s="280">
        <v>17</v>
      </c>
      <c r="H171" s="270" t="s">
        <v>989</v>
      </c>
      <c r="I171" s="284" t="s">
        <v>1045</v>
      </c>
      <c r="K171" s="285" t="s">
        <v>1044</v>
      </c>
    </row>
    <row r="172" spans="1:11" hidden="1" x14ac:dyDescent="0.2">
      <c r="A172" s="280" t="s">
        <v>242</v>
      </c>
      <c r="B172" s="270" t="s">
        <v>243</v>
      </c>
      <c r="C172" s="280" t="s">
        <v>25</v>
      </c>
      <c r="D172" s="278" t="s">
        <v>26</v>
      </c>
      <c r="E172" s="280" t="s">
        <v>989</v>
      </c>
      <c r="F172" s="270" t="s">
        <v>990</v>
      </c>
      <c r="G172" s="280">
        <v>17</v>
      </c>
      <c r="H172" s="270" t="s">
        <v>989</v>
      </c>
      <c r="I172" s="284" t="s">
        <v>1045</v>
      </c>
      <c r="K172" s="285" t="s">
        <v>1044</v>
      </c>
    </row>
    <row r="173" spans="1:11" hidden="1" x14ac:dyDescent="0.2">
      <c r="A173" s="280" t="s">
        <v>244</v>
      </c>
      <c r="B173" s="270" t="s">
        <v>245</v>
      </c>
      <c r="C173" s="280" t="s">
        <v>25</v>
      </c>
      <c r="D173" s="278" t="s">
        <v>26</v>
      </c>
      <c r="E173" s="280" t="s">
        <v>989</v>
      </c>
      <c r="F173" s="270" t="s">
        <v>990</v>
      </c>
      <c r="G173" s="280">
        <v>17</v>
      </c>
      <c r="H173" s="270" t="s">
        <v>989</v>
      </c>
      <c r="I173" s="284" t="s">
        <v>1045</v>
      </c>
      <c r="K173" s="285" t="s">
        <v>1044</v>
      </c>
    </row>
    <row r="174" spans="1:11" hidden="1" x14ac:dyDescent="0.2">
      <c r="A174" s="280" t="s">
        <v>246</v>
      </c>
      <c r="B174" s="270" t="s">
        <v>247</v>
      </c>
      <c r="C174" s="280" t="s">
        <v>25</v>
      </c>
      <c r="D174" s="278" t="s">
        <v>26</v>
      </c>
      <c r="E174" s="280" t="s">
        <v>989</v>
      </c>
      <c r="F174" s="270" t="s">
        <v>990</v>
      </c>
      <c r="G174" s="280">
        <v>17</v>
      </c>
      <c r="H174" s="270" t="s">
        <v>989</v>
      </c>
      <c r="I174" s="284" t="s">
        <v>1045</v>
      </c>
      <c r="K174" s="285" t="s">
        <v>1044</v>
      </c>
    </row>
    <row r="175" spans="1:11" hidden="1" x14ac:dyDescent="0.2">
      <c r="A175" s="280" t="s">
        <v>256</v>
      </c>
      <c r="B175" s="270" t="s">
        <v>257</v>
      </c>
      <c r="C175" s="280" t="s">
        <v>27</v>
      </c>
      <c r="D175" s="278" t="s">
        <v>28</v>
      </c>
      <c r="E175" s="280" t="s">
        <v>993</v>
      </c>
      <c r="F175" s="270" t="s">
        <v>994</v>
      </c>
      <c r="G175" s="280">
        <v>18</v>
      </c>
      <c r="H175" s="270" t="s">
        <v>997</v>
      </c>
      <c r="I175" s="284" t="s">
        <v>1045</v>
      </c>
      <c r="K175" s="285" t="s">
        <v>1044</v>
      </c>
    </row>
    <row r="176" spans="1:11" hidden="1" x14ac:dyDescent="0.2">
      <c r="A176" s="280" t="s">
        <v>258</v>
      </c>
      <c r="B176" s="270" t="s">
        <v>259</v>
      </c>
      <c r="C176" s="280" t="s">
        <v>27</v>
      </c>
      <c r="D176" s="278" t="s">
        <v>28</v>
      </c>
      <c r="E176" s="280" t="s">
        <v>993</v>
      </c>
      <c r="F176" s="270" t="s">
        <v>994</v>
      </c>
      <c r="G176" s="280">
        <v>17</v>
      </c>
      <c r="H176" s="270" t="s">
        <v>989</v>
      </c>
      <c r="I176" s="284" t="s">
        <v>1045</v>
      </c>
      <c r="K176" s="285" t="s">
        <v>1044</v>
      </c>
    </row>
    <row r="177" spans="1:11" hidden="1" x14ac:dyDescent="0.2">
      <c r="A177" s="280" t="s">
        <v>260</v>
      </c>
      <c r="B177" s="270" t="s">
        <v>1112</v>
      </c>
      <c r="C177" s="280" t="s">
        <v>27</v>
      </c>
      <c r="D177" s="278" t="s">
        <v>28</v>
      </c>
      <c r="E177" s="280" t="s">
        <v>995</v>
      </c>
      <c r="F177" s="270" t="s">
        <v>996</v>
      </c>
      <c r="G177" s="280">
        <v>18</v>
      </c>
      <c r="H177" s="270" t="s">
        <v>995</v>
      </c>
      <c r="I177" s="284" t="s">
        <v>1045</v>
      </c>
      <c r="K177" s="285" t="s">
        <v>1044</v>
      </c>
    </row>
    <row r="178" spans="1:11" hidden="1" x14ac:dyDescent="0.2">
      <c r="A178" s="280" t="s">
        <v>261</v>
      </c>
      <c r="B178" s="270" t="s">
        <v>262</v>
      </c>
      <c r="C178" s="280" t="s">
        <v>27</v>
      </c>
      <c r="D178" s="278" t="s">
        <v>28</v>
      </c>
      <c r="E178" s="280" t="s">
        <v>995</v>
      </c>
      <c r="F178" s="270" t="s">
        <v>996</v>
      </c>
      <c r="G178" s="280">
        <v>18</v>
      </c>
      <c r="H178" s="270" t="s">
        <v>997</v>
      </c>
      <c r="I178" s="284" t="s">
        <v>1045</v>
      </c>
      <c r="K178" s="285" t="s">
        <v>1044</v>
      </c>
    </row>
    <row r="179" spans="1:11" hidden="1" x14ac:dyDescent="0.2">
      <c r="A179" s="280" t="s">
        <v>263</v>
      </c>
      <c r="B179" s="270" t="s">
        <v>264</v>
      </c>
      <c r="C179" s="280" t="s">
        <v>27</v>
      </c>
      <c r="D179" s="278" t="s">
        <v>28</v>
      </c>
      <c r="E179" s="280" t="s">
        <v>997</v>
      </c>
      <c r="F179" s="270" t="s">
        <v>998</v>
      </c>
      <c r="G179" s="280">
        <v>17</v>
      </c>
      <c r="H179" s="270" t="s">
        <v>989</v>
      </c>
      <c r="I179" s="284" t="s">
        <v>1045</v>
      </c>
      <c r="K179" s="285" t="s">
        <v>1044</v>
      </c>
    </row>
    <row r="180" spans="1:11" hidden="1" x14ac:dyDescent="0.2">
      <c r="A180" s="280" t="s">
        <v>265</v>
      </c>
      <c r="B180" s="270" t="s">
        <v>607</v>
      </c>
      <c r="C180" s="280" t="s">
        <v>27</v>
      </c>
      <c r="D180" s="278" t="s">
        <v>28</v>
      </c>
      <c r="E180" s="280" t="s">
        <v>997</v>
      </c>
      <c r="F180" s="270" t="s">
        <v>998</v>
      </c>
      <c r="G180" s="280">
        <v>17</v>
      </c>
      <c r="H180" s="270" t="s">
        <v>989</v>
      </c>
      <c r="I180" s="284" t="s">
        <v>1045</v>
      </c>
      <c r="K180" s="285" t="s">
        <v>1044</v>
      </c>
    </row>
    <row r="181" spans="1:11" hidden="1" x14ac:dyDescent="0.2">
      <c r="A181" s="280" t="s">
        <v>248</v>
      </c>
      <c r="B181" s="270" t="s">
        <v>1113</v>
      </c>
      <c r="C181" s="280" t="s">
        <v>25</v>
      </c>
      <c r="D181" s="278" t="s">
        <v>26</v>
      </c>
      <c r="E181" s="280" t="s">
        <v>989</v>
      </c>
      <c r="F181" s="270" t="s">
        <v>990</v>
      </c>
      <c r="G181" s="280">
        <v>19</v>
      </c>
      <c r="H181" s="270" t="s">
        <v>991</v>
      </c>
      <c r="I181" s="284" t="s">
        <v>1045</v>
      </c>
      <c r="K181" s="285" t="s">
        <v>1044</v>
      </c>
    </row>
    <row r="182" spans="1:11" hidden="1" x14ac:dyDescent="0.2">
      <c r="A182" s="280" t="s">
        <v>249</v>
      </c>
      <c r="B182" s="270" t="s">
        <v>1114</v>
      </c>
      <c r="C182" s="280" t="s">
        <v>25</v>
      </c>
      <c r="D182" s="278" t="s">
        <v>26</v>
      </c>
      <c r="E182" s="280" t="s">
        <v>989</v>
      </c>
      <c r="F182" s="270" t="s">
        <v>990</v>
      </c>
      <c r="G182" s="280">
        <v>17</v>
      </c>
      <c r="H182" s="270" t="s">
        <v>989</v>
      </c>
      <c r="I182" s="284" t="s">
        <v>1045</v>
      </c>
      <c r="K182" s="285" t="s">
        <v>1044</v>
      </c>
    </row>
    <row r="183" spans="1:11" hidden="1" x14ac:dyDescent="0.2">
      <c r="A183" s="280" t="s">
        <v>250</v>
      </c>
      <c r="B183" s="270" t="s">
        <v>1115</v>
      </c>
      <c r="C183" s="280" t="s">
        <v>25</v>
      </c>
      <c r="D183" s="278" t="s">
        <v>26</v>
      </c>
      <c r="E183" s="280" t="s">
        <v>989</v>
      </c>
      <c r="F183" s="270" t="s">
        <v>990</v>
      </c>
      <c r="G183" s="280">
        <v>17</v>
      </c>
      <c r="H183" s="270" t="s">
        <v>989</v>
      </c>
      <c r="I183" s="284" t="s">
        <v>1045</v>
      </c>
      <c r="K183" s="285" t="s">
        <v>1044</v>
      </c>
    </row>
    <row r="184" spans="1:11" hidden="1" x14ac:dyDescent="0.2">
      <c r="A184" s="280" t="s">
        <v>251</v>
      </c>
      <c r="B184" s="270" t="s">
        <v>1116</v>
      </c>
      <c r="C184" s="280" t="s">
        <v>25</v>
      </c>
      <c r="D184" s="278" t="s">
        <v>26</v>
      </c>
      <c r="E184" s="280" t="s">
        <v>989</v>
      </c>
      <c r="F184" s="270" t="s">
        <v>990</v>
      </c>
      <c r="G184" s="280">
        <v>17</v>
      </c>
      <c r="H184" s="270" t="s">
        <v>989</v>
      </c>
      <c r="I184" s="284" t="s">
        <v>1045</v>
      </c>
      <c r="K184" s="285" t="s">
        <v>1044</v>
      </c>
    </row>
    <row r="185" spans="1:11" hidden="1" x14ac:dyDescent="0.2">
      <c r="A185" s="280" t="s">
        <v>252</v>
      </c>
      <c r="B185" s="270" t="s">
        <v>1117</v>
      </c>
      <c r="C185" s="280" t="s">
        <v>25</v>
      </c>
      <c r="D185" s="278" t="s">
        <v>26</v>
      </c>
      <c r="E185" s="280" t="s">
        <v>989</v>
      </c>
      <c r="F185" s="270" t="s">
        <v>990</v>
      </c>
      <c r="G185" s="280">
        <v>17</v>
      </c>
      <c r="H185" s="270" t="s">
        <v>989</v>
      </c>
      <c r="I185" s="284" t="s">
        <v>1045</v>
      </c>
      <c r="K185" s="285" t="s">
        <v>1044</v>
      </c>
    </row>
    <row r="186" spans="1:11" hidden="1" x14ac:dyDescent="0.2">
      <c r="A186" s="280" t="s">
        <v>253</v>
      </c>
      <c r="B186" s="270" t="s">
        <v>1118</v>
      </c>
      <c r="C186" s="280" t="s">
        <v>25</v>
      </c>
      <c r="D186" s="278" t="s">
        <v>26</v>
      </c>
      <c r="E186" s="280" t="s">
        <v>989</v>
      </c>
      <c r="F186" s="270" t="s">
        <v>990</v>
      </c>
      <c r="G186" s="280">
        <v>17</v>
      </c>
      <c r="H186" s="270" t="s">
        <v>989</v>
      </c>
      <c r="I186" s="284" t="s">
        <v>1045</v>
      </c>
      <c r="K186" s="285" t="s">
        <v>1044</v>
      </c>
    </row>
    <row r="187" spans="1:11" hidden="1" x14ac:dyDescent="0.2">
      <c r="A187" s="280" t="s">
        <v>254</v>
      </c>
      <c r="B187" s="270" t="s">
        <v>1119</v>
      </c>
      <c r="C187" s="280" t="s">
        <v>25</v>
      </c>
      <c r="D187" s="278" t="s">
        <v>26</v>
      </c>
      <c r="E187" s="280" t="s">
        <v>989</v>
      </c>
      <c r="F187" s="270" t="s">
        <v>990</v>
      </c>
      <c r="G187" s="280">
        <v>17</v>
      </c>
      <c r="H187" s="270" t="s">
        <v>989</v>
      </c>
      <c r="I187" s="284" t="s">
        <v>1045</v>
      </c>
      <c r="K187" s="285" t="s">
        <v>1044</v>
      </c>
    </row>
    <row r="188" spans="1:11" hidden="1" x14ac:dyDescent="0.2">
      <c r="A188" s="280" t="s">
        <v>255</v>
      </c>
      <c r="B188" s="270" t="s">
        <v>1120</v>
      </c>
      <c r="C188" s="280" t="s">
        <v>25</v>
      </c>
      <c r="D188" s="278" t="s">
        <v>26</v>
      </c>
      <c r="E188" s="280" t="s">
        <v>989</v>
      </c>
      <c r="F188" s="270" t="s">
        <v>990</v>
      </c>
      <c r="G188" s="280">
        <v>18</v>
      </c>
      <c r="H188" s="270" t="s">
        <v>993</v>
      </c>
      <c r="I188" s="284" t="s">
        <v>1045</v>
      </c>
      <c r="K188" s="285" t="s">
        <v>1044</v>
      </c>
    </row>
    <row r="189" spans="1:11" hidden="1" x14ac:dyDescent="0.2">
      <c r="A189" s="280" t="s">
        <v>853</v>
      </c>
      <c r="B189" s="270" t="s">
        <v>854</v>
      </c>
      <c r="C189" s="280" t="s">
        <v>25</v>
      </c>
      <c r="D189" s="278" t="s">
        <v>26</v>
      </c>
      <c r="E189" s="280" t="s">
        <v>989</v>
      </c>
      <c r="F189" s="270" t="s">
        <v>990</v>
      </c>
      <c r="G189" s="280">
        <v>18</v>
      </c>
      <c r="H189" s="270" t="s">
        <v>993</v>
      </c>
      <c r="I189" s="284" t="s">
        <v>1045</v>
      </c>
      <c r="K189" s="285" t="s">
        <v>1044</v>
      </c>
    </row>
    <row r="190" spans="1:11" hidden="1" x14ac:dyDescent="0.2">
      <c r="A190" s="280" t="s">
        <v>855</v>
      </c>
      <c r="B190" s="270" t="s">
        <v>856</v>
      </c>
      <c r="C190" s="280" t="s">
        <v>25</v>
      </c>
      <c r="D190" s="278" t="s">
        <v>26</v>
      </c>
      <c r="E190" s="280" t="s">
        <v>989</v>
      </c>
      <c r="F190" s="270" t="s">
        <v>990</v>
      </c>
      <c r="G190" s="280">
        <v>18</v>
      </c>
      <c r="H190" s="270" t="s">
        <v>995</v>
      </c>
      <c r="I190" s="284" t="s">
        <v>1045</v>
      </c>
      <c r="K190" s="285" t="s">
        <v>1044</v>
      </c>
    </row>
    <row r="191" spans="1:11" hidden="1" x14ac:dyDescent="0.2">
      <c r="A191" s="280" t="s">
        <v>857</v>
      </c>
      <c r="B191" s="270" t="s">
        <v>1149</v>
      </c>
      <c r="C191" s="280" t="s">
        <v>29</v>
      </c>
      <c r="D191" s="278" t="s">
        <v>30</v>
      </c>
      <c r="E191" s="280" t="s">
        <v>991</v>
      </c>
      <c r="F191" s="270" t="s">
        <v>992</v>
      </c>
      <c r="G191" s="280">
        <v>17</v>
      </c>
      <c r="H191" s="270" t="s">
        <v>989</v>
      </c>
      <c r="I191" s="284" t="s">
        <v>1045</v>
      </c>
      <c r="K191" s="285" t="s">
        <v>1044</v>
      </c>
    </row>
    <row r="192" spans="1:11" hidden="1" x14ac:dyDescent="0.2">
      <c r="A192" s="280" t="s">
        <v>276</v>
      </c>
      <c r="B192" s="270" t="s">
        <v>277</v>
      </c>
      <c r="C192" s="280" t="s">
        <v>31</v>
      </c>
      <c r="D192" s="278" t="s">
        <v>32</v>
      </c>
      <c r="E192" s="280" t="s">
        <v>999</v>
      </c>
      <c r="F192" s="270" t="s">
        <v>1000</v>
      </c>
      <c r="G192" s="280">
        <v>19</v>
      </c>
      <c r="H192" s="270" t="s">
        <v>991</v>
      </c>
      <c r="I192" s="284" t="s">
        <v>1045</v>
      </c>
      <c r="K192" s="285" t="s">
        <v>1047</v>
      </c>
    </row>
    <row r="193" spans="1:11" hidden="1" x14ac:dyDescent="0.2">
      <c r="A193" s="280" t="s">
        <v>278</v>
      </c>
      <c r="B193" s="270" t="s">
        <v>279</v>
      </c>
      <c r="C193" s="280" t="s">
        <v>31</v>
      </c>
      <c r="D193" s="278" t="s">
        <v>32</v>
      </c>
      <c r="E193" s="280" t="s">
        <v>999</v>
      </c>
      <c r="F193" s="270" t="s">
        <v>1000</v>
      </c>
      <c r="G193" s="280">
        <v>19</v>
      </c>
      <c r="H193" s="270" t="s">
        <v>1005</v>
      </c>
      <c r="I193" s="284" t="s">
        <v>1045</v>
      </c>
      <c r="K193" s="285" t="s">
        <v>1047</v>
      </c>
    </row>
    <row r="194" spans="1:11" hidden="1" x14ac:dyDescent="0.2">
      <c r="A194" s="280" t="s">
        <v>280</v>
      </c>
      <c r="B194" s="270" t="s">
        <v>281</v>
      </c>
      <c r="C194" s="280" t="s">
        <v>31</v>
      </c>
      <c r="D194" s="278" t="s">
        <v>32</v>
      </c>
      <c r="E194" s="280" t="s">
        <v>999</v>
      </c>
      <c r="F194" s="270" t="s">
        <v>1000</v>
      </c>
      <c r="G194" s="280">
        <v>19</v>
      </c>
      <c r="H194" s="270" t="s">
        <v>1005</v>
      </c>
      <c r="I194" s="284" t="s">
        <v>1045</v>
      </c>
      <c r="K194" s="285" t="s">
        <v>1047</v>
      </c>
    </row>
    <row r="195" spans="1:11" hidden="1" x14ac:dyDescent="0.2">
      <c r="A195" s="280" t="s">
        <v>282</v>
      </c>
      <c r="B195" s="270" t="s">
        <v>283</v>
      </c>
      <c r="C195" s="280" t="s">
        <v>31</v>
      </c>
      <c r="D195" s="278" t="s">
        <v>32</v>
      </c>
      <c r="E195" s="280" t="s">
        <v>999</v>
      </c>
      <c r="F195" s="270" t="s">
        <v>1000</v>
      </c>
      <c r="G195" s="280">
        <v>19</v>
      </c>
      <c r="H195" s="270" t="s">
        <v>1005</v>
      </c>
      <c r="I195" s="284" t="s">
        <v>1045</v>
      </c>
      <c r="K195" s="285" t="s">
        <v>1047</v>
      </c>
    </row>
    <row r="196" spans="1:11" hidden="1" x14ac:dyDescent="0.2">
      <c r="A196" s="280" t="s">
        <v>284</v>
      </c>
      <c r="B196" s="270" t="s">
        <v>285</v>
      </c>
      <c r="C196" s="280" t="s">
        <v>31</v>
      </c>
      <c r="D196" s="278" t="s">
        <v>32</v>
      </c>
      <c r="E196" s="280" t="s">
        <v>999</v>
      </c>
      <c r="F196" s="270" t="s">
        <v>1000</v>
      </c>
      <c r="G196" s="280">
        <v>20</v>
      </c>
      <c r="H196" s="270" t="s">
        <v>999</v>
      </c>
      <c r="I196" s="284" t="s">
        <v>1045</v>
      </c>
      <c r="K196" s="285" t="s">
        <v>1044</v>
      </c>
    </row>
    <row r="197" spans="1:11" hidden="1" x14ac:dyDescent="0.2">
      <c r="A197" s="281" t="s">
        <v>1331</v>
      </c>
      <c r="B197" s="270" t="s">
        <v>1289</v>
      </c>
      <c r="C197" s="280" t="s">
        <v>31</v>
      </c>
      <c r="D197" s="278" t="s">
        <v>32</v>
      </c>
      <c r="E197" s="280" t="s">
        <v>999</v>
      </c>
      <c r="F197" s="270" t="s">
        <v>1000</v>
      </c>
      <c r="G197" s="280">
        <v>20</v>
      </c>
      <c r="H197" s="270" t="s">
        <v>999</v>
      </c>
      <c r="I197" s="289" t="s">
        <v>1045</v>
      </c>
      <c r="J197" s="289"/>
      <c r="K197" s="290">
        <v>2559</v>
      </c>
    </row>
    <row r="198" spans="1:11" hidden="1" x14ac:dyDescent="0.2">
      <c r="A198" s="281" t="s">
        <v>1332</v>
      </c>
      <c r="B198" s="270" t="s">
        <v>1290</v>
      </c>
      <c r="C198" s="280" t="s">
        <v>31</v>
      </c>
      <c r="D198" s="278" t="s">
        <v>32</v>
      </c>
      <c r="E198" s="280" t="s">
        <v>999</v>
      </c>
      <c r="F198" s="270" t="s">
        <v>1000</v>
      </c>
      <c r="G198" s="280">
        <v>20</v>
      </c>
      <c r="H198" s="270" t="s">
        <v>999</v>
      </c>
      <c r="I198" s="289" t="s">
        <v>1045</v>
      </c>
      <c r="J198" s="289"/>
      <c r="K198" s="290">
        <v>2562</v>
      </c>
    </row>
    <row r="199" spans="1:11" hidden="1" x14ac:dyDescent="0.2">
      <c r="A199" s="280" t="s">
        <v>286</v>
      </c>
      <c r="B199" s="270" t="s">
        <v>287</v>
      </c>
      <c r="C199" s="280" t="s">
        <v>31</v>
      </c>
      <c r="D199" s="278" t="s">
        <v>32</v>
      </c>
      <c r="E199" s="280" t="s">
        <v>999</v>
      </c>
      <c r="F199" s="270" t="s">
        <v>1000</v>
      </c>
      <c r="G199" s="280">
        <v>20</v>
      </c>
      <c r="H199" s="270" t="s">
        <v>999</v>
      </c>
      <c r="I199" s="284" t="s">
        <v>1045</v>
      </c>
      <c r="K199" s="285" t="s">
        <v>1047</v>
      </c>
    </row>
    <row r="200" spans="1:11" hidden="1" x14ac:dyDescent="0.2">
      <c r="A200" s="280" t="s">
        <v>288</v>
      </c>
      <c r="B200" s="270" t="s">
        <v>289</v>
      </c>
      <c r="C200" s="280" t="s">
        <v>31</v>
      </c>
      <c r="D200" s="278" t="s">
        <v>32</v>
      </c>
      <c r="E200" s="280" t="s">
        <v>999</v>
      </c>
      <c r="F200" s="270" t="s">
        <v>1000</v>
      </c>
      <c r="G200" s="280">
        <v>20</v>
      </c>
      <c r="H200" s="270" t="s">
        <v>999</v>
      </c>
      <c r="I200" s="284" t="s">
        <v>1045</v>
      </c>
      <c r="K200" s="285" t="s">
        <v>1044</v>
      </c>
    </row>
    <row r="201" spans="1:11" hidden="1" x14ac:dyDescent="0.2">
      <c r="A201" s="280" t="s">
        <v>269</v>
      </c>
      <c r="B201" s="270" t="s">
        <v>270</v>
      </c>
      <c r="C201" s="280" t="s">
        <v>29</v>
      </c>
      <c r="D201" s="278" t="s">
        <v>30</v>
      </c>
      <c r="E201" s="280" t="s">
        <v>1003</v>
      </c>
      <c r="F201" s="270" t="s">
        <v>1004</v>
      </c>
      <c r="G201" s="280">
        <v>20</v>
      </c>
      <c r="H201" s="270" t="s">
        <v>999</v>
      </c>
      <c r="I201" s="284" t="s">
        <v>1045</v>
      </c>
      <c r="K201" s="285" t="s">
        <v>1044</v>
      </c>
    </row>
    <row r="202" spans="1:11" hidden="1" x14ac:dyDescent="0.2">
      <c r="A202" s="280" t="s">
        <v>272</v>
      </c>
      <c r="B202" s="270" t="s">
        <v>273</v>
      </c>
      <c r="C202" s="280" t="s">
        <v>29</v>
      </c>
      <c r="D202" s="278" t="s">
        <v>30</v>
      </c>
      <c r="E202" s="280" t="s">
        <v>1003</v>
      </c>
      <c r="F202" s="270" t="s">
        <v>1004</v>
      </c>
      <c r="G202" s="280">
        <v>20</v>
      </c>
      <c r="H202" s="270" t="s">
        <v>999</v>
      </c>
      <c r="I202" s="284" t="s">
        <v>1045</v>
      </c>
      <c r="K202" s="285" t="s">
        <v>1044</v>
      </c>
    </row>
    <row r="203" spans="1:11" hidden="1" x14ac:dyDescent="0.2">
      <c r="A203" s="280" t="s">
        <v>274</v>
      </c>
      <c r="B203" s="270" t="s">
        <v>1291</v>
      </c>
      <c r="C203" s="280" t="s">
        <v>29</v>
      </c>
      <c r="D203" s="278" t="s">
        <v>30</v>
      </c>
      <c r="E203" s="280" t="s">
        <v>1005</v>
      </c>
      <c r="F203" s="270" t="s">
        <v>1006</v>
      </c>
      <c r="G203" s="280">
        <v>19</v>
      </c>
      <c r="H203" s="270" t="s">
        <v>1003</v>
      </c>
      <c r="I203" s="284" t="s">
        <v>1045</v>
      </c>
      <c r="K203" s="285" t="s">
        <v>1044</v>
      </c>
    </row>
    <row r="204" spans="1:11" hidden="1" x14ac:dyDescent="0.2">
      <c r="A204" s="280" t="s">
        <v>275</v>
      </c>
      <c r="B204" s="270" t="s">
        <v>1292</v>
      </c>
      <c r="C204" s="280" t="s">
        <v>29</v>
      </c>
      <c r="D204" s="278" t="s">
        <v>30</v>
      </c>
      <c r="E204" s="280" t="s">
        <v>1005</v>
      </c>
      <c r="F204" s="270" t="s">
        <v>1006</v>
      </c>
      <c r="G204" s="280">
        <v>19</v>
      </c>
      <c r="H204" s="270" t="s">
        <v>1003</v>
      </c>
      <c r="I204" s="284" t="s">
        <v>1045</v>
      </c>
      <c r="K204" s="285" t="s">
        <v>1044</v>
      </c>
    </row>
    <row r="205" spans="1:11" hidden="1" x14ac:dyDescent="0.2">
      <c r="A205" s="280" t="s">
        <v>858</v>
      </c>
      <c r="B205" s="270" t="s">
        <v>1293</v>
      </c>
      <c r="C205" s="280" t="s">
        <v>29</v>
      </c>
      <c r="D205" s="278" t="s">
        <v>30</v>
      </c>
      <c r="E205" s="280" t="s">
        <v>1001</v>
      </c>
      <c r="F205" s="270" t="s">
        <v>1002</v>
      </c>
      <c r="G205" s="280">
        <v>20</v>
      </c>
      <c r="H205" s="270" t="s">
        <v>999</v>
      </c>
      <c r="I205" s="284" t="s">
        <v>1045</v>
      </c>
      <c r="K205" s="285" t="s">
        <v>1044</v>
      </c>
    </row>
    <row r="206" spans="1:11" hidden="1" x14ac:dyDescent="0.2">
      <c r="A206" s="280" t="s">
        <v>859</v>
      </c>
      <c r="B206" s="270" t="s">
        <v>1294</v>
      </c>
      <c r="C206" s="280" t="s">
        <v>29</v>
      </c>
      <c r="D206" s="278" t="s">
        <v>30</v>
      </c>
      <c r="E206" s="280" t="s">
        <v>1001</v>
      </c>
      <c r="F206" s="270" t="s">
        <v>1002</v>
      </c>
      <c r="G206" s="280">
        <v>20</v>
      </c>
      <c r="H206" s="270" t="s">
        <v>999</v>
      </c>
      <c r="I206" s="284" t="s">
        <v>1045</v>
      </c>
      <c r="K206" s="285" t="s">
        <v>1044</v>
      </c>
    </row>
    <row r="207" spans="1:11" hidden="1" x14ac:dyDescent="0.2">
      <c r="A207" s="280" t="s">
        <v>1295</v>
      </c>
      <c r="B207" s="270" t="s">
        <v>1298</v>
      </c>
      <c r="C207" s="280" t="s">
        <v>29</v>
      </c>
      <c r="D207" s="278" t="s">
        <v>30</v>
      </c>
      <c r="E207" s="280" t="s">
        <v>1005</v>
      </c>
      <c r="F207" s="270" t="s">
        <v>1006</v>
      </c>
      <c r="G207" s="280">
        <v>19</v>
      </c>
      <c r="H207" s="270" t="s">
        <v>1003</v>
      </c>
      <c r="I207" s="289" t="s">
        <v>1045</v>
      </c>
      <c r="J207" s="289"/>
      <c r="K207" s="285">
        <v>2562</v>
      </c>
    </row>
    <row r="208" spans="1:11" hidden="1" x14ac:dyDescent="0.2">
      <c r="A208" s="280" t="s">
        <v>1296</v>
      </c>
      <c r="B208" s="270" t="s">
        <v>1299</v>
      </c>
      <c r="C208" s="280" t="s">
        <v>29</v>
      </c>
      <c r="D208" s="278" t="s">
        <v>30</v>
      </c>
      <c r="E208" s="280" t="s">
        <v>1005</v>
      </c>
      <c r="F208" s="270" t="s">
        <v>1006</v>
      </c>
      <c r="G208" s="280">
        <v>19</v>
      </c>
      <c r="H208" s="270" t="s">
        <v>1003</v>
      </c>
      <c r="I208" s="289" t="s">
        <v>1045</v>
      </c>
      <c r="J208" s="289"/>
      <c r="K208" s="285">
        <v>2562</v>
      </c>
    </row>
    <row r="209" spans="1:11" hidden="1" x14ac:dyDescent="0.2">
      <c r="A209" s="280" t="s">
        <v>1297</v>
      </c>
      <c r="B209" s="270" t="s">
        <v>1301</v>
      </c>
      <c r="C209" s="280" t="s">
        <v>29</v>
      </c>
      <c r="D209" s="278" t="s">
        <v>30</v>
      </c>
      <c r="E209" s="280" t="s">
        <v>1001</v>
      </c>
      <c r="F209" s="270" t="s">
        <v>1002</v>
      </c>
      <c r="G209" s="280">
        <v>20</v>
      </c>
      <c r="H209" s="270" t="s">
        <v>999</v>
      </c>
      <c r="I209" s="289" t="s">
        <v>1045</v>
      </c>
      <c r="J209" s="289"/>
      <c r="K209" s="285">
        <v>2562</v>
      </c>
    </row>
    <row r="210" spans="1:11" hidden="1" x14ac:dyDescent="0.2">
      <c r="A210" s="280" t="s">
        <v>1300</v>
      </c>
      <c r="B210" s="270" t="s">
        <v>1302</v>
      </c>
      <c r="C210" s="280" t="s">
        <v>29</v>
      </c>
      <c r="D210" s="278" t="s">
        <v>30</v>
      </c>
      <c r="E210" s="280" t="s">
        <v>1001</v>
      </c>
      <c r="F210" s="270" t="s">
        <v>1002</v>
      </c>
      <c r="G210" s="280">
        <v>20</v>
      </c>
      <c r="H210" s="270" t="s">
        <v>999</v>
      </c>
      <c r="I210" s="289" t="s">
        <v>1045</v>
      </c>
      <c r="J210" s="289"/>
      <c r="K210" s="285">
        <v>2562</v>
      </c>
    </row>
    <row r="211" spans="1:11" hidden="1" x14ac:dyDescent="0.2">
      <c r="A211" s="280" t="s">
        <v>860</v>
      </c>
      <c r="B211" s="270" t="s">
        <v>861</v>
      </c>
      <c r="C211" s="280" t="s">
        <v>29</v>
      </c>
      <c r="D211" s="278" t="s">
        <v>30</v>
      </c>
      <c r="E211" s="280" t="s">
        <v>1005</v>
      </c>
      <c r="F211" s="270" t="s">
        <v>1006</v>
      </c>
      <c r="G211" s="280">
        <v>19</v>
      </c>
      <c r="H211" s="270" t="s">
        <v>1005</v>
      </c>
      <c r="I211" s="284" t="s">
        <v>1045</v>
      </c>
      <c r="K211" s="285" t="s">
        <v>1044</v>
      </c>
    </row>
    <row r="212" spans="1:11" hidden="1" x14ac:dyDescent="0.2">
      <c r="A212" s="280" t="s">
        <v>1367</v>
      </c>
      <c r="B212" s="270" t="s">
        <v>1368</v>
      </c>
      <c r="C212" s="280" t="s">
        <v>31</v>
      </c>
      <c r="D212" s="278" t="s">
        <v>32</v>
      </c>
      <c r="E212" s="280" t="s">
        <v>999</v>
      </c>
      <c r="F212" s="270" t="s">
        <v>1000</v>
      </c>
      <c r="G212" s="280">
        <v>20</v>
      </c>
      <c r="H212" s="270" t="s">
        <v>999</v>
      </c>
    </row>
    <row r="213" spans="1:11" hidden="1" x14ac:dyDescent="0.2">
      <c r="A213" s="280" t="s">
        <v>1369</v>
      </c>
      <c r="B213" s="270" t="s">
        <v>1370</v>
      </c>
      <c r="C213" s="280" t="s">
        <v>31</v>
      </c>
      <c r="D213" s="278" t="s">
        <v>32</v>
      </c>
      <c r="E213" s="280" t="s">
        <v>999</v>
      </c>
      <c r="F213" s="270" t="s">
        <v>1000</v>
      </c>
      <c r="G213" s="280">
        <v>20</v>
      </c>
      <c r="H213" s="270" t="s">
        <v>999</v>
      </c>
    </row>
    <row r="214" spans="1:11" hidden="1" x14ac:dyDescent="0.2">
      <c r="A214" s="280" t="s">
        <v>862</v>
      </c>
      <c r="B214" s="270" t="s">
        <v>863</v>
      </c>
      <c r="C214" s="280" t="s">
        <v>29</v>
      </c>
      <c r="D214" s="278" t="s">
        <v>30</v>
      </c>
      <c r="E214" s="280" t="s">
        <v>1005</v>
      </c>
      <c r="F214" s="270" t="s">
        <v>1006</v>
      </c>
      <c r="G214" s="280">
        <v>19</v>
      </c>
      <c r="H214" s="270" t="s">
        <v>1005</v>
      </c>
      <c r="I214" s="284" t="s">
        <v>1045</v>
      </c>
      <c r="K214" s="285" t="s">
        <v>1044</v>
      </c>
    </row>
    <row r="215" spans="1:11" hidden="1" x14ac:dyDescent="0.2">
      <c r="A215" s="280" t="s">
        <v>864</v>
      </c>
      <c r="B215" s="270" t="s">
        <v>865</v>
      </c>
      <c r="C215" s="280" t="s">
        <v>29</v>
      </c>
      <c r="D215" s="278" t="s">
        <v>30</v>
      </c>
      <c r="E215" s="280" t="s">
        <v>1005</v>
      </c>
      <c r="F215" s="270" t="s">
        <v>1006</v>
      </c>
      <c r="G215" s="280">
        <v>19</v>
      </c>
      <c r="H215" s="270" t="s">
        <v>991</v>
      </c>
      <c r="I215" s="284" t="s">
        <v>1045</v>
      </c>
      <c r="K215" s="285" t="s">
        <v>1047</v>
      </c>
    </row>
    <row r="216" spans="1:11" hidden="1" x14ac:dyDescent="0.2">
      <c r="A216" s="280" t="s">
        <v>290</v>
      </c>
      <c r="B216" s="270" t="s">
        <v>291</v>
      </c>
      <c r="C216" s="280" t="s">
        <v>31</v>
      </c>
      <c r="D216" s="278" t="s">
        <v>32</v>
      </c>
      <c r="E216" s="280" t="s">
        <v>999</v>
      </c>
      <c r="F216" s="270" t="s">
        <v>1000</v>
      </c>
      <c r="G216" s="280">
        <v>20</v>
      </c>
      <c r="H216" s="270" t="s">
        <v>999</v>
      </c>
      <c r="I216" s="284" t="s">
        <v>1045</v>
      </c>
      <c r="K216" s="285" t="s">
        <v>1044</v>
      </c>
    </row>
    <row r="217" spans="1:11" hidden="1" x14ac:dyDescent="0.2">
      <c r="A217" s="280" t="s">
        <v>292</v>
      </c>
      <c r="B217" s="270" t="s">
        <v>293</v>
      </c>
      <c r="C217" s="280" t="s">
        <v>31</v>
      </c>
      <c r="D217" s="278" t="s">
        <v>32</v>
      </c>
      <c r="E217" s="280" t="s">
        <v>999</v>
      </c>
      <c r="F217" s="270" t="s">
        <v>1000</v>
      </c>
      <c r="G217" s="280">
        <v>20</v>
      </c>
      <c r="H217" s="270" t="s">
        <v>999</v>
      </c>
      <c r="I217" s="284" t="s">
        <v>1045</v>
      </c>
      <c r="K217" s="285" t="s">
        <v>1044</v>
      </c>
    </row>
    <row r="218" spans="1:11" hidden="1" x14ac:dyDescent="0.2">
      <c r="A218" s="280" t="s">
        <v>866</v>
      </c>
      <c r="B218" s="270" t="s">
        <v>867</v>
      </c>
      <c r="C218" s="280" t="s">
        <v>31</v>
      </c>
      <c r="D218" s="278" t="s">
        <v>32</v>
      </c>
      <c r="E218" s="280" t="s">
        <v>999</v>
      </c>
      <c r="F218" s="270" t="s">
        <v>1000</v>
      </c>
      <c r="G218" s="280">
        <v>20</v>
      </c>
      <c r="H218" s="270" t="s">
        <v>999</v>
      </c>
      <c r="I218" s="284" t="s">
        <v>1045</v>
      </c>
      <c r="K218" s="285" t="s">
        <v>1044</v>
      </c>
    </row>
    <row r="219" spans="1:11" hidden="1" x14ac:dyDescent="0.2">
      <c r="A219" s="280" t="s">
        <v>294</v>
      </c>
      <c r="B219" s="270" t="s">
        <v>295</v>
      </c>
      <c r="C219" s="280" t="s">
        <v>31</v>
      </c>
      <c r="D219" s="278" t="s">
        <v>32</v>
      </c>
      <c r="E219" s="280" t="s">
        <v>999</v>
      </c>
      <c r="F219" s="270" t="s">
        <v>1000</v>
      </c>
      <c r="G219" s="280">
        <v>20</v>
      </c>
      <c r="H219" s="270" t="s">
        <v>999</v>
      </c>
      <c r="I219" s="284" t="s">
        <v>1045</v>
      </c>
      <c r="K219" s="285" t="s">
        <v>1044</v>
      </c>
    </row>
    <row r="220" spans="1:11" hidden="1" x14ac:dyDescent="0.2">
      <c r="A220" s="280" t="s">
        <v>296</v>
      </c>
      <c r="B220" s="270" t="s">
        <v>297</v>
      </c>
      <c r="C220" s="280" t="s">
        <v>31</v>
      </c>
      <c r="D220" s="278" t="s">
        <v>32</v>
      </c>
      <c r="E220" s="280" t="s">
        <v>999</v>
      </c>
      <c r="F220" s="270" t="s">
        <v>1000</v>
      </c>
      <c r="G220" s="280">
        <v>20</v>
      </c>
      <c r="H220" s="270" t="s">
        <v>999</v>
      </c>
      <c r="I220" s="284" t="s">
        <v>1045</v>
      </c>
      <c r="K220" s="285" t="s">
        <v>1044</v>
      </c>
    </row>
    <row r="221" spans="1:11" hidden="1" x14ac:dyDescent="0.2">
      <c r="A221" s="280" t="s">
        <v>298</v>
      </c>
      <c r="B221" s="270" t="s">
        <v>1121</v>
      </c>
      <c r="C221" s="280" t="s">
        <v>31</v>
      </c>
      <c r="D221" s="278" t="s">
        <v>32</v>
      </c>
      <c r="E221" s="280" t="s">
        <v>999</v>
      </c>
      <c r="F221" s="270" t="s">
        <v>1000</v>
      </c>
      <c r="G221" s="280">
        <v>20</v>
      </c>
      <c r="H221" s="270" t="s">
        <v>999</v>
      </c>
      <c r="I221" s="284" t="s">
        <v>1045</v>
      </c>
      <c r="K221" s="285" t="s">
        <v>1044</v>
      </c>
    </row>
    <row r="222" spans="1:11" hidden="1" x14ac:dyDescent="0.2">
      <c r="A222" s="280" t="s">
        <v>299</v>
      </c>
      <c r="B222" s="270" t="s">
        <v>300</v>
      </c>
      <c r="C222" s="280" t="s">
        <v>31</v>
      </c>
      <c r="D222" s="278" t="s">
        <v>32</v>
      </c>
      <c r="E222" s="280" t="s">
        <v>999</v>
      </c>
      <c r="F222" s="270" t="s">
        <v>1000</v>
      </c>
      <c r="G222" s="280">
        <v>20</v>
      </c>
      <c r="H222" s="270" t="s">
        <v>999</v>
      </c>
      <c r="I222" s="284" t="s">
        <v>1045</v>
      </c>
      <c r="K222" s="285" t="s">
        <v>1044</v>
      </c>
    </row>
    <row r="223" spans="1:11" hidden="1" x14ac:dyDescent="0.2">
      <c r="A223" s="280" t="s">
        <v>301</v>
      </c>
      <c r="B223" s="270" t="s">
        <v>302</v>
      </c>
      <c r="C223" s="280" t="s">
        <v>31</v>
      </c>
      <c r="D223" s="278" t="s">
        <v>32</v>
      </c>
      <c r="E223" s="280" t="s">
        <v>999</v>
      </c>
      <c r="F223" s="270" t="s">
        <v>1000</v>
      </c>
      <c r="G223" s="280">
        <v>20</v>
      </c>
      <c r="H223" s="270" t="s">
        <v>999</v>
      </c>
      <c r="I223" s="284" t="s">
        <v>1045</v>
      </c>
      <c r="K223" s="285" t="s">
        <v>1047</v>
      </c>
    </row>
    <row r="224" spans="1:11" hidden="1" x14ac:dyDescent="0.2">
      <c r="A224" s="280" t="s">
        <v>303</v>
      </c>
      <c r="B224" s="270" t="s">
        <v>304</v>
      </c>
      <c r="C224" s="280" t="s">
        <v>31</v>
      </c>
      <c r="D224" s="278" t="s">
        <v>32</v>
      </c>
      <c r="E224" s="280" t="s">
        <v>999</v>
      </c>
      <c r="F224" s="270" t="s">
        <v>1000</v>
      </c>
      <c r="G224" s="280">
        <v>20</v>
      </c>
      <c r="H224" s="270" t="s">
        <v>999</v>
      </c>
      <c r="I224" s="284" t="s">
        <v>1045</v>
      </c>
      <c r="K224" s="285" t="s">
        <v>1044</v>
      </c>
    </row>
    <row r="225" spans="1:11" hidden="1" x14ac:dyDescent="0.2">
      <c r="A225" s="280" t="s">
        <v>305</v>
      </c>
      <c r="B225" s="270" t="s">
        <v>291</v>
      </c>
      <c r="C225" s="280" t="s">
        <v>31</v>
      </c>
      <c r="D225" s="278" t="s">
        <v>32</v>
      </c>
      <c r="E225" s="280" t="s">
        <v>999</v>
      </c>
      <c r="F225" s="270" t="s">
        <v>1000</v>
      </c>
      <c r="G225" s="280">
        <v>20</v>
      </c>
      <c r="H225" s="270" t="s">
        <v>999</v>
      </c>
      <c r="I225" s="284" t="s">
        <v>1045</v>
      </c>
      <c r="K225" s="285" t="s">
        <v>1044</v>
      </c>
    </row>
    <row r="226" spans="1:11" hidden="1" x14ac:dyDescent="0.2">
      <c r="A226" s="280" t="s">
        <v>306</v>
      </c>
      <c r="B226" s="270" t="s">
        <v>307</v>
      </c>
      <c r="C226" s="280" t="s">
        <v>31</v>
      </c>
      <c r="D226" s="278" t="s">
        <v>32</v>
      </c>
      <c r="E226" s="280" t="s">
        <v>999</v>
      </c>
      <c r="F226" s="270" t="s">
        <v>1000</v>
      </c>
      <c r="G226" s="280">
        <v>20</v>
      </c>
      <c r="H226" s="270" t="s">
        <v>999</v>
      </c>
      <c r="I226" s="284" t="s">
        <v>1045</v>
      </c>
      <c r="K226" s="285" t="s">
        <v>1044</v>
      </c>
    </row>
    <row r="227" spans="1:11" hidden="1" x14ac:dyDescent="0.2">
      <c r="A227" s="280" t="s">
        <v>868</v>
      </c>
      <c r="B227" s="270" t="s">
        <v>869</v>
      </c>
      <c r="C227" s="280" t="s">
        <v>31</v>
      </c>
      <c r="D227" s="278" t="s">
        <v>32</v>
      </c>
      <c r="E227" s="280" t="s">
        <v>999</v>
      </c>
      <c r="F227" s="270" t="s">
        <v>1000</v>
      </c>
      <c r="G227" s="280">
        <v>20</v>
      </c>
      <c r="H227" s="270" t="s">
        <v>999</v>
      </c>
      <c r="I227" s="284" t="s">
        <v>1045</v>
      </c>
      <c r="K227" s="285" t="s">
        <v>1044</v>
      </c>
    </row>
    <row r="228" spans="1:11" hidden="1" x14ac:dyDescent="0.2">
      <c r="A228" s="280" t="s">
        <v>308</v>
      </c>
      <c r="B228" s="270" t="s">
        <v>309</v>
      </c>
      <c r="C228" s="280" t="s">
        <v>31</v>
      </c>
      <c r="D228" s="278" t="s">
        <v>32</v>
      </c>
      <c r="E228" s="280" t="s">
        <v>999</v>
      </c>
      <c r="F228" s="270" t="s">
        <v>1000</v>
      </c>
      <c r="G228" s="280">
        <v>20</v>
      </c>
      <c r="H228" s="270" t="s">
        <v>999</v>
      </c>
      <c r="I228" s="284" t="s">
        <v>1045</v>
      </c>
      <c r="K228" s="285" t="s">
        <v>1044</v>
      </c>
    </row>
    <row r="229" spans="1:11" hidden="1" x14ac:dyDescent="0.2">
      <c r="A229" s="280" t="s">
        <v>310</v>
      </c>
      <c r="B229" s="270" t="s">
        <v>311</v>
      </c>
      <c r="C229" s="280" t="s">
        <v>31</v>
      </c>
      <c r="D229" s="278" t="s">
        <v>32</v>
      </c>
      <c r="E229" s="280" t="s">
        <v>999</v>
      </c>
      <c r="F229" s="270" t="s">
        <v>1000</v>
      </c>
      <c r="G229" s="280">
        <v>21</v>
      </c>
      <c r="H229" s="270" t="s">
        <v>1007</v>
      </c>
      <c r="I229" s="284" t="s">
        <v>1045</v>
      </c>
      <c r="K229" s="285" t="s">
        <v>1044</v>
      </c>
    </row>
    <row r="230" spans="1:11" hidden="1" x14ac:dyDescent="0.2">
      <c r="A230" s="280" t="s">
        <v>312</v>
      </c>
      <c r="B230" s="270" t="s">
        <v>313</v>
      </c>
      <c r="C230" s="280" t="s">
        <v>31</v>
      </c>
      <c r="D230" s="278" t="s">
        <v>32</v>
      </c>
      <c r="E230" s="280" t="s">
        <v>999</v>
      </c>
      <c r="F230" s="270" t="s">
        <v>1000</v>
      </c>
      <c r="G230" s="280">
        <v>21</v>
      </c>
      <c r="H230" s="270" t="s">
        <v>1007</v>
      </c>
      <c r="I230" s="284" t="s">
        <v>1045</v>
      </c>
      <c r="K230" s="285" t="s">
        <v>1044</v>
      </c>
    </row>
    <row r="231" spans="1:11" hidden="1" x14ac:dyDescent="0.2">
      <c r="A231" s="280" t="s">
        <v>314</v>
      </c>
      <c r="B231" s="270" t="s">
        <v>1308</v>
      </c>
      <c r="C231" s="280" t="s">
        <v>31</v>
      </c>
      <c r="D231" s="278" t="s">
        <v>32</v>
      </c>
      <c r="E231" s="280" t="s">
        <v>999</v>
      </c>
      <c r="F231" s="270" t="s">
        <v>1000</v>
      </c>
      <c r="G231" s="280">
        <v>21</v>
      </c>
      <c r="H231" s="270" t="s">
        <v>1007</v>
      </c>
      <c r="I231" s="284" t="s">
        <v>1045</v>
      </c>
      <c r="K231" s="285" t="s">
        <v>1044</v>
      </c>
    </row>
    <row r="232" spans="1:11" hidden="1" x14ac:dyDescent="0.2">
      <c r="A232" s="280" t="s">
        <v>1303</v>
      </c>
      <c r="B232" s="270" t="s">
        <v>1306</v>
      </c>
      <c r="C232" s="280" t="s">
        <v>31</v>
      </c>
      <c r="D232" s="278" t="s">
        <v>32</v>
      </c>
      <c r="E232" s="280" t="s">
        <v>999</v>
      </c>
      <c r="F232" s="270" t="s">
        <v>1000</v>
      </c>
      <c r="G232" s="280">
        <v>21</v>
      </c>
      <c r="H232" s="270" t="s">
        <v>1007</v>
      </c>
      <c r="I232" s="289" t="s">
        <v>1045</v>
      </c>
      <c r="K232" s="285">
        <v>2562</v>
      </c>
    </row>
    <row r="233" spans="1:11" hidden="1" x14ac:dyDescent="0.2">
      <c r="A233" s="280" t="s">
        <v>315</v>
      </c>
      <c r="B233" s="270" t="s">
        <v>1307</v>
      </c>
      <c r="C233" s="280" t="s">
        <v>31</v>
      </c>
      <c r="D233" s="278" t="s">
        <v>32</v>
      </c>
      <c r="E233" s="280" t="s">
        <v>999</v>
      </c>
      <c r="F233" s="270" t="s">
        <v>1000</v>
      </c>
      <c r="G233" s="280">
        <v>23</v>
      </c>
      <c r="H233" s="270" t="s">
        <v>1019</v>
      </c>
      <c r="I233" s="284" t="s">
        <v>1045</v>
      </c>
      <c r="K233" s="285" t="s">
        <v>1047</v>
      </c>
    </row>
    <row r="234" spans="1:11" hidden="1" x14ac:dyDescent="0.2">
      <c r="A234" s="280" t="s">
        <v>1304</v>
      </c>
      <c r="B234" s="270" t="s">
        <v>1309</v>
      </c>
      <c r="C234" s="280" t="s">
        <v>31</v>
      </c>
      <c r="D234" s="278" t="s">
        <v>32</v>
      </c>
      <c r="E234" s="280" t="s">
        <v>999</v>
      </c>
      <c r="F234" s="270" t="s">
        <v>1000</v>
      </c>
      <c r="G234" s="280">
        <v>23</v>
      </c>
      <c r="H234" s="270" t="s">
        <v>1019</v>
      </c>
      <c r="I234" s="289" t="s">
        <v>1045</v>
      </c>
      <c r="K234" s="285">
        <v>2562</v>
      </c>
    </row>
    <row r="235" spans="1:11" hidden="1" x14ac:dyDescent="0.2">
      <c r="A235" s="280" t="s">
        <v>316</v>
      </c>
      <c r="B235" s="270" t="s">
        <v>1312</v>
      </c>
      <c r="C235" s="280" t="s">
        <v>33</v>
      </c>
      <c r="D235" s="278" t="s">
        <v>34</v>
      </c>
      <c r="E235" s="280" t="s">
        <v>1007</v>
      </c>
      <c r="F235" s="270" t="s">
        <v>1008</v>
      </c>
      <c r="G235" s="280">
        <v>21</v>
      </c>
      <c r="H235" s="270" t="s">
        <v>1013</v>
      </c>
      <c r="I235" s="284" t="s">
        <v>1045</v>
      </c>
      <c r="K235" s="285" t="s">
        <v>1044</v>
      </c>
    </row>
    <row r="236" spans="1:11" hidden="1" x14ac:dyDescent="0.2">
      <c r="A236" s="280" t="s">
        <v>1305</v>
      </c>
      <c r="B236" s="270" t="s">
        <v>1313</v>
      </c>
      <c r="C236" s="280" t="s">
        <v>33</v>
      </c>
      <c r="D236" s="278" t="s">
        <v>34</v>
      </c>
      <c r="E236" s="280" t="s">
        <v>1007</v>
      </c>
      <c r="F236" s="270" t="s">
        <v>1008</v>
      </c>
      <c r="G236" s="280">
        <v>21</v>
      </c>
      <c r="H236" s="270" t="s">
        <v>1013</v>
      </c>
      <c r="I236" s="289" t="s">
        <v>1045</v>
      </c>
      <c r="K236" s="285">
        <v>2562</v>
      </c>
    </row>
    <row r="237" spans="1:11" hidden="1" x14ac:dyDescent="0.2">
      <c r="A237" s="280" t="s">
        <v>317</v>
      </c>
      <c r="B237" s="270" t="s">
        <v>1314</v>
      </c>
      <c r="C237" s="280" t="s">
        <v>33</v>
      </c>
      <c r="D237" s="278" t="s">
        <v>34</v>
      </c>
      <c r="E237" s="280" t="s">
        <v>1007</v>
      </c>
      <c r="F237" s="270" t="s">
        <v>1008</v>
      </c>
      <c r="G237" s="280">
        <v>21</v>
      </c>
      <c r="H237" s="270" t="s">
        <v>1013</v>
      </c>
      <c r="I237" s="284" t="s">
        <v>1045</v>
      </c>
      <c r="K237" s="285" t="s">
        <v>1044</v>
      </c>
    </row>
    <row r="238" spans="1:11" hidden="1" x14ac:dyDescent="0.2">
      <c r="A238" s="280" t="s">
        <v>1310</v>
      </c>
      <c r="B238" s="270" t="s">
        <v>1315</v>
      </c>
      <c r="C238" s="280" t="s">
        <v>33</v>
      </c>
      <c r="D238" s="278" t="s">
        <v>34</v>
      </c>
      <c r="E238" s="280" t="s">
        <v>1007</v>
      </c>
      <c r="F238" s="270" t="s">
        <v>1008</v>
      </c>
      <c r="G238" s="280">
        <v>21</v>
      </c>
      <c r="H238" s="270" t="s">
        <v>1013</v>
      </c>
      <c r="I238" s="289" t="s">
        <v>1045</v>
      </c>
      <c r="K238" s="285">
        <v>2562</v>
      </c>
    </row>
    <row r="239" spans="1:11" hidden="1" x14ac:dyDescent="0.2">
      <c r="A239" s="280" t="s">
        <v>318</v>
      </c>
      <c r="B239" s="270" t="s">
        <v>1316</v>
      </c>
      <c r="C239" s="280" t="s">
        <v>33</v>
      </c>
      <c r="D239" s="278" t="s">
        <v>34</v>
      </c>
      <c r="E239" s="280" t="s">
        <v>1007</v>
      </c>
      <c r="F239" s="270" t="s">
        <v>1008</v>
      </c>
      <c r="G239" s="280">
        <v>21</v>
      </c>
      <c r="H239" s="270" t="s">
        <v>1013</v>
      </c>
      <c r="I239" s="284" t="s">
        <v>1045</v>
      </c>
      <c r="K239" s="285" t="s">
        <v>1044</v>
      </c>
    </row>
    <row r="240" spans="1:11" hidden="1" x14ac:dyDescent="0.2">
      <c r="A240" s="280" t="s">
        <v>1311</v>
      </c>
      <c r="B240" s="270" t="s">
        <v>1317</v>
      </c>
      <c r="C240" s="280" t="s">
        <v>33</v>
      </c>
      <c r="D240" s="278" t="s">
        <v>34</v>
      </c>
      <c r="E240" s="280" t="s">
        <v>1007</v>
      </c>
      <c r="F240" s="270" t="s">
        <v>1008</v>
      </c>
      <c r="G240" s="280">
        <v>21</v>
      </c>
      <c r="H240" s="270" t="s">
        <v>1013</v>
      </c>
      <c r="I240" s="289" t="s">
        <v>1045</v>
      </c>
      <c r="K240" s="285">
        <v>2562</v>
      </c>
    </row>
    <row r="241" spans="1:11" hidden="1" x14ac:dyDescent="0.2">
      <c r="A241" s="280" t="s">
        <v>870</v>
      </c>
      <c r="B241" s="270" t="s">
        <v>384</v>
      </c>
      <c r="C241" s="280" t="s">
        <v>37</v>
      </c>
      <c r="D241" s="278" t="s">
        <v>38</v>
      </c>
      <c r="E241" s="280" t="s">
        <v>1019</v>
      </c>
      <c r="F241" s="270" t="s">
        <v>1020</v>
      </c>
      <c r="G241" s="280">
        <v>16</v>
      </c>
      <c r="H241" s="270" t="s">
        <v>987</v>
      </c>
      <c r="I241" s="284" t="s">
        <v>1045</v>
      </c>
      <c r="K241" s="285" t="s">
        <v>1044</v>
      </c>
    </row>
    <row r="242" spans="1:11" hidden="1" x14ac:dyDescent="0.2">
      <c r="A242" s="280" t="s">
        <v>871</v>
      </c>
      <c r="B242" s="270" t="s">
        <v>385</v>
      </c>
      <c r="C242" s="280" t="s">
        <v>37</v>
      </c>
      <c r="D242" s="278" t="s">
        <v>38</v>
      </c>
      <c r="E242" s="280" t="s">
        <v>1019</v>
      </c>
      <c r="F242" s="270" t="s">
        <v>1020</v>
      </c>
      <c r="G242" s="280">
        <v>23</v>
      </c>
      <c r="H242" s="270" t="s">
        <v>1019</v>
      </c>
      <c r="I242" s="284" t="s">
        <v>1045</v>
      </c>
      <c r="K242" s="285" t="s">
        <v>1044</v>
      </c>
    </row>
    <row r="243" spans="1:11" hidden="1" x14ac:dyDescent="0.2">
      <c r="A243" s="280" t="s">
        <v>872</v>
      </c>
      <c r="B243" s="270" t="s">
        <v>386</v>
      </c>
      <c r="C243" s="280" t="s">
        <v>37</v>
      </c>
      <c r="D243" s="278" t="s">
        <v>38</v>
      </c>
      <c r="E243" s="280" t="s">
        <v>1019</v>
      </c>
      <c r="F243" s="270" t="s">
        <v>1020</v>
      </c>
      <c r="G243" s="280">
        <v>23</v>
      </c>
      <c r="H243" s="270" t="s">
        <v>1019</v>
      </c>
      <c r="I243" s="284" t="s">
        <v>1045</v>
      </c>
      <c r="K243" s="285" t="s">
        <v>1044</v>
      </c>
    </row>
    <row r="244" spans="1:11" hidden="1" x14ac:dyDescent="0.2">
      <c r="A244" s="280" t="s">
        <v>873</v>
      </c>
      <c r="B244" s="270" t="s">
        <v>387</v>
      </c>
      <c r="C244" s="280" t="s">
        <v>37</v>
      </c>
      <c r="D244" s="278" t="s">
        <v>38</v>
      </c>
      <c r="E244" s="280" t="s">
        <v>1019</v>
      </c>
      <c r="F244" s="270" t="s">
        <v>1020</v>
      </c>
      <c r="G244" s="280">
        <v>163</v>
      </c>
      <c r="H244" s="270" t="s">
        <v>985</v>
      </c>
      <c r="I244" s="284" t="s">
        <v>1045</v>
      </c>
      <c r="K244" s="285" t="s">
        <v>1044</v>
      </c>
    </row>
    <row r="245" spans="1:11" hidden="1" x14ac:dyDescent="0.2">
      <c r="A245" s="280" t="s">
        <v>874</v>
      </c>
      <c r="B245" s="270" t="s">
        <v>388</v>
      </c>
      <c r="C245" s="280" t="s">
        <v>37</v>
      </c>
      <c r="D245" s="278" t="s">
        <v>38</v>
      </c>
      <c r="E245" s="280" t="s">
        <v>1019</v>
      </c>
      <c r="F245" s="270" t="s">
        <v>1020</v>
      </c>
      <c r="G245" s="280">
        <v>15</v>
      </c>
      <c r="H245" s="270" t="s">
        <v>981</v>
      </c>
      <c r="I245" s="284" t="s">
        <v>1045</v>
      </c>
      <c r="K245" s="285" t="s">
        <v>1047</v>
      </c>
    </row>
    <row r="246" spans="1:11" hidden="1" x14ac:dyDescent="0.2">
      <c r="A246" s="280" t="s">
        <v>875</v>
      </c>
      <c r="B246" s="270" t="s">
        <v>389</v>
      </c>
      <c r="C246" s="280" t="s">
        <v>37</v>
      </c>
      <c r="D246" s="278" t="s">
        <v>38</v>
      </c>
      <c r="E246" s="280" t="s">
        <v>1019</v>
      </c>
      <c r="F246" s="270" t="s">
        <v>1020</v>
      </c>
      <c r="G246" s="280">
        <v>23</v>
      </c>
      <c r="H246" s="270" t="s">
        <v>1019</v>
      </c>
      <c r="I246" s="284" t="s">
        <v>1045</v>
      </c>
      <c r="K246" s="285" t="s">
        <v>1044</v>
      </c>
    </row>
    <row r="247" spans="1:11" hidden="1" x14ac:dyDescent="0.2">
      <c r="A247" s="280" t="s">
        <v>876</v>
      </c>
      <c r="B247" s="270" t="s">
        <v>394</v>
      </c>
      <c r="C247" s="280" t="s">
        <v>37</v>
      </c>
      <c r="D247" s="278" t="s">
        <v>38</v>
      </c>
      <c r="E247" s="280" t="s">
        <v>1019</v>
      </c>
      <c r="F247" s="270" t="s">
        <v>1020</v>
      </c>
      <c r="G247" s="280">
        <v>21</v>
      </c>
      <c r="H247" s="270" t="s">
        <v>1007</v>
      </c>
      <c r="I247" s="284" t="s">
        <v>1045</v>
      </c>
      <c r="K247" s="285" t="s">
        <v>1044</v>
      </c>
    </row>
    <row r="248" spans="1:11" hidden="1" x14ac:dyDescent="0.2">
      <c r="A248" s="280" t="s">
        <v>877</v>
      </c>
      <c r="B248" s="270" t="s">
        <v>395</v>
      </c>
      <c r="C248" s="280" t="s">
        <v>37</v>
      </c>
      <c r="D248" s="278" t="s">
        <v>38</v>
      </c>
      <c r="E248" s="280" t="s">
        <v>1019</v>
      </c>
      <c r="F248" s="270" t="s">
        <v>1020</v>
      </c>
      <c r="G248" s="280">
        <v>21</v>
      </c>
      <c r="H248" s="270" t="s">
        <v>1007</v>
      </c>
      <c r="I248" s="284" t="s">
        <v>1045</v>
      </c>
      <c r="K248" s="285" t="s">
        <v>1044</v>
      </c>
    </row>
    <row r="249" spans="1:11" hidden="1" x14ac:dyDescent="0.2">
      <c r="A249" s="280" t="s">
        <v>878</v>
      </c>
      <c r="B249" s="270" t="s">
        <v>396</v>
      </c>
      <c r="C249" s="280" t="s">
        <v>37</v>
      </c>
      <c r="D249" s="278" t="s">
        <v>38</v>
      </c>
      <c r="E249" s="280" t="s">
        <v>1019</v>
      </c>
      <c r="F249" s="270" t="s">
        <v>1020</v>
      </c>
      <c r="G249" s="280">
        <v>21</v>
      </c>
      <c r="H249" s="270" t="s">
        <v>1007</v>
      </c>
      <c r="I249" s="284" t="s">
        <v>1045</v>
      </c>
      <c r="K249" s="285" t="s">
        <v>1044</v>
      </c>
    </row>
    <row r="250" spans="1:11" hidden="1" x14ac:dyDescent="0.2">
      <c r="A250" s="280" t="s">
        <v>319</v>
      </c>
      <c r="B250" s="270" t="s">
        <v>320</v>
      </c>
      <c r="C250" s="280" t="s">
        <v>33</v>
      </c>
      <c r="D250" s="278" t="s">
        <v>34</v>
      </c>
      <c r="E250" s="280" t="s">
        <v>1009</v>
      </c>
      <c r="F250" s="270" t="s">
        <v>1010</v>
      </c>
      <c r="G250" s="280">
        <v>21</v>
      </c>
      <c r="H250" s="270" t="s">
        <v>1009</v>
      </c>
      <c r="I250" s="284" t="s">
        <v>1045</v>
      </c>
      <c r="K250" s="285" t="s">
        <v>1044</v>
      </c>
    </row>
    <row r="251" spans="1:11" hidden="1" x14ac:dyDescent="0.2">
      <c r="A251" s="280" t="s">
        <v>321</v>
      </c>
      <c r="B251" s="270" t="s">
        <v>322</v>
      </c>
      <c r="C251" s="280" t="s">
        <v>33</v>
      </c>
      <c r="D251" s="278" t="s">
        <v>34</v>
      </c>
      <c r="E251" s="280" t="s">
        <v>1009</v>
      </c>
      <c r="F251" s="270" t="s">
        <v>1010</v>
      </c>
      <c r="G251" s="280">
        <v>21</v>
      </c>
      <c r="H251" s="270" t="s">
        <v>1011</v>
      </c>
      <c r="I251" s="284" t="s">
        <v>1045</v>
      </c>
      <c r="K251" s="285" t="s">
        <v>1044</v>
      </c>
    </row>
    <row r="252" spans="1:11" hidden="1" x14ac:dyDescent="0.2">
      <c r="A252" s="280" t="s">
        <v>323</v>
      </c>
      <c r="B252" s="270" t="s">
        <v>324</v>
      </c>
      <c r="C252" s="280" t="s">
        <v>33</v>
      </c>
      <c r="D252" s="278" t="s">
        <v>34</v>
      </c>
      <c r="E252" s="280" t="s">
        <v>1009</v>
      </c>
      <c r="F252" s="270" t="s">
        <v>1010</v>
      </c>
      <c r="G252" s="280">
        <v>21</v>
      </c>
      <c r="H252" s="270" t="s">
        <v>1011</v>
      </c>
      <c r="I252" s="284" t="s">
        <v>1045</v>
      </c>
      <c r="K252" s="285" t="s">
        <v>1044</v>
      </c>
    </row>
    <row r="253" spans="1:11" hidden="1" x14ac:dyDescent="0.2">
      <c r="A253" s="280" t="s">
        <v>325</v>
      </c>
      <c r="B253" s="270" t="s">
        <v>326</v>
      </c>
      <c r="C253" s="280" t="s">
        <v>33</v>
      </c>
      <c r="D253" s="278" t="s">
        <v>34</v>
      </c>
      <c r="E253" s="280" t="s">
        <v>1009</v>
      </c>
      <c r="F253" s="270" t="s">
        <v>1010</v>
      </c>
      <c r="G253" s="280">
        <v>21</v>
      </c>
      <c r="H253" s="270" t="s">
        <v>1011</v>
      </c>
      <c r="I253" s="284" t="s">
        <v>1045</v>
      </c>
      <c r="K253" s="285" t="s">
        <v>1044</v>
      </c>
    </row>
    <row r="254" spans="1:11" hidden="1" x14ac:dyDescent="0.2">
      <c r="A254" s="280" t="s">
        <v>327</v>
      </c>
      <c r="B254" s="270" t="s">
        <v>328</v>
      </c>
      <c r="C254" s="280" t="s">
        <v>33</v>
      </c>
      <c r="D254" s="278" t="s">
        <v>34</v>
      </c>
      <c r="E254" s="280" t="s">
        <v>1009</v>
      </c>
      <c r="F254" s="270" t="s">
        <v>1010</v>
      </c>
      <c r="G254" s="280">
        <v>21</v>
      </c>
      <c r="H254" s="270" t="s">
        <v>1011</v>
      </c>
      <c r="I254" s="284" t="s">
        <v>1045</v>
      </c>
      <c r="K254" s="285" t="s">
        <v>1044</v>
      </c>
    </row>
    <row r="255" spans="1:11" hidden="1" x14ac:dyDescent="0.2">
      <c r="A255" s="280" t="s">
        <v>329</v>
      </c>
      <c r="B255" s="270" t="s">
        <v>330</v>
      </c>
      <c r="C255" s="280" t="s">
        <v>33</v>
      </c>
      <c r="D255" s="278" t="s">
        <v>34</v>
      </c>
      <c r="E255" s="280" t="s">
        <v>1009</v>
      </c>
      <c r="F255" s="270" t="s">
        <v>1010</v>
      </c>
      <c r="G255" s="280">
        <v>21</v>
      </c>
      <c r="H255" s="270" t="s">
        <v>1011</v>
      </c>
      <c r="I255" s="284" t="s">
        <v>1045</v>
      </c>
      <c r="K255" s="285" t="s">
        <v>1044</v>
      </c>
    </row>
    <row r="256" spans="1:11" hidden="1" x14ac:dyDescent="0.2">
      <c r="A256" s="280" t="s">
        <v>331</v>
      </c>
      <c r="B256" s="270" t="s">
        <v>332</v>
      </c>
      <c r="C256" s="280" t="s">
        <v>33</v>
      </c>
      <c r="D256" s="278" t="s">
        <v>34</v>
      </c>
      <c r="E256" s="280" t="s">
        <v>1009</v>
      </c>
      <c r="F256" s="270" t="s">
        <v>1010</v>
      </c>
      <c r="G256" s="280">
        <v>23</v>
      </c>
      <c r="H256" s="270" t="s">
        <v>1019</v>
      </c>
      <c r="I256" s="284" t="s">
        <v>1045</v>
      </c>
      <c r="K256" s="285" t="s">
        <v>1047</v>
      </c>
    </row>
    <row r="257" spans="1:11" hidden="1" x14ac:dyDescent="0.2">
      <c r="A257" s="280" t="s">
        <v>333</v>
      </c>
      <c r="B257" s="270" t="s">
        <v>334</v>
      </c>
      <c r="C257" s="280" t="s">
        <v>33</v>
      </c>
      <c r="D257" s="278" t="s">
        <v>34</v>
      </c>
      <c r="E257" s="280" t="s">
        <v>1009</v>
      </c>
      <c r="F257" s="270" t="s">
        <v>1010</v>
      </c>
      <c r="G257" s="280">
        <v>21</v>
      </c>
      <c r="H257" s="270" t="s">
        <v>1013</v>
      </c>
      <c r="I257" s="284" t="s">
        <v>1045</v>
      </c>
      <c r="K257" s="285" t="s">
        <v>1044</v>
      </c>
    </row>
    <row r="258" spans="1:11" hidden="1" x14ac:dyDescent="0.2">
      <c r="A258" s="280" t="s">
        <v>335</v>
      </c>
      <c r="B258" s="270" t="s">
        <v>336</v>
      </c>
      <c r="C258" s="280" t="s">
        <v>33</v>
      </c>
      <c r="D258" s="278" t="s">
        <v>34</v>
      </c>
      <c r="E258" s="280" t="s">
        <v>1011</v>
      </c>
      <c r="F258" s="270" t="s">
        <v>1012</v>
      </c>
      <c r="G258" s="280">
        <v>23</v>
      </c>
      <c r="H258" s="270" t="s">
        <v>1019</v>
      </c>
      <c r="I258" s="284" t="s">
        <v>1045</v>
      </c>
      <c r="K258" s="285" t="s">
        <v>1047</v>
      </c>
    </row>
    <row r="259" spans="1:11" hidden="1" x14ac:dyDescent="0.2">
      <c r="A259" s="280" t="s">
        <v>337</v>
      </c>
      <c r="B259" s="270" t="s">
        <v>338</v>
      </c>
      <c r="C259" s="280" t="s">
        <v>33</v>
      </c>
      <c r="D259" s="278" t="s">
        <v>34</v>
      </c>
      <c r="E259" s="280" t="s">
        <v>1011</v>
      </c>
      <c r="F259" s="270" t="s">
        <v>1012</v>
      </c>
      <c r="G259" s="280">
        <v>23</v>
      </c>
      <c r="H259" s="270" t="s">
        <v>1019</v>
      </c>
      <c r="I259" s="284" t="s">
        <v>1045</v>
      </c>
      <c r="K259" s="285" t="s">
        <v>1047</v>
      </c>
    </row>
    <row r="260" spans="1:11" hidden="1" x14ac:dyDescent="0.2">
      <c r="A260" s="280" t="s">
        <v>339</v>
      </c>
      <c r="B260" s="270" t="s">
        <v>1122</v>
      </c>
      <c r="C260" s="280" t="s">
        <v>33</v>
      </c>
      <c r="D260" s="278" t="s">
        <v>34</v>
      </c>
      <c r="E260" s="280" t="s">
        <v>1011</v>
      </c>
      <c r="F260" s="270" t="s">
        <v>1012</v>
      </c>
      <c r="G260" s="280">
        <v>23</v>
      </c>
      <c r="H260" s="270" t="s">
        <v>1019</v>
      </c>
      <c r="I260" s="284" t="s">
        <v>1045</v>
      </c>
      <c r="K260" s="285" t="s">
        <v>1047</v>
      </c>
    </row>
    <row r="261" spans="1:11" hidden="1" x14ac:dyDescent="0.2">
      <c r="A261" s="280" t="s">
        <v>340</v>
      </c>
      <c r="B261" s="270" t="s">
        <v>341</v>
      </c>
      <c r="C261" s="280" t="s">
        <v>33</v>
      </c>
      <c r="D261" s="278" t="s">
        <v>34</v>
      </c>
      <c r="E261" s="280" t="s">
        <v>1011</v>
      </c>
      <c r="F261" s="270" t="s">
        <v>1012</v>
      </c>
      <c r="G261" s="280">
        <v>23</v>
      </c>
      <c r="H261" s="270" t="s">
        <v>1019</v>
      </c>
      <c r="I261" s="284" t="s">
        <v>1045</v>
      </c>
      <c r="K261" s="285" t="s">
        <v>1047</v>
      </c>
    </row>
    <row r="262" spans="1:11" hidden="1" x14ac:dyDescent="0.2">
      <c r="A262" s="280" t="s">
        <v>342</v>
      </c>
      <c r="B262" s="270" t="s">
        <v>343</v>
      </c>
      <c r="C262" s="280" t="s">
        <v>33</v>
      </c>
      <c r="D262" s="278" t="s">
        <v>34</v>
      </c>
      <c r="E262" s="280" t="s">
        <v>1011</v>
      </c>
      <c r="F262" s="270" t="s">
        <v>1012</v>
      </c>
      <c r="G262" s="280">
        <v>23</v>
      </c>
      <c r="H262" s="270" t="s">
        <v>1019</v>
      </c>
      <c r="I262" s="284" t="s">
        <v>1045</v>
      </c>
      <c r="K262" s="285" t="s">
        <v>1047</v>
      </c>
    </row>
    <row r="263" spans="1:11" hidden="1" x14ac:dyDescent="0.2">
      <c r="A263" s="280" t="s">
        <v>879</v>
      </c>
      <c r="B263" s="270" t="s">
        <v>880</v>
      </c>
      <c r="C263" s="280" t="s">
        <v>37</v>
      </c>
      <c r="D263" s="278" t="s">
        <v>38</v>
      </c>
      <c r="E263" s="280" t="s">
        <v>1019</v>
      </c>
      <c r="F263" s="270" t="s">
        <v>1020</v>
      </c>
      <c r="G263" s="280">
        <v>21</v>
      </c>
      <c r="H263" s="270" t="s">
        <v>1007</v>
      </c>
      <c r="I263" s="284" t="s">
        <v>1045</v>
      </c>
      <c r="K263" s="285" t="s">
        <v>1047</v>
      </c>
    </row>
    <row r="264" spans="1:11" hidden="1" x14ac:dyDescent="0.2">
      <c r="A264" s="280" t="s">
        <v>344</v>
      </c>
      <c r="B264" s="270" t="s">
        <v>345</v>
      </c>
      <c r="C264" s="280" t="s">
        <v>33</v>
      </c>
      <c r="D264" s="278" t="s">
        <v>34</v>
      </c>
      <c r="E264" s="280" t="s">
        <v>1013</v>
      </c>
      <c r="F264" s="270" t="s">
        <v>1014</v>
      </c>
      <c r="G264" s="280">
        <v>21</v>
      </c>
      <c r="H264" s="270" t="s">
        <v>1009</v>
      </c>
      <c r="I264" s="284" t="s">
        <v>1045</v>
      </c>
      <c r="K264" s="285" t="s">
        <v>1044</v>
      </c>
    </row>
    <row r="265" spans="1:11" hidden="1" x14ac:dyDescent="0.2">
      <c r="A265" s="280" t="s">
        <v>346</v>
      </c>
      <c r="B265" s="270" t="s">
        <v>347</v>
      </c>
      <c r="C265" s="280" t="s">
        <v>33</v>
      </c>
      <c r="D265" s="278" t="s">
        <v>34</v>
      </c>
      <c r="E265" s="280" t="s">
        <v>1013</v>
      </c>
      <c r="F265" s="270" t="s">
        <v>1014</v>
      </c>
      <c r="G265" s="280">
        <v>21</v>
      </c>
      <c r="H265" s="270" t="s">
        <v>1009</v>
      </c>
      <c r="I265" s="284" t="s">
        <v>1045</v>
      </c>
      <c r="K265" s="285" t="s">
        <v>1044</v>
      </c>
    </row>
    <row r="266" spans="1:11" hidden="1" x14ac:dyDescent="0.2">
      <c r="A266" s="280" t="s">
        <v>348</v>
      </c>
      <c r="B266" s="270" t="s">
        <v>349</v>
      </c>
      <c r="C266" s="280" t="s">
        <v>33</v>
      </c>
      <c r="D266" s="278" t="s">
        <v>34</v>
      </c>
      <c r="E266" s="280" t="s">
        <v>1013</v>
      </c>
      <c r="F266" s="270" t="s">
        <v>1014</v>
      </c>
      <c r="G266" s="280">
        <v>21</v>
      </c>
      <c r="H266" s="270" t="s">
        <v>1009</v>
      </c>
      <c r="I266" s="284" t="s">
        <v>1045</v>
      </c>
      <c r="K266" s="285" t="s">
        <v>1044</v>
      </c>
    </row>
    <row r="267" spans="1:11" hidden="1" x14ac:dyDescent="0.2">
      <c r="A267" s="280" t="s">
        <v>350</v>
      </c>
      <c r="B267" s="270" t="s">
        <v>351</v>
      </c>
      <c r="C267" s="280" t="s">
        <v>33</v>
      </c>
      <c r="D267" s="278" t="s">
        <v>34</v>
      </c>
      <c r="E267" s="280" t="s">
        <v>1013</v>
      </c>
      <c r="F267" s="270" t="s">
        <v>1014</v>
      </c>
      <c r="G267" s="280">
        <v>21</v>
      </c>
      <c r="H267" s="270" t="s">
        <v>1009</v>
      </c>
      <c r="I267" s="284" t="s">
        <v>1045</v>
      </c>
      <c r="K267" s="285" t="s">
        <v>1044</v>
      </c>
    </row>
    <row r="268" spans="1:11" hidden="1" x14ac:dyDescent="0.2">
      <c r="A268" s="280" t="s">
        <v>352</v>
      </c>
      <c r="B268" s="270" t="s">
        <v>353</v>
      </c>
      <c r="C268" s="280" t="s">
        <v>33</v>
      </c>
      <c r="D268" s="278" t="s">
        <v>34</v>
      </c>
      <c r="E268" s="280" t="s">
        <v>1013</v>
      </c>
      <c r="F268" s="270" t="s">
        <v>1014</v>
      </c>
      <c r="G268" s="280">
        <v>21</v>
      </c>
      <c r="H268" s="270" t="s">
        <v>1009</v>
      </c>
      <c r="I268" s="284" t="s">
        <v>1045</v>
      </c>
      <c r="K268" s="285" t="s">
        <v>1044</v>
      </c>
    </row>
    <row r="269" spans="1:11" hidden="1" x14ac:dyDescent="0.2">
      <c r="A269" s="280" t="s">
        <v>354</v>
      </c>
      <c r="B269" s="270" t="s">
        <v>355</v>
      </c>
      <c r="C269" s="280" t="s">
        <v>33</v>
      </c>
      <c r="D269" s="278" t="s">
        <v>34</v>
      </c>
      <c r="E269" s="280" t="s">
        <v>1013</v>
      </c>
      <c r="F269" s="270" t="s">
        <v>1014</v>
      </c>
      <c r="G269" s="280">
        <v>21</v>
      </c>
      <c r="H269" s="270" t="s">
        <v>1009</v>
      </c>
      <c r="I269" s="284" t="s">
        <v>1045</v>
      </c>
      <c r="K269" s="285" t="s">
        <v>1044</v>
      </c>
    </row>
    <row r="270" spans="1:11" hidden="1" x14ac:dyDescent="0.2">
      <c r="A270" s="280" t="s">
        <v>356</v>
      </c>
      <c r="B270" s="270" t="s">
        <v>1123</v>
      </c>
      <c r="C270" s="280" t="s">
        <v>33</v>
      </c>
      <c r="D270" s="278" t="s">
        <v>34</v>
      </c>
      <c r="E270" s="280" t="s">
        <v>1015</v>
      </c>
      <c r="F270" s="270" t="s">
        <v>1016</v>
      </c>
      <c r="G270" s="280">
        <v>23</v>
      </c>
      <c r="H270" s="270" t="s">
        <v>1019</v>
      </c>
      <c r="I270" s="284" t="s">
        <v>1045</v>
      </c>
      <c r="K270" s="285" t="s">
        <v>1047</v>
      </c>
    </row>
    <row r="271" spans="1:11" hidden="1" x14ac:dyDescent="0.2">
      <c r="A271" s="280" t="s">
        <v>358</v>
      </c>
      <c r="B271" s="270" t="s">
        <v>1124</v>
      </c>
      <c r="C271" s="280" t="s">
        <v>33</v>
      </c>
      <c r="D271" s="278" t="s">
        <v>34</v>
      </c>
      <c r="E271" s="280" t="s">
        <v>1013</v>
      </c>
      <c r="F271" s="270" t="s">
        <v>1014</v>
      </c>
      <c r="G271" s="280">
        <v>21</v>
      </c>
      <c r="H271" s="270" t="s">
        <v>1009</v>
      </c>
      <c r="I271" s="284" t="s">
        <v>1045</v>
      </c>
      <c r="K271" s="285" t="s">
        <v>1044</v>
      </c>
    </row>
    <row r="272" spans="1:11" hidden="1" x14ac:dyDescent="0.2">
      <c r="A272" s="280" t="s">
        <v>359</v>
      </c>
      <c r="B272" s="270" t="s">
        <v>360</v>
      </c>
      <c r="C272" s="280" t="s">
        <v>33</v>
      </c>
      <c r="D272" s="278" t="s">
        <v>34</v>
      </c>
      <c r="E272" s="280" t="s">
        <v>1015</v>
      </c>
      <c r="F272" s="270" t="s">
        <v>1016</v>
      </c>
      <c r="G272" s="280">
        <v>23</v>
      </c>
      <c r="H272" s="270" t="s">
        <v>1019</v>
      </c>
      <c r="I272" s="284" t="s">
        <v>1045</v>
      </c>
      <c r="K272" s="285" t="s">
        <v>1047</v>
      </c>
    </row>
    <row r="273" spans="1:11" hidden="1" x14ac:dyDescent="0.2">
      <c r="A273" s="280" t="s">
        <v>361</v>
      </c>
      <c r="B273" s="270" t="s">
        <v>362</v>
      </c>
      <c r="C273" s="280" t="s">
        <v>33</v>
      </c>
      <c r="D273" s="278" t="s">
        <v>34</v>
      </c>
      <c r="E273" s="280" t="s">
        <v>1015</v>
      </c>
      <c r="F273" s="270" t="s">
        <v>1016</v>
      </c>
      <c r="G273" s="280">
        <v>23</v>
      </c>
      <c r="H273" s="270" t="s">
        <v>1019</v>
      </c>
      <c r="I273" s="284" t="s">
        <v>1045</v>
      </c>
      <c r="K273" s="285" t="s">
        <v>1047</v>
      </c>
    </row>
    <row r="274" spans="1:11" hidden="1" x14ac:dyDescent="0.2">
      <c r="A274" s="280" t="s">
        <v>363</v>
      </c>
      <c r="B274" s="270" t="s">
        <v>364</v>
      </c>
      <c r="C274" s="280" t="s">
        <v>33</v>
      </c>
      <c r="D274" s="278" t="s">
        <v>34</v>
      </c>
      <c r="E274" s="280" t="s">
        <v>1007</v>
      </c>
      <c r="F274" s="270" t="s">
        <v>1008</v>
      </c>
      <c r="G274" s="280">
        <v>21</v>
      </c>
      <c r="H274" s="270" t="s">
        <v>1013</v>
      </c>
      <c r="I274" s="284" t="s">
        <v>1045</v>
      </c>
      <c r="K274" s="285" t="s">
        <v>1044</v>
      </c>
    </row>
    <row r="275" spans="1:11" hidden="1" x14ac:dyDescent="0.2">
      <c r="A275" s="280" t="s">
        <v>365</v>
      </c>
      <c r="B275" s="270" t="s">
        <v>366</v>
      </c>
      <c r="C275" s="280" t="s">
        <v>33</v>
      </c>
      <c r="D275" s="278" t="s">
        <v>34</v>
      </c>
      <c r="E275" s="280" t="s">
        <v>1007</v>
      </c>
      <c r="F275" s="270" t="s">
        <v>1008</v>
      </c>
      <c r="G275" s="280">
        <v>21</v>
      </c>
      <c r="H275" s="270" t="s">
        <v>1013</v>
      </c>
      <c r="I275" s="284" t="s">
        <v>1045</v>
      </c>
      <c r="K275" s="285" t="s">
        <v>1044</v>
      </c>
    </row>
    <row r="276" spans="1:11" hidden="1" x14ac:dyDescent="0.2">
      <c r="A276" s="280" t="s">
        <v>375</v>
      </c>
      <c r="B276" s="270" t="s">
        <v>376</v>
      </c>
      <c r="C276" s="280" t="s">
        <v>35</v>
      </c>
      <c r="D276" s="278" t="s">
        <v>36</v>
      </c>
      <c r="E276" s="280" t="s">
        <v>1017</v>
      </c>
      <c r="F276" s="270" t="s">
        <v>1018</v>
      </c>
      <c r="G276" s="280">
        <v>21</v>
      </c>
      <c r="H276" s="270" t="s">
        <v>1007</v>
      </c>
      <c r="I276" s="284" t="s">
        <v>1045</v>
      </c>
      <c r="K276" s="285" t="s">
        <v>1044</v>
      </c>
    </row>
    <row r="277" spans="1:11" hidden="1" x14ac:dyDescent="0.2">
      <c r="A277" s="280" t="s">
        <v>377</v>
      </c>
      <c r="B277" s="270" t="s">
        <v>1125</v>
      </c>
      <c r="C277" s="280" t="s">
        <v>35</v>
      </c>
      <c r="D277" s="278" t="s">
        <v>36</v>
      </c>
      <c r="E277" s="280" t="s">
        <v>1017</v>
      </c>
      <c r="F277" s="270" t="s">
        <v>1018</v>
      </c>
      <c r="G277" s="280">
        <v>21</v>
      </c>
      <c r="H277" s="270" t="s">
        <v>1007</v>
      </c>
      <c r="I277" s="284" t="s">
        <v>1045</v>
      </c>
      <c r="K277" s="285" t="s">
        <v>1044</v>
      </c>
    </row>
    <row r="278" spans="1:11" hidden="1" x14ac:dyDescent="0.2">
      <c r="A278" s="280" t="s">
        <v>378</v>
      </c>
      <c r="B278" s="270" t="s">
        <v>379</v>
      </c>
      <c r="C278" s="280" t="s">
        <v>35</v>
      </c>
      <c r="D278" s="278" t="s">
        <v>36</v>
      </c>
      <c r="E278" s="280" t="s">
        <v>1017</v>
      </c>
      <c r="F278" s="270" t="s">
        <v>1018</v>
      </c>
      <c r="G278" s="280">
        <v>14</v>
      </c>
      <c r="H278" s="270" t="s">
        <v>979</v>
      </c>
      <c r="I278" s="284" t="s">
        <v>1045</v>
      </c>
      <c r="K278" s="285" t="s">
        <v>1044</v>
      </c>
    </row>
    <row r="279" spans="1:11" hidden="1" x14ac:dyDescent="0.2">
      <c r="A279" s="280" t="s">
        <v>380</v>
      </c>
      <c r="B279" s="270" t="s">
        <v>381</v>
      </c>
      <c r="C279" s="280" t="s">
        <v>35</v>
      </c>
      <c r="D279" s="278" t="s">
        <v>36</v>
      </c>
      <c r="E279" s="280" t="s">
        <v>1017</v>
      </c>
      <c r="F279" s="270" t="s">
        <v>1018</v>
      </c>
      <c r="G279" s="280">
        <v>15</v>
      </c>
      <c r="H279" s="270" t="s">
        <v>981</v>
      </c>
      <c r="I279" s="284" t="s">
        <v>1045</v>
      </c>
      <c r="K279" s="285" t="s">
        <v>1044</v>
      </c>
    </row>
    <row r="280" spans="1:11" hidden="1" x14ac:dyDescent="0.2">
      <c r="A280" s="280" t="s">
        <v>382</v>
      </c>
      <c r="B280" s="270" t="s">
        <v>383</v>
      </c>
      <c r="C280" s="280" t="s">
        <v>35</v>
      </c>
      <c r="D280" s="278" t="s">
        <v>36</v>
      </c>
      <c r="E280" s="280" t="s">
        <v>1017</v>
      </c>
      <c r="F280" s="270" t="s">
        <v>1018</v>
      </c>
      <c r="G280" s="280">
        <v>15</v>
      </c>
      <c r="H280" s="270" t="s">
        <v>983</v>
      </c>
      <c r="I280" s="284" t="s">
        <v>1045</v>
      </c>
      <c r="K280" s="285" t="s">
        <v>1044</v>
      </c>
    </row>
    <row r="281" spans="1:11" hidden="1" x14ac:dyDescent="0.2">
      <c r="A281" s="280" t="s">
        <v>367</v>
      </c>
      <c r="B281" s="270" t="s">
        <v>368</v>
      </c>
      <c r="C281" s="280" t="s">
        <v>33</v>
      </c>
      <c r="D281" s="278" t="s">
        <v>34</v>
      </c>
      <c r="E281" s="280" t="s">
        <v>1007</v>
      </c>
      <c r="F281" s="270" t="s">
        <v>1008</v>
      </c>
      <c r="G281" s="280">
        <v>21</v>
      </c>
      <c r="H281" s="270" t="s">
        <v>1015</v>
      </c>
      <c r="I281" s="284" t="s">
        <v>1045</v>
      </c>
      <c r="K281" s="285" t="s">
        <v>1044</v>
      </c>
    </row>
    <row r="282" spans="1:11" hidden="1" x14ac:dyDescent="0.2">
      <c r="A282" s="280" t="s">
        <v>369</v>
      </c>
      <c r="B282" s="270" t="s">
        <v>370</v>
      </c>
      <c r="C282" s="280" t="s">
        <v>33</v>
      </c>
      <c r="D282" s="278" t="s">
        <v>34</v>
      </c>
      <c r="E282" s="280" t="s">
        <v>1007</v>
      </c>
      <c r="F282" s="270" t="s">
        <v>1008</v>
      </c>
      <c r="G282" s="280">
        <v>21</v>
      </c>
      <c r="H282" s="270" t="s">
        <v>1013</v>
      </c>
      <c r="I282" s="284" t="s">
        <v>1045</v>
      </c>
      <c r="K282" s="285" t="s">
        <v>1044</v>
      </c>
    </row>
    <row r="283" spans="1:11" hidden="1" x14ac:dyDescent="0.2">
      <c r="A283" s="280" t="s">
        <v>215</v>
      </c>
      <c r="B283" s="270" t="s">
        <v>216</v>
      </c>
      <c r="C283" s="280" t="s">
        <v>19</v>
      </c>
      <c r="D283" s="278" t="s">
        <v>20</v>
      </c>
      <c r="E283" s="280" t="s">
        <v>979</v>
      </c>
      <c r="F283" s="270" t="s">
        <v>980</v>
      </c>
      <c r="G283" s="280">
        <v>12</v>
      </c>
      <c r="H283" s="270" t="s">
        <v>975</v>
      </c>
      <c r="I283" s="284" t="s">
        <v>1045</v>
      </c>
      <c r="K283" s="285" t="s">
        <v>1044</v>
      </c>
    </row>
    <row r="284" spans="1:11" hidden="1" x14ac:dyDescent="0.2">
      <c r="A284" s="280" t="s">
        <v>217</v>
      </c>
      <c r="B284" s="270" t="s">
        <v>1126</v>
      </c>
      <c r="C284" s="280" t="s">
        <v>21</v>
      </c>
      <c r="D284" s="278" t="s">
        <v>22</v>
      </c>
      <c r="E284" s="280" t="s">
        <v>981</v>
      </c>
      <c r="F284" s="270" t="s">
        <v>982</v>
      </c>
      <c r="G284" s="280">
        <v>12</v>
      </c>
      <c r="H284" s="270" t="s">
        <v>975</v>
      </c>
      <c r="I284" s="284" t="s">
        <v>1045</v>
      </c>
      <c r="K284" s="285" t="s">
        <v>1044</v>
      </c>
    </row>
    <row r="285" spans="1:11" hidden="1" x14ac:dyDescent="0.2">
      <c r="A285" s="280" t="s">
        <v>219</v>
      </c>
      <c r="B285" s="270" t="s">
        <v>1127</v>
      </c>
      <c r="C285" s="280" t="s">
        <v>21</v>
      </c>
      <c r="D285" s="278" t="s">
        <v>22</v>
      </c>
      <c r="E285" s="280" t="s">
        <v>983</v>
      </c>
      <c r="F285" s="270" t="s">
        <v>984</v>
      </c>
      <c r="G285" s="280">
        <v>12</v>
      </c>
      <c r="H285" s="270" t="s">
        <v>975</v>
      </c>
      <c r="I285" s="284" t="s">
        <v>1045</v>
      </c>
      <c r="K285" s="285" t="s">
        <v>1044</v>
      </c>
    </row>
    <row r="286" spans="1:11" hidden="1" x14ac:dyDescent="0.2">
      <c r="A286" s="280" t="s">
        <v>222</v>
      </c>
      <c r="B286" s="270" t="s">
        <v>223</v>
      </c>
      <c r="C286" s="280" t="s">
        <v>23</v>
      </c>
      <c r="D286" s="278" t="s">
        <v>24</v>
      </c>
      <c r="E286" s="280" t="s">
        <v>987</v>
      </c>
      <c r="F286" s="270" t="s">
        <v>988</v>
      </c>
      <c r="G286" s="280">
        <v>12</v>
      </c>
      <c r="H286" s="270" t="s">
        <v>975</v>
      </c>
      <c r="I286" s="284" t="s">
        <v>1045</v>
      </c>
      <c r="K286" s="285" t="s">
        <v>1044</v>
      </c>
    </row>
    <row r="287" spans="1:11" hidden="1" x14ac:dyDescent="0.2">
      <c r="A287" s="280" t="s">
        <v>390</v>
      </c>
      <c r="B287" s="270" t="s">
        <v>391</v>
      </c>
      <c r="C287" s="280" t="s">
        <v>37</v>
      </c>
      <c r="D287" s="278" t="s">
        <v>38</v>
      </c>
      <c r="E287" s="280" t="s">
        <v>1019</v>
      </c>
      <c r="F287" s="270" t="s">
        <v>1020</v>
      </c>
      <c r="G287" s="280">
        <v>21</v>
      </c>
      <c r="H287" s="270" t="s">
        <v>1007</v>
      </c>
      <c r="I287" s="284" t="s">
        <v>1045</v>
      </c>
      <c r="K287" s="285" t="s">
        <v>1044</v>
      </c>
    </row>
    <row r="288" spans="1:11" hidden="1" x14ac:dyDescent="0.2">
      <c r="A288" s="280" t="s">
        <v>392</v>
      </c>
      <c r="B288" s="270" t="s">
        <v>393</v>
      </c>
      <c r="C288" s="280" t="s">
        <v>37</v>
      </c>
      <c r="D288" s="278" t="s">
        <v>38</v>
      </c>
      <c r="E288" s="280" t="s">
        <v>1019</v>
      </c>
      <c r="F288" s="270" t="s">
        <v>1020</v>
      </c>
      <c r="G288" s="280">
        <v>25</v>
      </c>
      <c r="H288" s="270" t="s">
        <v>1033</v>
      </c>
      <c r="I288" s="284" t="s">
        <v>1045</v>
      </c>
      <c r="K288" s="285" t="s">
        <v>1047</v>
      </c>
    </row>
    <row r="289" spans="1:11" hidden="1" x14ac:dyDescent="0.2">
      <c r="A289" s="280" t="s">
        <v>220</v>
      </c>
      <c r="B289" s="270" t="s">
        <v>221</v>
      </c>
      <c r="C289" s="280" t="s">
        <v>703</v>
      </c>
      <c r="D289" s="278" t="s">
        <v>704</v>
      </c>
      <c r="E289" s="280" t="s">
        <v>985</v>
      </c>
      <c r="F289" s="270" t="s">
        <v>986</v>
      </c>
      <c r="G289" s="280">
        <v>12</v>
      </c>
      <c r="H289" s="270" t="s">
        <v>975</v>
      </c>
      <c r="I289" s="284" t="s">
        <v>1045</v>
      </c>
      <c r="K289" s="285" t="s">
        <v>1044</v>
      </c>
    </row>
    <row r="290" spans="1:11" hidden="1" x14ac:dyDescent="0.2">
      <c r="A290" s="280" t="s">
        <v>881</v>
      </c>
      <c r="B290" s="270" t="s">
        <v>882</v>
      </c>
      <c r="C290" s="280" t="s">
        <v>21</v>
      </c>
      <c r="D290" s="278" t="s">
        <v>22</v>
      </c>
      <c r="E290" s="280" t="s">
        <v>981</v>
      </c>
      <c r="F290" s="270" t="s">
        <v>982</v>
      </c>
      <c r="G290" s="280">
        <v>12</v>
      </c>
      <c r="H290" s="270" t="s">
        <v>975</v>
      </c>
      <c r="I290" s="284" t="s">
        <v>1045</v>
      </c>
      <c r="K290" s="285" t="s">
        <v>1044</v>
      </c>
    </row>
    <row r="291" spans="1:11" hidden="1" x14ac:dyDescent="0.2">
      <c r="A291" s="280" t="s">
        <v>397</v>
      </c>
      <c r="B291" s="270" t="s">
        <v>1128</v>
      </c>
      <c r="C291" s="280" t="s">
        <v>37</v>
      </c>
      <c r="D291" s="278" t="s">
        <v>38</v>
      </c>
      <c r="E291" s="280" t="s">
        <v>1019</v>
      </c>
      <c r="F291" s="270" t="s">
        <v>1020</v>
      </c>
      <c r="G291" s="280">
        <v>21</v>
      </c>
      <c r="H291" s="270" t="s">
        <v>1007</v>
      </c>
      <c r="I291" s="289" t="s">
        <v>1045</v>
      </c>
      <c r="K291" s="285" t="s">
        <v>1044</v>
      </c>
    </row>
    <row r="292" spans="1:11" hidden="1" x14ac:dyDescent="0.2">
      <c r="A292" s="280" t="s">
        <v>371</v>
      </c>
      <c r="B292" s="270" t="s">
        <v>372</v>
      </c>
      <c r="C292" s="280" t="s">
        <v>33</v>
      </c>
      <c r="D292" s="278" t="s">
        <v>34</v>
      </c>
      <c r="E292" s="280" t="s">
        <v>1007</v>
      </c>
      <c r="F292" s="270" t="s">
        <v>1008</v>
      </c>
      <c r="G292" s="280">
        <v>21</v>
      </c>
      <c r="H292" s="270" t="s">
        <v>1015</v>
      </c>
      <c r="I292" s="284" t="s">
        <v>1045</v>
      </c>
      <c r="K292" s="285" t="s">
        <v>1044</v>
      </c>
    </row>
    <row r="293" spans="1:11" hidden="1" x14ac:dyDescent="0.2">
      <c r="A293" s="280" t="s">
        <v>373</v>
      </c>
      <c r="B293" s="270" t="s">
        <v>374</v>
      </c>
      <c r="C293" s="280" t="s">
        <v>33</v>
      </c>
      <c r="D293" s="278" t="s">
        <v>34</v>
      </c>
      <c r="E293" s="280" t="s">
        <v>1007</v>
      </c>
      <c r="F293" s="270" t="s">
        <v>1008</v>
      </c>
      <c r="G293" s="280">
        <v>21</v>
      </c>
      <c r="H293" s="270" t="s">
        <v>1015</v>
      </c>
      <c r="I293" s="284" t="s">
        <v>1045</v>
      </c>
      <c r="K293" s="285" t="s">
        <v>1044</v>
      </c>
    </row>
    <row r="294" spans="1:11" hidden="1" x14ac:dyDescent="0.2">
      <c r="A294" s="280" t="s">
        <v>488</v>
      </c>
      <c r="B294" s="270" t="s">
        <v>1129</v>
      </c>
      <c r="C294" s="280" t="s">
        <v>33</v>
      </c>
      <c r="D294" s="278" t="s">
        <v>34</v>
      </c>
      <c r="E294" s="280" t="s">
        <v>1007</v>
      </c>
      <c r="F294" s="270" t="s">
        <v>1008</v>
      </c>
      <c r="G294" s="280">
        <v>21</v>
      </c>
      <c r="H294" s="270" t="s">
        <v>1007</v>
      </c>
      <c r="I294" s="284" t="s">
        <v>1045</v>
      </c>
      <c r="K294" s="285" t="s">
        <v>1044</v>
      </c>
    </row>
    <row r="295" spans="1:11" hidden="1" x14ac:dyDescent="0.2">
      <c r="A295" s="280" t="s">
        <v>883</v>
      </c>
      <c r="B295" s="270" t="s">
        <v>884</v>
      </c>
      <c r="C295" s="280" t="s">
        <v>33</v>
      </c>
      <c r="D295" s="278" t="s">
        <v>34</v>
      </c>
      <c r="E295" s="280" t="s">
        <v>1007</v>
      </c>
      <c r="F295" s="270" t="s">
        <v>1008</v>
      </c>
      <c r="G295" s="280">
        <v>21</v>
      </c>
      <c r="H295" s="270" t="s">
        <v>1007</v>
      </c>
      <c r="I295" s="284" t="s">
        <v>1045</v>
      </c>
      <c r="K295" s="285" t="s">
        <v>1044</v>
      </c>
    </row>
    <row r="296" spans="1:11" hidden="1" x14ac:dyDescent="0.2">
      <c r="A296" s="280" t="s">
        <v>489</v>
      </c>
      <c r="B296" s="270" t="s">
        <v>490</v>
      </c>
      <c r="C296" s="280" t="s">
        <v>33</v>
      </c>
      <c r="D296" s="278" t="s">
        <v>34</v>
      </c>
      <c r="E296" s="280" t="s">
        <v>1007</v>
      </c>
      <c r="F296" s="270" t="s">
        <v>1008</v>
      </c>
      <c r="G296" s="280">
        <v>22</v>
      </c>
      <c r="H296" s="270" t="s">
        <v>1017</v>
      </c>
      <c r="I296" s="284" t="s">
        <v>1045</v>
      </c>
      <c r="K296" s="285" t="s">
        <v>1044</v>
      </c>
    </row>
    <row r="297" spans="1:11" hidden="1" x14ac:dyDescent="0.2">
      <c r="A297" s="280" t="s">
        <v>885</v>
      </c>
      <c r="B297" s="270" t="s">
        <v>886</v>
      </c>
      <c r="C297" s="280" t="s">
        <v>41</v>
      </c>
      <c r="D297" s="278" t="s">
        <v>42</v>
      </c>
      <c r="E297" s="280" t="s">
        <v>1033</v>
      </c>
      <c r="F297" s="270" t="s">
        <v>1034</v>
      </c>
      <c r="G297" s="280">
        <v>164</v>
      </c>
      <c r="H297" s="270" t="s">
        <v>1035</v>
      </c>
      <c r="I297" s="284" t="s">
        <v>1045</v>
      </c>
      <c r="K297" s="285" t="s">
        <v>1044</v>
      </c>
    </row>
    <row r="298" spans="1:11" hidden="1" x14ac:dyDescent="0.2">
      <c r="A298" s="280" t="s">
        <v>491</v>
      </c>
      <c r="B298" s="270" t="s">
        <v>492</v>
      </c>
      <c r="C298" s="280" t="s">
        <v>33</v>
      </c>
      <c r="D298" s="278" t="s">
        <v>34</v>
      </c>
      <c r="E298" s="280" t="s">
        <v>1007</v>
      </c>
      <c r="F298" s="270" t="s">
        <v>1008</v>
      </c>
      <c r="G298" s="280">
        <v>22</v>
      </c>
      <c r="H298" s="270" t="s">
        <v>1017</v>
      </c>
      <c r="I298" s="284" t="s">
        <v>1045</v>
      </c>
      <c r="K298" s="285" t="s">
        <v>1044</v>
      </c>
    </row>
    <row r="299" spans="1:11" hidden="1" x14ac:dyDescent="0.2">
      <c r="A299" s="280" t="s">
        <v>493</v>
      </c>
      <c r="B299" s="270" t="s">
        <v>494</v>
      </c>
      <c r="C299" s="280" t="s">
        <v>33</v>
      </c>
      <c r="D299" s="278" t="s">
        <v>34</v>
      </c>
      <c r="E299" s="280" t="s">
        <v>1007</v>
      </c>
      <c r="F299" s="270" t="s">
        <v>1008</v>
      </c>
      <c r="G299" s="280">
        <v>22</v>
      </c>
      <c r="H299" s="270" t="s">
        <v>1017</v>
      </c>
      <c r="I299" s="284" t="s">
        <v>1045</v>
      </c>
      <c r="K299" s="285" t="s">
        <v>1044</v>
      </c>
    </row>
    <row r="300" spans="1:11" hidden="1" x14ac:dyDescent="0.2">
      <c r="A300" s="280" t="s">
        <v>495</v>
      </c>
      <c r="B300" s="270" t="s">
        <v>1318</v>
      </c>
      <c r="C300" s="280" t="s">
        <v>41</v>
      </c>
      <c r="D300" s="278" t="s">
        <v>42</v>
      </c>
      <c r="E300" s="280" t="s">
        <v>1027</v>
      </c>
      <c r="F300" s="270" t="s">
        <v>1028</v>
      </c>
      <c r="G300" s="280">
        <v>164</v>
      </c>
      <c r="H300" s="270" t="s">
        <v>1035</v>
      </c>
      <c r="I300" s="284" t="s">
        <v>1045</v>
      </c>
      <c r="K300" s="285" t="s">
        <v>1047</v>
      </c>
    </row>
    <row r="301" spans="1:11" hidden="1" x14ac:dyDescent="0.2">
      <c r="A301" s="280" t="s">
        <v>496</v>
      </c>
      <c r="B301" s="270" t="s">
        <v>1319</v>
      </c>
      <c r="C301" s="280" t="s">
        <v>41</v>
      </c>
      <c r="D301" s="278" t="s">
        <v>42</v>
      </c>
      <c r="E301" s="280" t="s">
        <v>1029</v>
      </c>
      <c r="F301" s="270" t="s">
        <v>1030</v>
      </c>
      <c r="G301" s="280">
        <v>164</v>
      </c>
      <c r="H301" s="270" t="s">
        <v>1035</v>
      </c>
      <c r="I301" s="284" t="s">
        <v>1045</v>
      </c>
      <c r="K301" s="285" t="s">
        <v>1044</v>
      </c>
    </row>
    <row r="302" spans="1:11" hidden="1" x14ac:dyDescent="0.2">
      <c r="A302" s="280" t="s">
        <v>887</v>
      </c>
      <c r="B302" s="270" t="s">
        <v>888</v>
      </c>
      <c r="C302" s="280" t="s">
        <v>33</v>
      </c>
      <c r="D302" s="278" t="s">
        <v>34</v>
      </c>
      <c r="E302" s="280" t="s">
        <v>1007</v>
      </c>
      <c r="F302" s="270" t="s">
        <v>1008</v>
      </c>
      <c r="G302" s="280">
        <v>22</v>
      </c>
      <c r="H302" s="270" t="s">
        <v>1017</v>
      </c>
      <c r="I302" s="284" t="s">
        <v>1045</v>
      </c>
      <c r="K302" s="285" t="s">
        <v>1044</v>
      </c>
    </row>
    <row r="303" spans="1:11" hidden="1" x14ac:dyDescent="0.2">
      <c r="A303" s="280" t="s">
        <v>1320</v>
      </c>
      <c r="B303" s="270" t="s">
        <v>1321</v>
      </c>
      <c r="C303" s="280" t="s">
        <v>41</v>
      </c>
      <c r="D303" s="278" t="s">
        <v>42</v>
      </c>
      <c r="E303" s="280" t="s">
        <v>1029</v>
      </c>
      <c r="F303" s="270" t="s">
        <v>1030</v>
      </c>
      <c r="G303" s="280">
        <v>164</v>
      </c>
      <c r="H303" s="270" t="s">
        <v>1035</v>
      </c>
      <c r="I303" s="284" t="s">
        <v>1045</v>
      </c>
    </row>
    <row r="304" spans="1:11" hidden="1" x14ac:dyDescent="0.2">
      <c r="A304" s="280" t="s">
        <v>497</v>
      </c>
      <c r="B304" s="270" t="s">
        <v>1130</v>
      </c>
      <c r="C304" s="280" t="s">
        <v>41</v>
      </c>
      <c r="D304" s="278" t="s">
        <v>42</v>
      </c>
      <c r="E304" s="280" t="s">
        <v>1031</v>
      </c>
      <c r="F304" s="270" t="s">
        <v>1032</v>
      </c>
      <c r="G304" s="280">
        <v>164</v>
      </c>
      <c r="H304" s="270" t="s">
        <v>1035</v>
      </c>
      <c r="I304" s="284" t="s">
        <v>1045</v>
      </c>
      <c r="K304" s="285" t="s">
        <v>1044</v>
      </c>
    </row>
    <row r="305" spans="1:11" hidden="1" x14ac:dyDescent="0.2">
      <c r="A305" s="280" t="s">
        <v>498</v>
      </c>
      <c r="B305" s="270" t="s">
        <v>1131</v>
      </c>
      <c r="C305" s="280" t="s">
        <v>41</v>
      </c>
      <c r="D305" s="278" t="s">
        <v>42</v>
      </c>
      <c r="E305" s="280" t="s">
        <v>1031</v>
      </c>
      <c r="F305" s="270" t="s">
        <v>1032</v>
      </c>
      <c r="G305" s="280">
        <v>164</v>
      </c>
      <c r="H305" s="270" t="s">
        <v>1035</v>
      </c>
      <c r="I305" s="284" t="s">
        <v>1045</v>
      </c>
      <c r="K305" s="285" t="s">
        <v>1044</v>
      </c>
    </row>
    <row r="306" spans="1:11" hidden="1" x14ac:dyDescent="0.2">
      <c r="A306" s="280" t="s">
        <v>889</v>
      </c>
      <c r="B306" s="270" t="s">
        <v>890</v>
      </c>
      <c r="C306" s="280" t="s">
        <v>41</v>
      </c>
      <c r="D306" s="278" t="s">
        <v>42</v>
      </c>
      <c r="E306" s="280" t="s">
        <v>1031</v>
      </c>
      <c r="F306" s="270" t="s">
        <v>1032</v>
      </c>
      <c r="G306" s="280">
        <v>164</v>
      </c>
      <c r="H306" s="270" t="s">
        <v>1035</v>
      </c>
      <c r="I306" s="284" t="s">
        <v>1045</v>
      </c>
      <c r="K306" s="285" t="s">
        <v>1044</v>
      </c>
    </row>
    <row r="307" spans="1:11" hidden="1" x14ac:dyDescent="0.2">
      <c r="A307" s="280" t="s">
        <v>499</v>
      </c>
      <c r="B307" s="270" t="s">
        <v>500</v>
      </c>
      <c r="C307" s="280" t="s">
        <v>41</v>
      </c>
      <c r="D307" s="278" t="s">
        <v>42</v>
      </c>
      <c r="E307" s="280" t="s">
        <v>1027</v>
      </c>
      <c r="F307" s="270" t="s">
        <v>1028</v>
      </c>
      <c r="G307" s="280">
        <v>164</v>
      </c>
      <c r="H307" s="270" t="s">
        <v>1035</v>
      </c>
      <c r="I307" s="284" t="s">
        <v>1045</v>
      </c>
      <c r="K307" s="285" t="s">
        <v>1044</v>
      </c>
    </row>
    <row r="308" spans="1:11" hidden="1" x14ac:dyDescent="0.2">
      <c r="A308" s="280" t="s">
        <v>501</v>
      </c>
      <c r="B308" s="270" t="s">
        <v>502</v>
      </c>
      <c r="C308" s="280" t="s">
        <v>41</v>
      </c>
      <c r="D308" s="278" t="s">
        <v>42</v>
      </c>
      <c r="E308" s="280" t="s">
        <v>1031</v>
      </c>
      <c r="F308" s="270" t="s">
        <v>1032</v>
      </c>
      <c r="G308" s="280">
        <v>164</v>
      </c>
      <c r="H308" s="270" t="s">
        <v>1035</v>
      </c>
      <c r="I308" s="284" t="s">
        <v>1045</v>
      </c>
      <c r="K308" s="285" t="s">
        <v>1044</v>
      </c>
    </row>
    <row r="309" spans="1:11" hidden="1" x14ac:dyDescent="0.2">
      <c r="A309" s="280" t="s">
        <v>891</v>
      </c>
      <c r="B309" s="270" t="s">
        <v>892</v>
      </c>
      <c r="C309" s="280" t="s">
        <v>29</v>
      </c>
      <c r="D309" s="278" t="s">
        <v>30</v>
      </c>
      <c r="E309" s="280" t="s">
        <v>991</v>
      </c>
      <c r="F309" s="270" t="s">
        <v>992</v>
      </c>
      <c r="G309" s="280">
        <v>17</v>
      </c>
      <c r="H309" s="270" t="s">
        <v>989</v>
      </c>
      <c r="I309" s="284" t="s">
        <v>1045</v>
      </c>
      <c r="K309" s="285" t="s">
        <v>1044</v>
      </c>
    </row>
    <row r="310" spans="1:11" hidden="1" x14ac:dyDescent="0.2">
      <c r="A310" s="280" t="s">
        <v>893</v>
      </c>
      <c r="B310" s="270" t="s">
        <v>894</v>
      </c>
      <c r="C310" s="280" t="s">
        <v>29</v>
      </c>
      <c r="D310" s="278" t="s">
        <v>30</v>
      </c>
      <c r="E310" s="280" t="s">
        <v>991</v>
      </c>
      <c r="F310" s="270" t="s">
        <v>992</v>
      </c>
      <c r="G310" s="280">
        <v>17</v>
      </c>
      <c r="H310" s="270" t="s">
        <v>989</v>
      </c>
      <c r="I310" s="284" t="s">
        <v>1045</v>
      </c>
      <c r="K310" s="285" t="s">
        <v>1044</v>
      </c>
    </row>
    <row r="311" spans="1:11" hidden="1" x14ac:dyDescent="0.2">
      <c r="A311" s="280" t="s">
        <v>895</v>
      </c>
      <c r="B311" s="270" t="s">
        <v>896</v>
      </c>
      <c r="C311" s="280" t="s">
        <v>29</v>
      </c>
      <c r="D311" s="278" t="s">
        <v>30</v>
      </c>
      <c r="E311" s="280" t="s">
        <v>991</v>
      </c>
      <c r="F311" s="270" t="s">
        <v>992</v>
      </c>
      <c r="G311" s="280">
        <v>17</v>
      </c>
      <c r="H311" s="270" t="s">
        <v>989</v>
      </c>
      <c r="I311" s="284" t="s">
        <v>1045</v>
      </c>
      <c r="K311" s="285" t="s">
        <v>1044</v>
      </c>
    </row>
    <row r="312" spans="1:11" hidden="1" x14ac:dyDescent="0.2">
      <c r="A312" s="280" t="s">
        <v>897</v>
      </c>
      <c r="B312" s="270" t="s">
        <v>1322</v>
      </c>
      <c r="C312" s="280" t="s">
        <v>29</v>
      </c>
      <c r="D312" s="278" t="s">
        <v>30</v>
      </c>
      <c r="E312" s="280" t="s">
        <v>991</v>
      </c>
      <c r="F312" s="270" t="s">
        <v>992</v>
      </c>
      <c r="G312" s="280">
        <v>17</v>
      </c>
      <c r="H312" s="270" t="s">
        <v>989</v>
      </c>
      <c r="I312" s="284" t="s">
        <v>1045</v>
      </c>
      <c r="K312" s="285" t="s">
        <v>1047</v>
      </c>
    </row>
    <row r="313" spans="1:11" hidden="1" x14ac:dyDescent="0.2">
      <c r="A313" s="280" t="s">
        <v>898</v>
      </c>
      <c r="B313" s="270" t="s">
        <v>899</v>
      </c>
      <c r="C313" s="280" t="s">
        <v>29</v>
      </c>
      <c r="D313" s="278" t="s">
        <v>30</v>
      </c>
      <c r="E313" s="280" t="s">
        <v>991</v>
      </c>
      <c r="F313" s="270" t="s">
        <v>992</v>
      </c>
      <c r="G313" s="280">
        <v>17</v>
      </c>
      <c r="H313" s="270" t="s">
        <v>989</v>
      </c>
      <c r="I313" s="284" t="s">
        <v>1045</v>
      </c>
      <c r="K313" s="285" t="s">
        <v>1047</v>
      </c>
    </row>
    <row r="314" spans="1:11" hidden="1" x14ac:dyDescent="0.2">
      <c r="A314" s="280" t="s">
        <v>900</v>
      </c>
      <c r="B314" s="270" t="s">
        <v>266</v>
      </c>
      <c r="C314" s="280" t="s">
        <v>29</v>
      </c>
      <c r="D314" s="278" t="s">
        <v>30</v>
      </c>
      <c r="E314" s="280" t="s">
        <v>991</v>
      </c>
      <c r="F314" s="270" t="s">
        <v>992</v>
      </c>
      <c r="G314" s="280">
        <v>19</v>
      </c>
      <c r="H314" s="270" t="s">
        <v>991</v>
      </c>
      <c r="I314" s="284" t="s">
        <v>1045</v>
      </c>
      <c r="K314" s="285" t="s">
        <v>1047</v>
      </c>
    </row>
    <row r="315" spans="1:11" hidden="1" x14ac:dyDescent="0.2">
      <c r="A315" s="280" t="s">
        <v>901</v>
      </c>
      <c r="B315" s="270" t="s">
        <v>267</v>
      </c>
      <c r="C315" s="280" t="s">
        <v>29</v>
      </c>
      <c r="D315" s="278" t="s">
        <v>30</v>
      </c>
      <c r="E315" s="280" t="s">
        <v>991</v>
      </c>
      <c r="F315" s="270" t="s">
        <v>992</v>
      </c>
      <c r="G315" s="280">
        <v>20</v>
      </c>
      <c r="H315" s="270" t="s">
        <v>999</v>
      </c>
      <c r="I315" s="284" t="s">
        <v>1045</v>
      </c>
      <c r="K315" s="285" t="s">
        <v>1044</v>
      </c>
    </row>
    <row r="316" spans="1:11" hidden="1" x14ac:dyDescent="0.2">
      <c r="A316" s="280" t="s">
        <v>902</v>
      </c>
      <c r="B316" s="270" t="s">
        <v>268</v>
      </c>
      <c r="C316" s="280" t="s">
        <v>29</v>
      </c>
      <c r="D316" s="278" t="s">
        <v>30</v>
      </c>
      <c r="E316" s="280" t="s">
        <v>991</v>
      </c>
      <c r="F316" s="270" t="s">
        <v>992</v>
      </c>
      <c r="G316" s="280">
        <v>20</v>
      </c>
      <c r="H316" s="270" t="s">
        <v>999</v>
      </c>
      <c r="I316" s="284" t="s">
        <v>1045</v>
      </c>
      <c r="K316" s="285" t="s">
        <v>1044</v>
      </c>
    </row>
    <row r="317" spans="1:11" hidden="1" x14ac:dyDescent="0.2">
      <c r="A317" s="280" t="s">
        <v>903</v>
      </c>
      <c r="B317" s="270" t="s">
        <v>904</v>
      </c>
      <c r="C317" s="280" t="s">
        <v>29</v>
      </c>
      <c r="D317" s="278" t="s">
        <v>30</v>
      </c>
      <c r="E317" s="280" t="s">
        <v>991</v>
      </c>
      <c r="F317" s="270" t="s">
        <v>992</v>
      </c>
      <c r="G317" s="280">
        <v>20</v>
      </c>
      <c r="H317" s="270" t="s">
        <v>999</v>
      </c>
      <c r="I317" s="284" t="s">
        <v>1045</v>
      </c>
      <c r="K317" s="285" t="s">
        <v>1044</v>
      </c>
    </row>
    <row r="318" spans="1:11" hidden="1" x14ac:dyDescent="0.2">
      <c r="A318" s="280" t="s">
        <v>905</v>
      </c>
      <c r="B318" s="270" t="s">
        <v>271</v>
      </c>
      <c r="C318" s="280" t="s">
        <v>29</v>
      </c>
      <c r="D318" s="278" t="s">
        <v>30</v>
      </c>
      <c r="E318" s="280" t="s">
        <v>991</v>
      </c>
      <c r="F318" s="270" t="s">
        <v>992</v>
      </c>
      <c r="G318" s="280">
        <v>20</v>
      </c>
      <c r="H318" s="270" t="s">
        <v>999</v>
      </c>
      <c r="I318" s="284" t="s">
        <v>1045</v>
      </c>
      <c r="K318" s="285" t="s">
        <v>1044</v>
      </c>
    </row>
    <row r="319" spans="1:11" hidden="1" x14ac:dyDescent="0.2">
      <c r="A319" s="280" t="s">
        <v>1323</v>
      </c>
      <c r="B319" s="270" t="s">
        <v>1324</v>
      </c>
      <c r="C319" s="280" t="s">
        <v>29</v>
      </c>
      <c r="D319" s="278" t="s">
        <v>30</v>
      </c>
      <c r="E319" s="280" t="s">
        <v>991</v>
      </c>
      <c r="F319" s="270" t="s">
        <v>992</v>
      </c>
      <c r="G319" s="280">
        <v>17</v>
      </c>
      <c r="H319" s="270" t="s">
        <v>989</v>
      </c>
      <c r="I319" s="284" t="s">
        <v>1045</v>
      </c>
    </row>
    <row r="320" spans="1:11" hidden="1" x14ac:dyDescent="0.2">
      <c r="A320" s="280" t="s">
        <v>398</v>
      </c>
      <c r="B320" s="270" t="s">
        <v>399</v>
      </c>
      <c r="C320" s="280" t="s">
        <v>39</v>
      </c>
      <c r="D320" s="278" t="s">
        <v>40</v>
      </c>
      <c r="E320" s="280" t="s">
        <v>1021</v>
      </c>
      <c r="F320" s="270" t="s">
        <v>1022</v>
      </c>
      <c r="G320" s="280">
        <v>21</v>
      </c>
      <c r="H320" s="270" t="s">
        <v>1007</v>
      </c>
      <c r="I320" s="284" t="s">
        <v>1045</v>
      </c>
      <c r="K320" s="285" t="s">
        <v>1044</v>
      </c>
    </row>
    <row r="321" spans="1:11" hidden="1" x14ac:dyDescent="0.2">
      <c r="A321" s="280" t="s">
        <v>400</v>
      </c>
      <c r="B321" s="270" t="s">
        <v>401</v>
      </c>
      <c r="C321" s="280" t="s">
        <v>39</v>
      </c>
      <c r="D321" s="278" t="s">
        <v>40</v>
      </c>
      <c r="E321" s="280" t="s">
        <v>1021</v>
      </c>
      <c r="F321" s="270" t="s">
        <v>1022</v>
      </c>
      <c r="G321" s="280">
        <v>21</v>
      </c>
      <c r="H321" s="270" t="s">
        <v>1007</v>
      </c>
      <c r="I321" s="284" t="s">
        <v>1045</v>
      </c>
      <c r="K321" s="285" t="s">
        <v>1044</v>
      </c>
    </row>
    <row r="322" spans="1:11" hidden="1" x14ac:dyDescent="0.2">
      <c r="A322" s="280" t="s">
        <v>402</v>
      </c>
      <c r="B322" s="270" t="s">
        <v>403</v>
      </c>
      <c r="C322" s="280" t="s">
        <v>39</v>
      </c>
      <c r="D322" s="278" t="s">
        <v>40</v>
      </c>
      <c r="E322" s="280" t="s">
        <v>1021</v>
      </c>
      <c r="F322" s="270" t="s">
        <v>1022</v>
      </c>
      <c r="G322" s="280">
        <v>25</v>
      </c>
      <c r="H322" s="270" t="s">
        <v>1027</v>
      </c>
      <c r="I322" s="284" t="s">
        <v>1045</v>
      </c>
      <c r="K322" s="285" t="s">
        <v>1044</v>
      </c>
    </row>
    <row r="323" spans="1:11" hidden="1" x14ac:dyDescent="0.2">
      <c r="A323" s="280" t="s">
        <v>404</v>
      </c>
      <c r="B323" s="270" t="s">
        <v>405</v>
      </c>
      <c r="C323" s="280" t="s">
        <v>39</v>
      </c>
      <c r="D323" s="278" t="s">
        <v>40</v>
      </c>
      <c r="E323" s="280" t="s">
        <v>1021</v>
      </c>
      <c r="F323" s="270" t="s">
        <v>1022</v>
      </c>
      <c r="G323" s="280">
        <v>25</v>
      </c>
      <c r="H323" s="270" t="s">
        <v>1029</v>
      </c>
      <c r="I323" s="284" t="s">
        <v>1045</v>
      </c>
      <c r="K323" s="285" t="s">
        <v>1044</v>
      </c>
    </row>
    <row r="324" spans="1:11" hidden="1" x14ac:dyDescent="0.2">
      <c r="A324" s="280" t="s">
        <v>406</v>
      </c>
      <c r="B324" s="270" t="s">
        <v>407</v>
      </c>
      <c r="C324" s="280" t="s">
        <v>39</v>
      </c>
      <c r="D324" s="278" t="s">
        <v>40</v>
      </c>
      <c r="E324" s="280" t="s">
        <v>1021</v>
      </c>
      <c r="F324" s="270" t="s">
        <v>1022</v>
      </c>
      <c r="G324" s="280">
        <v>21</v>
      </c>
      <c r="H324" s="270" t="s">
        <v>1007</v>
      </c>
      <c r="I324" s="284" t="s">
        <v>1045</v>
      </c>
      <c r="K324" s="285" t="s">
        <v>1047</v>
      </c>
    </row>
    <row r="325" spans="1:11" hidden="1" x14ac:dyDescent="0.2">
      <c r="A325" s="280" t="s">
        <v>408</v>
      </c>
      <c r="B325" s="270" t="s">
        <v>409</v>
      </c>
      <c r="C325" s="280" t="s">
        <v>39</v>
      </c>
      <c r="D325" s="278" t="s">
        <v>40</v>
      </c>
      <c r="E325" s="280" t="s">
        <v>1021</v>
      </c>
      <c r="F325" s="270" t="s">
        <v>1022</v>
      </c>
      <c r="G325" s="280">
        <v>25</v>
      </c>
      <c r="H325" s="270" t="s">
        <v>1031</v>
      </c>
      <c r="I325" s="284" t="s">
        <v>1045</v>
      </c>
      <c r="K325" s="285" t="s">
        <v>1044</v>
      </c>
    </row>
    <row r="326" spans="1:11" hidden="1" x14ac:dyDescent="0.2">
      <c r="A326" s="280" t="s">
        <v>410</v>
      </c>
      <c r="B326" s="270" t="s">
        <v>411</v>
      </c>
      <c r="C326" s="280" t="s">
        <v>39</v>
      </c>
      <c r="D326" s="278" t="s">
        <v>40</v>
      </c>
      <c r="E326" s="280" t="s">
        <v>1021</v>
      </c>
      <c r="F326" s="270" t="s">
        <v>1022</v>
      </c>
      <c r="G326" s="280">
        <v>25</v>
      </c>
      <c r="H326" s="270" t="s">
        <v>1031</v>
      </c>
      <c r="I326" s="284" t="s">
        <v>1045</v>
      </c>
      <c r="K326" s="285" t="s">
        <v>1044</v>
      </c>
    </row>
    <row r="327" spans="1:11" hidden="1" x14ac:dyDescent="0.2">
      <c r="A327" s="280" t="s">
        <v>412</v>
      </c>
      <c r="B327" s="270" t="s">
        <v>413</v>
      </c>
      <c r="C327" s="280" t="s">
        <v>39</v>
      </c>
      <c r="D327" s="278" t="s">
        <v>40</v>
      </c>
      <c r="E327" s="280" t="s">
        <v>1021</v>
      </c>
      <c r="F327" s="270" t="s">
        <v>1022</v>
      </c>
      <c r="G327" s="280">
        <v>25</v>
      </c>
      <c r="H327" s="270" t="s">
        <v>1031</v>
      </c>
      <c r="I327" s="284" t="s">
        <v>1045</v>
      </c>
      <c r="K327" s="285" t="s">
        <v>1047</v>
      </c>
    </row>
    <row r="328" spans="1:11" hidden="1" x14ac:dyDescent="0.2">
      <c r="A328" s="280" t="s">
        <v>414</v>
      </c>
      <c r="B328" s="270" t="s">
        <v>415</v>
      </c>
      <c r="C328" s="280" t="s">
        <v>39</v>
      </c>
      <c r="D328" s="278" t="s">
        <v>40</v>
      </c>
      <c r="E328" s="280" t="s">
        <v>1021</v>
      </c>
      <c r="F328" s="270" t="s">
        <v>1022</v>
      </c>
      <c r="G328" s="280">
        <v>25</v>
      </c>
      <c r="H328" s="270" t="s">
        <v>1027</v>
      </c>
      <c r="I328" s="284" t="s">
        <v>1045</v>
      </c>
      <c r="K328" s="285" t="s">
        <v>1044</v>
      </c>
    </row>
    <row r="329" spans="1:11" hidden="1" x14ac:dyDescent="0.2">
      <c r="A329" s="280" t="s">
        <v>416</v>
      </c>
      <c r="B329" s="270" t="s">
        <v>417</v>
      </c>
      <c r="C329" s="280" t="s">
        <v>39</v>
      </c>
      <c r="D329" s="278" t="s">
        <v>40</v>
      </c>
      <c r="E329" s="280" t="s">
        <v>1023</v>
      </c>
      <c r="F329" s="270" t="s">
        <v>1024</v>
      </c>
      <c r="G329" s="280">
        <v>24</v>
      </c>
      <c r="H329" s="270" t="s">
        <v>1021</v>
      </c>
      <c r="I329" s="284" t="s">
        <v>1045</v>
      </c>
      <c r="K329" s="285" t="s">
        <v>1044</v>
      </c>
    </row>
    <row r="330" spans="1:11" hidden="1" x14ac:dyDescent="0.2">
      <c r="A330" s="280" t="s">
        <v>418</v>
      </c>
      <c r="B330" s="270" t="s">
        <v>419</v>
      </c>
      <c r="C330" s="280" t="s">
        <v>39</v>
      </c>
      <c r="D330" s="278" t="s">
        <v>40</v>
      </c>
      <c r="E330" s="280" t="s">
        <v>1023</v>
      </c>
      <c r="F330" s="270" t="s">
        <v>1024</v>
      </c>
      <c r="G330" s="280">
        <v>24</v>
      </c>
      <c r="H330" s="270" t="s">
        <v>1021</v>
      </c>
      <c r="I330" s="284" t="s">
        <v>1045</v>
      </c>
      <c r="K330" s="285" t="s">
        <v>1044</v>
      </c>
    </row>
    <row r="331" spans="1:11" hidden="1" x14ac:dyDescent="0.2">
      <c r="A331" s="280" t="s">
        <v>420</v>
      </c>
      <c r="B331" s="270" t="s">
        <v>421</v>
      </c>
      <c r="C331" s="280" t="s">
        <v>39</v>
      </c>
      <c r="D331" s="278" t="s">
        <v>40</v>
      </c>
      <c r="E331" s="280" t="s">
        <v>1023</v>
      </c>
      <c r="F331" s="270" t="s">
        <v>1024</v>
      </c>
      <c r="G331" s="280">
        <v>24</v>
      </c>
      <c r="H331" s="270" t="s">
        <v>1021</v>
      </c>
      <c r="I331" s="284" t="s">
        <v>1045</v>
      </c>
      <c r="K331" s="285" t="s">
        <v>1044</v>
      </c>
    </row>
    <row r="332" spans="1:11" hidden="1" x14ac:dyDescent="0.2">
      <c r="A332" s="280" t="s">
        <v>422</v>
      </c>
      <c r="B332" s="270" t="s">
        <v>423</v>
      </c>
      <c r="C332" s="280" t="s">
        <v>39</v>
      </c>
      <c r="D332" s="278" t="s">
        <v>40</v>
      </c>
      <c r="E332" s="280" t="s">
        <v>1023</v>
      </c>
      <c r="F332" s="270" t="s">
        <v>1024</v>
      </c>
      <c r="G332" s="280">
        <v>24</v>
      </c>
      <c r="H332" s="270" t="s">
        <v>1021</v>
      </c>
      <c r="I332" s="284" t="s">
        <v>1045</v>
      </c>
      <c r="K332" s="285" t="s">
        <v>1044</v>
      </c>
    </row>
    <row r="333" spans="1:11" hidden="1" x14ac:dyDescent="0.2">
      <c r="A333" s="280" t="s">
        <v>424</v>
      </c>
      <c r="B333" s="270" t="s">
        <v>425</v>
      </c>
      <c r="C333" s="280" t="s">
        <v>39</v>
      </c>
      <c r="D333" s="278" t="s">
        <v>40</v>
      </c>
      <c r="E333" s="280" t="s">
        <v>1023</v>
      </c>
      <c r="F333" s="270" t="s">
        <v>1024</v>
      </c>
      <c r="G333" s="280">
        <v>24</v>
      </c>
      <c r="H333" s="270" t="s">
        <v>1021</v>
      </c>
      <c r="I333" s="284" t="s">
        <v>1045</v>
      </c>
      <c r="K333" s="285" t="s">
        <v>1044</v>
      </c>
    </row>
    <row r="334" spans="1:11" hidden="1" x14ac:dyDescent="0.2">
      <c r="A334" s="280" t="s">
        <v>426</v>
      </c>
      <c r="B334" s="270" t="s">
        <v>427</v>
      </c>
      <c r="C334" s="280" t="s">
        <v>39</v>
      </c>
      <c r="D334" s="278" t="s">
        <v>40</v>
      </c>
      <c r="E334" s="280" t="s">
        <v>1023</v>
      </c>
      <c r="F334" s="270" t="s">
        <v>1024</v>
      </c>
      <c r="G334" s="280">
        <v>24</v>
      </c>
      <c r="H334" s="270" t="s">
        <v>1021</v>
      </c>
      <c r="I334" s="284" t="s">
        <v>1045</v>
      </c>
      <c r="K334" s="285" t="s">
        <v>1044</v>
      </c>
    </row>
    <row r="335" spans="1:11" hidden="1" x14ac:dyDescent="0.2">
      <c r="A335" s="280" t="s">
        <v>428</v>
      </c>
      <c r="B335" s="270" t="s">
        <v>429</v>
      </c>
      <c r="C335" s="280" t="s">
        <v>39</v>
      </c>
      <c r="D335" s="278" t="s">
        <v>40</v>
      </c>
      <c r="E335" s="280" t="s">
        <v>1023</v>
      </c>
      <c r="F335" s="270" t="s">
        <v>1024</v>
      </c>
      <c r="G335" s="280">
        <v>24</v>
      </c>
      <c r="H335" s="270" t="s">
        <v>1021</v>
      </c>
      <c r="I335" s="284" t="s">
        <v>1045</v>
      </c>
      <c r="K335" s="285" t="s">
        <v>1044</v>
      </c>
    </row>
    <row r="336" spans="1:11" hidden="1" x14ac:dyDescent="0.2">
      <c r="A336" s="280" t="s">
        <v>430</v>
      </c>
      <c r="B336" s="270" t="s">
        <v>431</v>
      </c>
      <c r="C336" s="280" t="s">
        <v>39</v>
      </c>
      <c r="D336" s="278" t="s">
        <v>40</v>
      </c>
      <c r="E336" s="280" t="s">
        <v>1023</v>
      </c>
      <c r="F336" s="270" t="s">
        <v>1024</v>
      </c>
      <c r="G336" s="280">
        <v>24</v>
      </c>
      <c r="H336" s="270" t="s">
        <v>1021</v>
      </c>
      <c r="I336" s="284" t="s">
        <v>1045</v>
      </c>
      <c r="K336" s="285" t="s">
        <v>1044</v>
      </c>
    </row>
    <row r="337" spans="1:11" hidden="1" x14ac:dyDescent="0.2">
      <c r="A337" s="280" t="s">
        <v>906</v>
      </c>
      <c r="B337" s="270" t="s">
        <v>907</v>
      </c>
      <c r="C337" s="280" t="s">
        <v>39</v>
      </c>
      <c r="D337" s="278" t="s">
        <v>40</v>
      </c>
      <c r="E337" s="280" t="s">
        <v>1023</v>
      </c>
      <c r="F337" s="270" t="s">
        <v>1024</v>
      </c>
      <c r="G337" s="280">
        <v>24</v>
      </c>
      <c r="H337" s="270" t="s">
        <v>1023</v>
      </c>
      <c r="I337" s="284" t="s">
        <v>1045</v>
      </c>
      <c r="K337" s="285" t="s">
        <v>1044</v>
      </c>
    </row>
    <row r="338" spans="1:11" hidden="1" x14ac:dyDescent="0.2">
      <c r="A338" s="280" t="s">
        <v>432</v>
      </c>
      <c r="B338" s="270" t="s">
        <v>433</v>
      </c>
      <c r="C338" s="280" t="s">
        <v>39</v>
      </c>
      <c r="D338" s="278" t="s">
        <v>40</v>
      </c>
      <c r="E338" s="280" t="s">
        <v>1023</v>
      </c>
      <c r="F338" s="270" t="s">
        <v>1024</v>
      </c>
      <c r="G338" s="280">
        <v>24</v>
      </c>
      <c r="H338" s="270" t="s">
        <v>1023</v>
      </c>
      <c r="I338" s="284" t="s">
        <v>1045</v>
      </c>
      <c r="K338" s="285" t="s">
        <v>1044</v>
      </c>
    </row>
    <row r="339" spans="1:11" hidden="1" x14ac:dyDescent="0.2">
      <c r="A339" s="280" t="s">
        <v>908</v>
      </c>
      <c r="B339" s="270" t="s">
        <v>909</v>
      </c>
      <c r="C339" s="280" t="s">
        <v>39</v>
      </c>
      <c r="D339" s="278" t="s">
        <v>40</v>
      </c>
      <c r="E339" s="280" t="s">
        <v>1023</v>
      </c>
      <c r="F339" s="270" t="s">
        <v>1024</v>
      </c>
      <c r="G339" s="280">
        <v>24</v>
      </c>
      <c r="H339" s="270" t="s">
        <v>1023</v>
      </c>
      <c r="I339" s="284" t="s">
        <v>1045</v>
      </c>
      <c r="K339" s="285" t="s">
        <v>1044</v>
      </c>
    </row>
    <row r="340" spans="1:11" hidden="1" x14ac:dyDescent="0.2">
      <c r="A340" s="280" t="s">
        <v>910</v>
      </c>
      <c r="B340" s="270" t="s">
        <v>911</v>
      </c>
      <c r="C340" s="280" t="s">
        <v>39</v>
      </c>
      <c r="D340" s="278" t="s">
        <v>40</v>
      </c>
      <c r="E340" s="280" t="s">
        <v>1023</v>
      </c>
      <c r="F340" s="270" t="s">
        <v>1024</v>
      </c>
      <c r="G340" s="280">
        <v>24</v>
      </c>
      <c r="H340" s="270" t="s">
        <v>1023</v>
      </c>
      <c r="I340" s="284" t="s">
        <v>1045</v>
      </c>
      <c r="K340" s="285" t="s">
        <v>1044</v>
      </c>
    </row>
    <row r="341" spans="1:11" hidden="1" x14ac:dyDescent="0.2">
      <c r="A341" s="280" t="s">
        <v>912</v>
      </c>
      <c r="B341" s="270" t="s">
        <v>913</v>
      </c>
      <c r="C341" s="280" t="s">
        <v>39</v>
      </c>
      <c r="D341" s="278" t="s">
        <v>40</v>
      </c>
      <c r="E341" s="280" t="s">
        <v>1023</v>
      </c>
      <c r="F341" s="270" t="s">
        <v>1024</v>
      </c>
      <c r="G341" s="280">
        <v>24</v>
      </c>
      <c r="H341" s="270" t="s">
        <v>1023</v>
      </c>
      <c r="I341" s="284" t="s">
        <v>1045</v>
      </c>
      <c r="K341" s="285" t="s">
        <v>1044</v>
      </c>
    </row>
    <row r="342" spans="1:11" hidden="1" x14ac:dyDescent="0.2">
      <c r="A342" s="280" t="s">
        <v>434</v>
      </c>
      <c r="B342" s="270" t="s">
        <v>435</v>
      </c>
      <c r="C342" s="280" t="s">
        <v>39</v>
      </c>
      <c r="D342" s="278" t="s">
        <v>40</v>
      </c>
      <c r="E342" s="280" t="s">
        <v>1023</v>
      </c>
      <c r="F342" s="270" t="s">
        <v>1024</v>
      </c>
      <c r="G342" s="280">
        <v>24</v>
      </c>
      <c r="H342" s="270" t="s">
        <v>1023</v>
      </c>
      <c r="I342" s="284" t="s">
        <v>1045</v>
      </c>
      <c r="K342" s="285" t="s">
        <v>1044</v>
      </c>
    </row>
    <row r="343" spans="1:11" hidden="1" x14ac:dyDescent="0.2">
      <c r="A343" s="280" t="s">
        <v>436</v>
      </c>
      <c r="B343" s="270" t="s">
        <v>437</v>
      </c>
      <c r="C343" s="280" t="s">
        <v>39</v>
      </c>
      <c r="D343" s="278" t="s">
        <v>40</v>
      </c>
      <c r="E343" s="280" t="s">
        <v>1025</v>
      </c>
      <c r="F343" s="270" t="s">
        <v>1026</v>
      </c>
      <c r="G343" s="280">
        <v>24</v>
      </c>
      <c r="H343" s="270" t="s">
        <v>1021</v>
      </c>
      <c r="I343" s="284" t="s">
        <v>1045</v>
      </c>
      <c r="K343" s="285" t="s">
        <v>1044</v>
      </c>
    </row>
    <row r="344" spans="1:11" hidden="1" x14ac:dyDescent="0.2">
      <c r="A344" s="280" t="s">
        <v>438</v>
      </c>
      <c r="B344" s="270" t="s">
        <v>439</v>
      </c>
      <c r="C344" s="280" t="s">
        <v>39</v>
      </c>
      <c r="D344" s="278" t="s">
        <v>40</v>
      </c>
      <c r="E344" s="280" t="s">
        <v>1025</v>
      </c>
      <c r="F344" s="270" t="s">
        <v>1026</v>
      </c>
      <c r="G344" s="280">
        <v>24</v>
      </c>
      <c r="H344" s="270" t="s">
        <v>1021</v>
      </c>
      <c r="I344" s="284" t="s">
        <v>1045</v>
      </c>
      <c r="K344" s="285" t="s">
        <v>1044</v>
      </c>
    </row>
    <row r="345" spans="1:11" hidden="1" x14ac:dyDescent="0.2">
      <c r="A345" s="280" t="s">
        <v>440</v>
      </c>
      <c r="B345" s="270" t="s">
        <v>441</v>
      </c>
      <c r="C345" s="280" t="s">
        <v>39</v>
      </c>
      <c r="D345" s="278" t="s">
        <v>40</v>
      </c>
      <c r="E345" s="280" t="s">
        <v>1021</v>
      </c>
      <c r="F345" s="270" t="s">
        <v>1022</v>
      </c>
      <c r="G345" s="280">
        <v>25</v>
      </c>
      <c r="H345" s="270" t="s">
        <v>1031</v>
      </c>
      <c r="I345" s="284" t="s">
        <v>1045</v>
      </c>
      <c r="K345" s="285" t="s">
        <v>1044</v>
      </c>
    </row>
    <row r="346" spans="1:11" hidden="1" x14ac:dyDescent="0.2">
      <c r="A346" s="280" t="s">
        <v>442</v>
      </c>
      <c r="B346" s="270" t="s">
        <v>443</v>
      </c>
      <c r="C346" s="280" t="s">
        <v>39</v>
      </c>
      <c r="D346" s="278" t="s">
        <v>40</v>
      </c>
      <c r="E346" s="280" t="s">
        <v>1021</v>
      </c>
      <c r="F346" s="270" t="s">
        <v>1022</v>
      </c>
      <c r="G346" s="280">
        <v>19</v>
      </c>
      <c r="H346" s="270" t="s">
        <v>991</v>
      </c>
      <c r="I346" s="284" t="s">
        <v>1045</v>
      </c>
      <c r="K346" s="285" t="s">
        <v>1047</v>
      </c>
    </row>
    <row r="347" spans="1:11" hidden="1" x14ac:dyDescent="0.2">
      <c r="A347" s="280" t="s">
        <v>444</v>
      </c>
      <c r="B347" s="270" t="s">
        <v>445</v>
      </c>
      <c r="C347" s="280" t="s">
        <v>39</v>
      </c>
      <c r="D347" s="278" t="s">
        <v>40</v>
      </c>
      <c r="E347" s="280" t="s">
        <v>1021</v>
      </c>
      <c r="F347" s="270" t="s">
        <v>1022</v>
      </c>
      <c r="G347" s="280">
        <v>19</v>
      </c>
      <c r="H347" s="270" t="s">
        <v>991</v>
      </c>
      <c r="I347" s="284" t="s">
        <v>1045</v>
      </c>
      <c r="K347" s="285" t="s">
        <v>1047</v>
      </c>
    </row>
    <row r="348" spans="1:11" hidden="1" x14ac:dyDescent="0.2">
      <c r="A348" s="280" t="s">
        <v>446</v>
      </c>
      <c r="B348" s="270" t="s">
        <v>447</v>
      </c>
      <c r="C348" s="280" t="s">
        <v>39</v>
      </c>
      <c r="D348" s="278" t="s">
        <v>40</v>
      </c>
      <c r="E348" s="280" t="s">
        <v>1021</v>
      </c>
      <c r="F348" s="270" t="s">
        <v>1022</v>
      </c>
      <c r="G348" s="280">
        <v>19</v>
      </c>
      <c r="H348" s="270" t="s">
        <v>991</v>
      </c>
      <c r="I348" s="284" t="s">
        <v>1045</v>
      </c>
      <c r="K348" s="285" t="s">
        <v>1047</v>
      </c>
    </row>
    <row r="349" spans="1:11" hidden="1" x14ac:dyDescent="0.2">
      <c r="A349" s="280" t="s">
        <v>448</v>
      </c>
      <c r="B349" s="270" t="s">
        <v>449</v>
      </c>
      <c r="C349" s="280" t="s">
        <v>39</v>
      </c>
      <c r="D349" s="278" t="s">
        <v>40</v>
      </c>
      <c r="E349" s="280" t="s">
        <v>1021</v>
      </c>
      <c r="F349" s="270" t="s">
        <v>1022</v>
      </c>
      <c r="G349" s="280">
        <v>19</v>
      </c>
      <c r="H349" s="270" t="s">
        <v>991</v>
      </c>
      <c r="I349" s="284" t="s">
        <v>1045</v>
      </c>
      <c r="K349" s="285" t="s">
        <v>1047</v>
      </c>
    </row>
    <row r="350" spans="1:11" hidden="1" x14ac:dyDescent="0.2">
      <c r="A350" s="280" t="s">
        <v>450</v>
      </c>
      <c r="B350" s="270" t="s">
        <v>451</v>
      </c>
      <c r="C350" s="280" t="s">
        <v>39</v>
      </c>
      <c r="D350" s="278" t="s">
        <v>40</v>
      </c>
      <c r="E350" s="280" t="s">
        <v>1021</v>
      </c>
      <c r="F350" s="270" t="s">
        <v>1022</v>
      </c>
      <c r="G350" s="280">
        <v>19</v>
      </c>
      <c r="H350" s="270" t="s">
        <v>991</v>
      </c>
      <c r="I350" s="284" t="s">
        <v>1045</v>
      </c>
      <c r="K350" s="285" t="s">
        <v>1047</v>
      </c>
    </row>
    <row r="351" spans="1:11" hidden="1" x14ac:dyDescent="0.2">
      <c r="A351" s="280" t="s">
        <v>452</v>
      </c>
      <c r="B351" s="270" t="s">
        <v>453</v>
      </c>
      <c r="C351" s="280" t="s">
        <v>39</v>
      </c>
      <c r="D351" s="278" t="s">
        <v>40</v>
      </c>
      <c r="E351" s="280" t="s">
        <v>1021</v>
      </c>
      <c r="F351" s="270" t="s">
        <v>1022</v>
      </c>
      <c r="G351" s="280">
        <v>19</v>
      </c>
      <c r="H351" s="270" t="s">
        <v>991</v>
      </c>
      <c r="I351" s="284" t="s">
        <v>1045</v>
      </c>
      <c r="K351" s="285" t="s">
        <v>1047</v>
      </c>
    </row>
    <row r="352" spans="1:11" hidden="1" x14ac:dyDescent="0.2">
      <c r="A352" s="280" t="s">
        <v>454</v>
      </c>
      <c r="B352" s="270" t="s">
        <v>455</v>
      </c>
      <c r="C352" s="280" t="s">
        <v>39</v>
      </c>
      <c r="D352" s="278" t="s">
        <v>40</v>
      </c>
      <c r="E352" s="280" t="s">
        <v>1021</v>
      </c>
      <c r="F352" s="270" t="s">
        <v>1022</v>
      </c>
      <c r="G352" s="280">
        <v>19</v>
      </c>
      <c r="H352" s="270" t="s">
        <v>991</v>
      </c>
      <c r="I352" s="284" t="s">
        <v>1045</v>
      </c>
      <c r="K352" s="285" t="s">
        <v>1047</v>
      </c>
    </row>
    <row r="353" spans="1:11" hidden="1" x14ac:dyDescent="0.2">
      <c r="A353" s="280" t="s">
        <v>456</v>
      </c>
      <c r="B353" s="270" t="s">
        <v>457</v>
      </c>
      <c r="C353" s="280" t="s">
        <v>39</v>
      </c>
      <c r="D353" s="278" t="s">
        <v>40</v>
      </c>
      <c r="E353" s="280" t="s">
        <v>1021</v>
      </c>
      <c r="F353" s="270" t="s">
        <v>1022</v>
      </c>
      <c r="G353" s="280">
        <v>19</v>
      </c>
      <c r="H353" s="270" t="s">
        <v>991</v>
      </c>
      <c r="I353" s="284" t="s">
        <v>1045</v>
      </c>
      <c r="K353" s="285" t="s">
        <v>1047</v>
      </c>
    </row>
    <row r="354" spans="1:11" hidden="1" x14ac:dyDescent="0.2">
      <c r="A354" s="280" t="s">
        <v>458</v>
      </c>
      <c r="B354" s="270" t="s">
        <v>459</v>
      </c>
      <c r="C354" s="280" t="s">
        <v>39</v>
      </c>
      <c r="D354" s="278" t="s">
        <v>40</v>
      </c>
      <c r="E354" s="280" t="s">
        <v>1021</v>
      </c>
      <c r="F354" s="270" t="s">
        <v>1022</v>
      </c>
      <c r="G354" s="280">
        <v>19</v>
      </c>
      <c r="H354" s="270" t="s">
        <v>991</v>
      </c>
      <c r="I354" s="284" t="s">
        <v>1045</v>
      </c>
      <c r="K354" s="285" t="s">
        <v>1047</v>
      </c>
    </row>
    <row r="355" spans="1:11" hidden="1" x14ac:dyDescent="0.2">
      <c r="A355" s="280" t="s">
        <v>460</v>
      </c>
      <c r="B355" s="270" t="s">
        <v>461</v>
      </c>
      <c r="C355" s="280" t="s">
        <v>39</v>
      </c>
      <c r="D355" s="278" t="s">
        <v>40</v>
      </c>
      <c r="E355" s="280" t="s">
        <v>1023</v>
      </c>
      <c r="F355" s="270" t="s">
        <v>1024</v>
      </c>
      <c r="G355" s="280">
        <v>24</v>
      </c>
      <c r="H355" s="270" t="s">
        <v>1023</v>
      </c>
      <c r="I355" s="284" t="s">
        <v>1045</v>
      </c>
      <c r="K355" s="285" t="s">
        <v>1044</v>
      </c>
    </row>
    <row r="356" spans="1:11" hidden="1" x14ac:dyDescent="0.2">
      <c r="A356" s="280" t="s">
        <v>462</v>
      </c>
      <c r="B356" s="270" t="s">
        <v>463</v>
      </c>
      <c r="C356" s="280" t="s">
        <v>39</v>
      </c>
      <c r="D356" s="278" t="s">
        <v>40</v>
      </c>
      <c r="E356" s="280" t="s">
        <v>1023</v>
      </c>
      <c r="F356" s="270" t="s">
        <v>1024</v>
      </c>
      <c r="G356" s="280">
        <v>24</v>
      </c>
      <c r="H356" s="270" t="s">
        <v>1023</v>
      </c>
      <c r="I356" s="284" t="s">
        <v>1045</v>
      </c>
      <c r="K356" s="285" t="s">
        <v>1044</v>
      </c>
    </row>
    <row r="357" spans="1:11" hidden="1" x14ac:dyDescent="0.2">
      <c r="A357" s="280" t="s">
        <v>464</v>
      </c>
      <c r="B357" s="270" t="s">
        <v>465</v>
      </c>
      <c r="C357" s="280" t="s">
        <v>39</v>
      </c>
      <c r="D357" s="278" t="s">
        <v>40</v>
      </c>
      <c r="E357" s="280" t="s">
        <v>1023</v>
      </c>
      <c r="F357" s="270" t="s">
        <v>1024</v>
      </c>
      <c r="G357" s="280">
        <v>24</v>
      </c>
      <c r="H357" s="270" t="s">
        <v>1023</v>
      </c>
      <c r="I357" s="284" t="s">
        <v>1045</v>
      </c>
      <c r="K357" s="285" t="s">
        <v>1047</v>
      </c>
    </row>
    <row r="358" spans="1:11" hidden="1" x14ac:dyDescent="0.2">
      <c r="A358" s="280" t="s">
        <v>466</v>
      </c>
      <c r="B358" s="270" t="s">
        <v>467</v>
      </c>
      <c r="C358" s="280" t="s">
        <v>39</v>
      </c>
      <c r="D358" s="278" t="s">
        <v>40</v>
      </c>
      <c r="E358" s="280" t="s">
        <v>1023</v>
      </c>
      <c r="F358" s="270" t="s">
        <v>1024</v>
      </c>
      <c r="G358" s="280">
        <v>24</v>
      </c>
      <c r="H358" s="270" t="s">
        <v>1023</v>
      </c>
      <c r="I358" s="284" t="s">
        <v>1045</v>
      </c>
      <c r="K358" s="285" t="s">
        <v>1044</v>
      </c>
    </row>
    <row r="359" spans="1:11" hidden="1" x14ac:dyDescent="0.2">
      <c r="A359" s="280" t="s">
        <v>468</v>
      </c>
      <c r="B359" s="270" t="s">
        <v>469</v>
      </c>
      <c r="C359" s="280" t="s">
        <v>39</v>
      </c>
      <c r="D359" s="278" t="s">
        <v>40</v>
      </c>
      <c r="E359" s="280" t="s">
        <v>1023</v>
      </c>
      <c r="F359" s="270" t="s">
        <v>1024</v>
      </c>
      <c r="G359" s="280">
        <v>24</v>
      </c>
      <c r="H359" s="270" t="s">
        <v>1023</v>
      </c>
      <c r="I359" s="284" t="s">
        <v>1045</v>
      </c>
      <c r="K359" s="285" t="s">
        <v>1047</v>
      </c>
    </row>
    <row r="360" spans="1:11" hidden="1" x14ac:dyDescent="0.2">
      <c r="A360" s="280" t="s">
        <v>470</v>
      </c>
      <c r="B360" s="270" t="s">
        <v>471</v>
      </c>
      <c r="C360" s="280" t="s">
        <v>39</v>
      </c>
      <c r="D360" s="278" t="s">
        <v>40</v>
      </c>
      <c r="E360" s="280" t="s">
        <v>1023</v>
      </c>
      <c r="F360" s="270" t="s">
        <v>1024</v>
      </c>
      <c r="G360" s="280">
        <v>24</v>
      </c>
      <c r="H360" s="270" t="s">
        <v>1023</v>
      </c>
      <c r="I360" s="284" t="s">
        <v>1045</v>
      </c>
      <c r="K360" s="285" t="s">
        <v>1047</v>
      </c>
    </row>
    <row r="361" spans="1:11" hidden="1" x14ac:dyDescent="0.2">
      <c r="A361" s="280" t="s">
        <v>472</v>
      </c>
      <c r="B361" s="270" t="s">
        <v>473</v>
      </c>
      <c r="C361" s="280" t="s">
        <v>39</v>
      </c>
      <c r="D361" s="278" t="s">
        <v>40</v>
      </c>
      <c r="E361" s="280" t="s">
        <v>1023</v>
      </c>
      <c r="F361" s="270" t="s">
        <v>1024</v>
      </c>
      <c r="G361" s="280">
        <v>24</v>
      </c>
      <c r="H361" s="270" t="s">
        <v>1023</v>
      </c>
      <c r="I361" s="284" t="s">
        <v>1045</v>
      </c>
      <c r="K361" s="285" t="s">
        <v>1047</v>
      </c>
    </row>
    <row r="362" spans="1:11" hidden="1" x14ac:dyDescent="0.2">
      <c r="A362" s="280" t="s">
        <v>474</v>
      </c>
      <c r="B362" s="270" t="s">
        <v>475</v>
      </c>
      <c r="C362" s="280" t="s">
        <v>39</v>
      </c>
      <c r="D362" s="278" t="s">
        <v>40</v>
      </c>
      <c r="E362" s="280" t="s">
        <v>1023</v>
      </c>
      <c r="F362" s="270" t="s">
        <v>1024</v>
      </c>
      <c r="G362" s="280">
        <v>24</v>
      </c>
      <c r="H362" s="270" t="s">
        <v>1023</v>
      </c>
      <c r="I362" s="284" t="s">
        <v>1045</v>
      </c>
      <c r="K362" s="285" t="s">
        <v>1044</v>
      </c>
    </row>
    <row r="363" spans="1:11" hidden="1" x14ac:dyDescent="0.2">
      <c r="A363" s="280" t="s">
        <v>476</v>
      </c>
      <c r="B363" s="270" t="s">
        <v>477</v>
      </c>
      <c r="C363" s="280" t="s">
        <v>39</v>
      </c>
      <c r="D363" s="278" t="s">
        <v>40</v>
      </c>
      <c r="E363" s="280" t="s">
        <v>1023</v>
      </c>
      <c r="F363" s="270" t="s">
        <v>1024</v>
      </c>
      <c r="G363" s="280">
        <v>24</v>
      </c>
      <c r="H363" s="270" t="s">
        <v>1025</v>
      </c>
      <c r="I363" s="284" t="s">
        <v>1045</v>
      </c>
      <c r="K363" s="285" t="s">
        <v>1044</v>
      </c>
    </row>
    <row r="364" spans="1:11" hidden="1" x14ac:dyDescent="0.2">
      <c r="A364" s="280" t="s">
        <v>478</v>
      </c>
      <c r="B364" s="270" t="s">
        <v>479</v>
      </c>
      <c r="C364" s="280" t="s">
        <v>39</v>
      </c>
      <c r="D364" s="278" t="s">
        <v>40</v>
      </c>
      <c r="E364" s="280" t="s">
        <v>1023</v>
      </c>
      <c r="F364" s="270" t="s">
        <v>1024</v>
      </c>
      <c r="G364" s="280">
        <v>24</v>
      </c>
      <c r="H364" s="270" t="s">
        <v>1025</v>
      </c>
      <c r="I364" s="284" t="s">
        <v>1045</v>
      </c>
      <c r="K364" s="285" t="s">
        <v>1044</v>
      </c>
    </row>
    <row r="365" spans="1:11" hidden="1" x14ac:dyDescent="0.2">
      <c r="A365" s="280" t="s">
        <v>480</v>
      </c>
      <c r="B365" s="270" t="s">
        <v>481</v>
      </c>
      <c r="C365" s="280" t="s">
        <v>39</v>
      </c>
      <c r="D365" s="278" t="s">
        <v>40</v>
      </c>
      <c r="E365" s="280" t="s">
        <v>1025</v>
      </c>
      <c r="F365" s="270" t="s">
        <v>1026</v>
      </c>
      <c r="G365" s="280">
        <v>24</v>
      </c>
      <c r="H365" s="270" t="s">
        <v>1021</v>
      </c>
      <c r="I365" s="284" t="s">
        <v>1045</v>
      </c>
      <c r="K365" s="285" t="s">
        <v>1044</v>
      </c>
    </row>
    <row r="366" spans="1:11" hidden="1" x14ac:dyDescent="0.2">
      <c r="A366" s="280" t="s">
        <v>482</v>
      </c>
      <c r="B366" s="270" t="s">
        <v>483</v>
      </c>
      <c r="C366" s="280" t="s">
        <v>39</v>
      </c>
      <c r="D366" s="278" t="s">
        <v>40</v>
      </c>
      <c r="E366" s="280" t="s">
        <v>1025</v>
      </c>
      <c r="F366" s="270" t="s">
        <v>1026</v>
      </c>
      <c r="G366" s="280">
        <v>24</v>
      </c>
      <c r="H366" s="270" t="s">
        <v>1021</v>
      </c>
      <c r="I366" s="284" t="s">
        <v>1045</v>
      </c>
      <c r="K366" s="285" t="s">
        <v>1044</v>
      </c>
    </row>
    <row r="367" spans="1:11" hidden="1" x14ac:dyDescent="0.2">
      <c r="A367" s="280" t="s">
        <v>484</v>
      </c>
      <c r="B367" s="270" t="s">
        <v>485</v>
      </c>
      <c r="C367" s="280" t="s">
        <v>39</v>
      </c>
      <c r="D367" s="278" t="s">
        <v>40</v>
      </c>
      <c r="E367" s="280" t="s">
        <v>1021</v>
      </c>
      <c r="F367" s="270" t="s">
        <v>1022</v>
      </c>
      <c r="G367" s="280">
        <v>19</v>
      </c>
      <c r="H367" s="270" t="s">
        <v>991</v>
      </c>
      <c r="I367" s="284" t="s">
        <v>1045</v>
      </c>
      <c r="K367" s="285" t="s">
        <v>1047</v>
      </c>
    </row>
    <row r="368" spans="1:11" hidden="1" x14ac:dyDescent="0.2">
      <c r="A368" s="280" t="s">
        <v>486</v>
      </c>
      <c r="B368" s="270" t="s">
        <v>487</v>
      </c>
      <c r="C368" s="280" t="s">
        <v>39</v>
      </c>
      <c r="D368" s="278" t="s">
        <v>40</v>
      </c>
      <c r="E368" s="280" t="s">
        <v>1021</v>
      </c>
      <c r="F368" s="270" t="s">
        <v>1022</v>
      </c>
      <c r="G368" s="280">
        <v>24</v>
      </c>
      <c r="H368" s="270" t="s">
        <v>1021</v>
      </c>
      <c r="I368" s="284" t="s">
        <v>1045</v>
      </c>
      <c r="K368" s="285" t="s">
        <v>1044</v>
      </c>
    </row>
    <row r="369" spans="1:11" hidden="1" x14ac:dyDescent="0.2">
      <c r="A369" s="280" t="s">
        <v>503</v>
      </c>
      <c r="B369" s="270" t="s">
        <v>504</v>
      </c>
      <c r="C369" s="280" t="s">
        <v>41</v>
      </c>
      <c r="D369" s="278" t="s">
        <v>42</v>
      </c>
      <c r="E369" s="280" t="s">
        <v>1033</v>
      </c>
      <c r="F369" s="270" t="s">
        <v>1034</v>
      </c>
      <c r="G369" s="280">
        <v>164</v>
      </c>
      <c r="H369" s="270" t="s">
        <v>1035</v>
      </c>
      <c r="I369" s="284" t="s">
        <v>1045</v>
      </c>
      <c r="K369" s="285" t="s">
        <v>1044</v>
      </c>
    </row>
    <row r="370" spans="1:11" hidden="1" x14ac:dyDescent="0.2">
      <c r="A370" s="280" t="s">
        <v>505</v>
      </c>
      <c r="B370" s="270" t="s">
        <v>506</v>
      </c>
      <c r="C370" s="280" t="s">
        <v>41</v>
      </c>
      <c r="D370" s="278" t="s">
        <v>42</v>
      </c>
      <c r="E370" s="280" t="s">
        <v>1033</v>
      </c>
      <c r="F370" s="270" t="s">
        <v>1034</v>
      </c>
      <c r="G370" s="280">
        <v>164</v>
      </c>
      <c r="H370" s="270" t="s">
        <v>1035</v>
      </c>
      <c r="I370" s="284" t="s">
        <v>1045</v>
      </c>
      <c r="K370" s="285" t="s">
        <v>1044</v>
      </c>
    </row>
    <row r="371" spans="1:11" hidden="1" x14ac:dyDescent="0.2">
      <c r="A371" s="296" t="s">
        <v>914</v>
      </c>
      <c r="B371" s="297" t="s">
        <v>915</v>
      </c>
      <c r="C371" s="296" t="s">
        <v>1374</v>
      </c>
      <c r="D371" s="298" t="s">
        <v>1375</v>
      </c>
      <c r="E371" s="296" t="s">
        <v>1033</v>
      </c>
      <c r="F371" s="297" t="s">
        <v>1034</v>
      </c>
      <c r="G371" s="296">
        <v>164</v>
      </c>
      <c r="H371" s="297" t="s">
        <v>1035</v>
      </c>
      <c r="I371" s="299" t="s">
        <v>1045</v>
      </c>
      <c r="J371" s="299"/>
      <c r="K371" s="300" t="s">
        <v>1044</v>
      </c>
    </row>
    <row r="372" spans="1:11" hidden="1" x14ac:dyDescent="0.2">
      <c r="A372" s="280" t="s">
        <v>507</v>
      </c>
      <c r="B372" s="270" t="s">
        <v>1132</v>
      </c>
      <c r="C372" s="280" t="s">
        <v>705</v>
      </c>
      <c r="D372" s="278" t="s">
        <v>706</v>
      </c>
      <c r="E372" s="280" t="s">
        <v>1035</v>
      </c>
      <c r="F372" s="270" t="s">
        <v>1036</v>
      </c>
      <c r="G372" s="280">
        <v>24</v>
      </c>
      <c r="H372" s="270" t="s">
        <v>1021</v>
      </c>
      <c r="I372" s="284" t="s">
        <v>1045</v>
      </c>
      <c r="K372" s="285" t="s">
        <v>1044</v>
      </c>
    </row>
    <row r="373" spans="1:11" hidden="1" x14ac:dyDescent="0.2">
      <c r="A373" s="280" t="s">
        <v>508</v>
      </c>
      <c r="B373" s="270" t="s">
        <v>509</v>
      </c>
      <c r="C373" s="280" t="s">
        <v>705</v>
      </c>
      <c r="D373" s="278" t="s">
        <v>706</v>
      </c>
      <c r="E373" s="280" t="s">
        <v>1035</v>
      </c>
      <c r="F373" s="270" t="s">
        <v>1036</v>
      </c>
      <c r="G373" s="280">
        <v>24</v>
      </c>
      <c r="H373" s="270" t="s">
        <v>1021</v>
      </c>
      <c r="I373" s="284" t="s">
        <v>1045</v>
      </c>
      <c r="K373" s="285" t="s">
        <v>1044</v>
      </c>
    </row>
    <row r="374" spans="1:11" hidden="1" x14ac:dyDescent="0.2">
      <c r="A374" s="280" t="s">
        <v>510</v>
      </c>
      <c r="B374" s="270" t="s">
        <v>511</v>
      </c>
      <c r="C374" s="280" t="s">
        <v>705</v>
      </c>
      <c r="D374" s="278" t="s">
        <v>706</v>
      </c>
      <c r="E374" s="280" t="s">
        <v>1035</v>
      </c>
      <c r="F374" s="270" t="s">
        <v>1036</v>
      </c>
      <c r="G374" s="280">
        <v>24</v>
      </c>
      <c r="H374" s="270" t="s">
        <v>1021</v>
      </c>
      <c r="I374" s="284" t="s">
        <v>1045</v>
      </c>
      <c r="K374" s="285" t="s">
        <v>1044</v>
      </c>
    </row>
    <row r="375" spans="1:11" hidden="1" x14ac:dyDescent="0.2">
      <c r="A375" s="280" t="s">
        <v>512</v>
      </c>
      <c r="B375" s="270" t="s">
        <v>1133</v>
      </c>
      <c r="C375" s="280" t="s">
        <v>705</v>
      </c>
      <c r="D375" s="278" t="s">
        <v>706</v>
      </c>
      <c r="E375" s="280" t="s">
        <v>1035</v>
      </c>
      <c r="F375" s="270" t="s">
        <v>1036</v>
      </c>
      <c r="G375" s="280">
        <v>24</v>
      </c>
      <c r="H375" s="270" t="s">
        <v>1021</v>
      </c>
      <c r="I375" s="284" t="s">
        <v>1045</v>
      </c>
      <c r="K375" s="285" t="s">
        <v>1044</v>
      </c>
    </row>
    <row r="376" spans="1:11" hidden="1" x14ac:dyDescent="0.2">
      <c r="A376" s="280" t="s">
        <v>513</v>
      </c>
      <c r="B376" s="270" t="s">
        <v>1134</v>
      </c>
      <c r="C376" s="280" t="s">
        <v>705</v>
      </c>
      <c r="D376" s="278" t="s">
        <v>706</v>
      </c>
      <c r="E376" s="280" t="s">
        <v>1035</v>
      </c>
      <c r="F376" s="270" t="s">
        <v>1036</v>
      </c>
      <c r="G376" s="280">
        <v>24</v>
      </c>
      <c r="H376" s="270" t="s">
        <v>1021</v>
      </c>
      <c r="I376" s="284" t="s">
        <v>1045</v>
      </c>
      <c r="K376" s="285" t="s">
        <v>1044</v>
      </c>
    </row>
    <row r="377" spans="1:11" hidden="1" x14ac:dyDescent="0.2">
      <c r="A377" s="280" t="s">
        <v>916</v>
      </c>
      <c r="B377" s="270" t="s">
        <v>917</v>
      </c>
      <c r="C377" s="280" t="s">
        <v>705</v>
      </c>
      <c r="D377" s="278" t="s">
        <v>706</v>
      </c>
      <c r="E377" s="280" t="s">
        <v>1035</v>
      </c>
      <c r="F377" s="270" t="s">
        <v>1036</v>
      </c>
      <c r="G377" s="280">
        <v>24</v>
      </c>
      <c r="H377" s="270" t="s">
        <v>1021</v>
      </c>
      <c r="I377" s="284" t="s">
        <v>1045</v>
      </c>
      <c r="K377" s="285" t="s">
        <v>1044</v>
      </c>
    </row>
    <row r="378" spans="1:11" hidden="1" x14ac:dyDescent="0.2">
      <c r="A378" s="280" t="s">
        <v>514</v>
      </c>
      <c r="B378" s="270" t="s">
        <v>1333</v>
      </c>
      <c r="C378" s="280" t="s">
        <v>705</v>
      </c>
      <c r="D378" s="278" t="s">
        <v>706</v>
      </c>
      <c r="E378" s="280" t="s">
        <v>1035</v>
      </c>
      <c r="F378" s="270" t="s">
        <v>1036</v>
      </c>
      <c r="G378" s="280">
        <v>24</v>
      </c>
      <c r="H378" s="270" t="s">
        <v>1023</v>
      </c>
      <c r="I378" s="284" t="s">
        <v>1045</v>
      </c>
      <c r="K378" s="285" t="s">
        <v>1044</v>
      </c>
    </row>
    <row r="379" spans="1:11" hidden="1" x14ac:dyDescent="0.2">
      <c r="A379" s="280" t="s">
        <v>515</v>
      </c>
      <c r="B379" s="270" t="s">
        <v>1135</v>
      </c>
      <c r="C379" s="280" t="s">
        <v>705</v>
      </c>
      <c r="D379" s="278" t="s">
        <v>706</v>
      </c>
      <c r="E379" s="280" t="s">
        <v>1035</v>
      </c>
      <c r="F379" s="270" t="s">
        <v>1036</v>
      </c>
      <c r="G379" s="280">
        <v>24</v>
      </c>
      <c r="H379" s="270" t="s">
        <v>1023</v>
      </c>
      <c r="I379" s="284" t="s">
        <v>1045</v>
      </c>
      <c r="K379" s="285" t="s">
        <v>1044</v>
      </c>
    </row>
    <row r="380" spans="1:11" hidden="1" x14ac:dyDescent="0.2">
      <c r="A380" s="280" t="s">
        <v>516</v>
      </c>
      <c r="B380" s="270" t="s">
        <v>1136</v>
      </c>
      <c r="C380" s="280" t="s">
        <v>705</v>
      </c>
      <c r="D380" s="278" t="s">
        <v>706</v>
      </c>
      <c r="E380" s="280" t="s">
        <v>1035</v>
      </c>
      <c r="F380" s="270" t="s">
        <v>1036</v>
      </c>
      <c r="G380" s="280">
        <v>24</v>
      </c>
      <c r="H380" s="270" t="s">
        <v>1023</v>
      </c>
      <c r="I380" s="284" t="s">
        <v>1045</v>
      </c>
      <c r="K380" s="285" t="s">
        <v>1044</v>
      </c>
    </row>
    <row r="381" spans="1:11" hidden="1" x14ac:dyDescent="0.2">
      <c r="A381" s="280" t="s">
        <v>517</v>
      </c>
      <c r="B381" s="270" t="s">
        <v>1137</v>
      </c>
      <c r="C381" s="280" t="s">
        <v>705</v>
      </c>
      <c r="D381" s="278" t="s">
        <v>706</v>
      </c>
      <c r="E381" s="280" t="s">
        <v>1035</v>
      </c>
      <c r="F381" s="270" t="s">
        <v>1036</v>
      </c>
      <c r="G381" s="280">
        <v>24</v>
      </c>
      <c r="H381" s="270" t="s">
        <v>1023</v>
      </c>
      <c r="I381" s="284" t="s">
        <v>1045</v>
      </c>
      <c r="K381" s="285" t="s">
        <v>1044</v>
      </c>
    </row>
    <row r="382" spans="1:11" hidden="1" x14ac:dyDescent="0.2">
      <c r="A382" s="280" t="s">
        <v>518</v>
      </c>
      <c r="B382" s="270" t="s">
        <v>1138</v>
      </c>
      <c r="C382" s="280" t="s">
        <v>705</v>
      </c>
      <c r="D382" s="278" t="s">
        <v>706</v>
      </c>
      <c r="E382" s="280" t="s">
        <v>1035</v>
      </c>
      <c r="F382" s="270" t="s">
        <v>1036</v>
      </c>
      <c r="G382" s="280">
        <v>24</v>
      </c>
      <c r="H382" s="270" t="s">
        <v>1023</v>
      </c>
      <c r="I382" s="284" t="s">
        <v>1045</v>
      </c>
      <c r="K382" s="285" t="s">
        <v>1044</v>
      </c>
    </row>
    <row r="383" spans="1:11" hidden="1" x14ac:dyDescent="0.2">
      <c r="A383" s="280" t="s">
        <v>519</v>
      </c>
      <c r="B383" s="270" t="s">
        <v>520</v>
      </c>
      <c r="C383" s="280" t="s">
        <v>705</v>
      </c>
      <c r="D383" s="278" t="s">
        <v>706</v>
      </c>
      <c r="E383" s="280" t="s">
        <v>1035</v>
      </c>
      <c r="F383" s="270" t="s">
        <v>1036</v>
      </c>
      <c r="G383" s="280">
        <v>24</v>
      </c>
      <c r="H383" s="270" t="s">
        <v>1025</v>
      </c>
      <c r="I383" s="284" t="s">
        <v>1045</v>
      </c>
      <c r="K383" s="285" t="s">
        <v>1044</v>
      </c>
    </row>
    <row r="384" spans="1:11" hidden="1" x14ac:dyDescent="0.2">
      <c r="A384" s="280" t="s">
        <v>521</v>
      </c>
      <c r="B384" s="270" t="s">
        <v>522</v>
      </c>
      <c r="C384" s="280" t="s">
        <v>705</v>
      </c>
      <c r="D384" s="278" t="s">
        <v>706</v>
      </c>
      <c r="E384" s="280" t="s">
        <v>1035</v>
      </c>
      <c r="F384" s="270" t="s">
        <v>1036</v>
      </c>
      <c r="G384" s="280">
        <v>24</v>
      </c>
      <c r="H384" s="270" t="s">
        <v>1025</v>
      </c>
      <c r="I384" s="284" t="s">
        <v>1045</v>
      </c>
      <c r="K384" s="285" t="s">
        <v>1044</v>
      </c>
    </row>
    <row r="385" spans="1:11" hidden="1" x14ac:dyDescent="0.2">
      <c r="A385" s="280" t="s">
        <v>523</v>
      </c>
      <c r="B385" s="270" t="s">
        <v>1139</v>
      </c>
      <c r="C385" s="280" t="s">
        <v>705</v>
      </c>
      <c r="D385" s="278" t="s">
        <v>706</v>
      </c>
      <c r="E385" s="280" t="s">
        <v>1035</v>
      </c>
      <c r="F385" s="270" t="s">
        <v>1036</v>
      </c>
      <c r="G385" s="280">
        <v>24</v>
      </c>
      <c r="H385" s="270" t="s">
        <v>1021</v>
      </c>
      <c r="I385" s="284" t="s">
        <v>1045</v>
      </c>
      <c r="K385" s="285" t="s">
        <v>1044</v>
      </c>
    </row>
    <row r="386" spans="1:11" hidden="1" x14ac:dyDescent="0.2">
      <c r="A386" s="280" t="s">
        <v>524</v>
      </c>
      <c r="B386" s="270" t="s">
        <v>1140</v>
      </c>
      <c r="C386" s="280" t="s">
        <v>705</v>
      </c>
      <c r="D386" s="278" t="s">
        <v>706</v>
      </c>
      <c r="E386" s="280" t="s">
        <v>1035</v>
      </c>
      <c r="F386" s="270" t="s">
        <v>1036</v>
      </c>
      <c r="G386" s="280">
        <v>24</v>
      </c>
      <c r="H386" s="270" t="s">
        <v>1021</v>
      </c>
      <c r="I386" s="284" t="s">
        <v>1045</v>
      </c>
      <c r="K386" s="285" t="s">
        <v>1044</v>
      </c>
    </row>
    <row r="387" spans="1:11" hidden="1" x14ac:dyDescent="0.2">
      <c r="A387" s="281" t="s">
        <v>1334</v>
      </c>
      <c r="B387" s="270" t="s">
        <v>1325</v>
      </c>
      <c r="C387" s="280" t="s">
        <v>41</v>
      </c>
      <c r="D387" s="278" t="s">
        <v>42</v>
      </c>
      <c r="E387" s="280" t="s">
        <v>1033</v>
      </c>
      <c r="F387" s="270" t="s">
        <v>1034</v>
      </c>
      <c r="G387" s="280">
        <v>164</v>
      </c>
      <c r="H387" s="270" t="s">
        <v>1035</v>
      </c>
      <c r="I387" s="284" t="s">
        <v>1045</v>
      </c>
      <c r="K387" s="285">
        <v>2562</v>
      </c>
    </row>
    <row r="388" spans="1:11" hidden="1" x14ac:dyDescent="0.2">
      <c r="A388" s="280" t="s">
        <v>525</v>
      </c>
      <c r="B388" s="270" t="s">
        <v>526</v>
      </c>
      <c r="C388" s="280" t="s">
        <v>41</v>
      </c>
      <c r="D388" s="278" t="s">
        <v>42</v>
      </c>
      <c r="E388" s="280" t="s">
        <v>1033</v>
      </c>
      <c r="F388" s="270" t="s">
        <v>1034</v>
      </c>
      <c r="G388" s="280">
        <v>164</v>
      </c>
      <c r="H388" s="270" t="s">
        <v>1035</v>
      </c>
      <c r="I388" s="284" t="s">
        <v>1045</v>
      </c>
      <c r="K388" s="285" t="s">
        <v>1044</v>
      </c>
    </row>
    <row r="389" spans="1:11" hidden="1" x14ac:dyDescent="0.2">
      <c r="A389" s="280" t="s">
        <v>527</v>
      </c>
      <c r="B389" s="270" t="s">
        <v>528</v>
      </c>
      <c r="C389" s="280" t="s">
        <v>41</v>
      </c>
      <c r="D389" s="278" t="s">
        <v>42</v>
      </c>
      <c r="E389" s="280" t="s">
        <v>1033</v>
      </c>
      <c r="F389" s="270" t="s">
        <v>1034</v>
      </c>
      <c r="G389" s="280">
        <v>164</v>
      </c>
      <c r="H389" s="270" t="s">
        <v>1035</v>
      </c>
      <c r="I389" s="284" t="s">
        <v>1045</v>
      </c>
      <c r="K389" s="285" t="s">
        <v>1044</v>
      </c>
    </row>
    <row r="390" spans="1:11" hidden="1" x14ac:dyDescent="0.2">
      <c r="A390" s="280" t="s">
        <v>529</v>
      </c>
      <c r="B390" s="270" t="s">
        <v>530</v>
      </c>
      <c r="C390" s="280" t="s">
        <v>41</v>
      </c>
      <c r="D390" s="278" t="s">
        <v>42</v>
      </c>
      <c r="E390" s="280" t="s">
        <v>1033</v>
      </c>
      <c r="F390" s="270" t="s">
        <v>1034</v>
      </c>
      <c r="G390" s="280">
        <v>164</v>
      </c>
      <c r="H390" s="270" t="s">
        <v>1035</v>
      </c>
      <c r="I390" s="284" t="s">
        <v>1045</v>
      </c>
      <c r="K390" s="285" t="s">
        <v>1044</v>
      </c>
    </row>
    <row r="391" spans="1:11" hidden="1" x14ac:dyDescent="0.2">
      <c r="A391" s="280" t="s">
        <v>531</v>
      </c>
      <c r="B391" s="270" t="s">
        <v>532</v>
      </c>
      <c r="C391" s="280" t="s">
        <v>41</v>
      </c>
      <c r="D391" s="278" t="s">
        <v>42</v>
      </c>
      <c r="E391" s="280" t="s">
        <v>1033</v>
      </c>
      <c r="F391" s="270" t="s">
        <v>1034</v>
      </c>
      <c r="G391" s="280">
        <v>164</v>
      </c>
      <c r="H391" s="270" t="s">
        <v>1035</v>
      </c>
      <c r="I391" s="284" t="s">
        <v>1045</v>
      </c>
      <c r="K391" s="285" t="s">
        <v>1044</v>
      </c>
    </row>
    <row r="392" spans="1:11" hidden="1" x14ac:dyDescent="0.2">
      <c r="A392" s="280" t="s">
        <v>533</v>
      </c>
      <c r="B392" s="270" t="s">
        <v>534</v>
      </c>
      <c r="C392" s="280" t="s">
        <v>41</v>
      </c>
      <c r="D392" s="278" t="s">
        <v>42</v>
      </c>
      <c r="E392" s="280" t="s">
        <v>1033</v>
      </c>
      <c r="F392" s="270" t="s">
        <v>1034</v>
      </c>
      <c r="G392" s="280">
        <v>164</v>
      </c>
      <c r="H392" s="270" t="s">
        <v>1035</v>
      </c>
      <c r="I392" s="284" t="s">
        <v>1045</v>
      </c>
      <c r="K392" s="285" t="s">
        <v>1044</v>
      </c>
    </row>
    <row r="393" spans="1:11" hidden="1" x14ac:dyDescent="0.2">
      <c r="A393" s="280" t="s">
        <v>535</v>
      </c>
      <c r="B393" s="270" t="s">
        <v>536</v>
      </c>
      <c r="C393" s="280" t="s">
        <v>41</v>
      </c>
      <c r="D393" s="278" t="s">
        <v>42</v>
      </c>
      <c r="E393" s="280" t="s">
        <v>1033</v>
      </c>
      <c r="F393" s="270" t="s">
        <v>1034</v>
      </c>
      <c r="G393" s="280">
        <v>164</v>
      </c>
      <c r="H393" s="270" t="s">
        <v>1035</v>
      </c>
      <c r="I393" s="284" t="s">
        <v>1045</v>
      </c>
      <c r="K393" s="285" t="s">
        <v>1047</v>
      </c>
    </row>
    <row r="394" spans="1:11" hidden="1" x14ac:dyDescent="0.2">
      <c r="A394" s="280" t="s">
        <v>537</v>
      </c>
      <c r="B394" s="270" t="s">
        <v>538</v>
      </c>
      <c r="C394" s="280" t="s">
        <v>41</v>
      </c>
      <c r="D394" s="278" t="s">
        <v>42</v>
      </c>
      <c r="E394" s="280" t="s">
        <v>1033</v>
      </c>
      <c r="F394" s="270" t="s">
        <v>1034</v>
      </c>
      <c r="G394" s="280">
        <v>164</v>
      </c>
      <c r="H394" s="270" t="s">
        <v>1035</v>
      </c>
      <c r="I394" s="284" t="s">
        <v>1045</v>
      </c>
      <c r="K394" s="285" t="s">
        <v>1044</v>
      </c>
    </row>
    <row r="395" spans="1:11" hidden="1" x14ac:dyDescent="0.2">
      <c r="A395" s="280" t="s">
        <v>539</v>
      </c>
      <c r="B395" s="270" t="s">
        <v>540</v>
      </c>
      <c r="C395" s="280" t="s">
        <v>41</v>
      </c>
      <c r="D395" s="278" t="s">
        <v>42</v>
      </c>
      <c r="E395" s="280" t="s">
        <v>1033</v>
      </c>
      <c r="F395" s="270" t="s">
        <v>1034</v>
      </c>
      <c r="G395" s="280">
        <v>164</v>
      </c>
      <c r="H395" s="270" t="s">
        <v>1035</v>
      </c>
      <c r="I395" s="284" t="s">
        <v>1045</v>
      </c>
      <c r="K395" s="285" t="s">
        <v>1044</v>
      </c>
    </row>
    <row r="396" spans="1:11" hidden="1" x14ac:dyDescent="0.2">
      <c r="A396" s="280" t="s">
        <v>541</v>
      </c>
      <c r="B396" s="270" t="s">
        <v>542</v>
      </c>
      <c r="C396" s="280" t="s">
        <v>41</v>
      </c>
      <c r="D396" s="278" t="s">
        <v>42</v>
      </c>
      <c r="E396" s="280" t="s">
        <v>1033</v>
      </c>
      <c r="F396" s="270" t="s">
        <v>1034</v>
      </c>
      <c r="G396" s="280">
        <v>164</v>
      </c>
      <c r="H396" s="270" t="s">
        <v>1035</v>
      </c>
      <c r="I396" s="284" t="s">
        <v>1045</v>
      </c>
      <c r="K396" s="285" t="s">
        <v>1044</v>
      </c>
    </row>
    <row r="397" spans="1:11" hidden="1" x14ac:dyDescent="0.2">
      <c r="A397" s="280" t="s">
        <v>543</v>
      </c>
      <c r="B397" s="270" t="s">
        <v>544</v>
      </c>
      <c r="C397" s="280" t="s">
        <v>41</v>
      </c>
      <c r="D397" s="278" t="s">
        <v>42</v>
      </c>
      <c r="E397" s="280" t="s">
        <v>1033</v>
      </c>
      <c r="F397" s="270" t="s">
        <v>1034</v>
      </c>
      <c r="G397" s="280">
        <v>164</v>
      </c>
      <c r="H397" s="270" t="s">
        <v>1035</v>
      </c>
      <c r="I397" s="284" t="s">
        <v>1045</v>
      </c>
      <c r="K397" s="285" t="s">
        <v>1044</v>
      </c>
    </row>
    <row r="398" spans="1:11" hidden="1" x14ac:dyDescent="0.2">
      <c r="A398" s="280" t="s">
        <v>545</v>
      </c>
      <c r="B398" s="270" t="s">
        <v>546</v>
      </c>
      <c r="C398" s="280" t="s">
        <v>41</v>
      </c>
      <c r="D398" s="278" t="s">
        <v>42</v>
      </c>
      <c r="E398" s="280" t="s">
        <v>1033</v>
      </c>
      <c r="F398" s="270" t="s">
        <v>1034</v>
      </c>
      <c r="G398" s="280">
        <v>164</v>
      </c>
      <c r="H398" s="270" t="s">
        <v>1035</v>
      </c>
      <c r="I398" s="284" t="s">
        <v>1045</v>
      </c>
      <c r="K398" s="285" t="s">
        <v>1044</v>
      </c>
    </row>
    <row r="399" spans="1:11" hidden="1" x14ac:dyDescent="0.2">
      <c r="A399" s="280" t="s">
        <v>547</v>
      </c>
      <c r="B399" s="270" t="s">
        <v>548</v>
      </c>
      <c r="C399" s="280" t="s">
        <v>41</v>
      </c>
      <c r="D399" s="278" t="s">
        <v>42</v>
      </c>
      <c r="E399" s="280" t="s">
        <v>1033</v>
      </c>
      <c r="F399" s="270" t="s">
        <v>1034</v>
      </c>
      <c r="G399" s="280">
        <v>164</v>
      </c>
      <c r="H399" s="270" t="s">
        <v>1035</v>
      </c>
      <c r="I399" s="284" t="s">
        <v>1045</v>
      </c>
      <c r="K399" s="285" t="s">
        <v>1044</v>
      </c>
    </row>
    <row r="400" spans="1:11" hidden="1" x14ac:dyDescent="0.2">
      <c r="A400" s="280" t="s">
        <v>549</v>
      </c>
      <c r="B400" s="270" t="s">
        <v>550</v>
      </c>
      <c r="C400" s="280" t="s">
        <v>41</v>
      </c>
      <c r="D400" s="278" t="s">
        <v>42</v>
      </c>
      <c r="E400" s="280" t="s">
        <v>1033</v>
      </c>
      <c r="F400" s="270" t="s">
        <v>1034</v>
      </c>
      <c r="G400" s="280">
        <v>25</v>
      </c>
      <c r="H400" s="270" t="s">
        <v>1033</v>
      </c>
      <c r="I400" s="284" t="s">
        <v>1045</v>
      </c>
      <c r="K400" s="285" t="s">
        <v>1044</v>
      </c>
    </row>
    <row r="401" spans="1:11" hidden="1" x14ac:dyDescent="0.2">
      <c r="A401" s="280" t="s">
        <v>551</v>
      </c>
      <c r="B401" s="270" t="s">
        <v>552</v>
      </c>
      <c r="C401" s="280" t="s">
        <v>41</v>
      </c>
      <c r="D401" s="278" t="s">
        <v>42</v>
      </c>
      <c r="E401" s="280" t="s">
        <v>1033</v>
      </c>
      <c r="F401" s="270" t="s">
        <v>1034</v>
      </c>
      <c r="G401" s="280">
        <v>25</v>
      </c>
      <c r="H401" s="270" t="s">
        <v>1033</v>
      </c>
      <c r="I401" s="284" t="s">
        <v>1045</v>
      </c>
      <c r="K401" s="285" t="s">
        <v>1044</v>
      </c>
    </row>
    <row r="402" spans="1:11" hidden="1" x14ac:dyDescent="0.2">
      <c r="A402" s="280" t="s">
        <v>553</v>
      </c>
      <c r="B402" s="270" t="s">
        <v>554</v>
      </c>
      <c r="C402" s="280" t="s">
        <v>41</v>
      </c>
      <c r="D402" s="278" t="s">
        <v>42</v>
      </c>
      <c r="E402" s="280" t="s">
        <v>1033</v>
      </c>
      <c r="F402" s="270" t="s">
        <v>1034</v>
      </c>
      <c r="G402" s="280">
        <v>25</v>
      </c>
      <c r="H402" s="270" t="s">
        <v>1033</v>
      </c>
      <c r="I402" s="284" t="s">
        <v>1045</v>
      </c>
      <c r="K402" s="285" t="s">
        <v>1044</v>
      </c>
    </row>
    <row r="403" spans="1:11" hidden="1" x14ac:dyDescent="0.2">
      <c r="A403" s="280" t="s">
        <v>555</v>
      </c>
      <c r="B403" s="270" t="s">
        <v>556</v>
      </c>
      <c r="C403" s="280" t="s">
        <v>41</v>
      </c>
      <c r="D403" s="278" t="s">
        <v>42</v>
      </c>
      <c r="E403" s="280" t="s">
        <v>1033</v>
      </c>
      <c r="F403" s="270" t="s">
        <v>1034</v>
      </c>
      <c r="G403" s="280">
        <v>25</v>
      </c>
      <c r="H403" s="270" t="s">
        <v>1033</v>
      </c>
      <c r="I403" s="284" t="s">
        <v>1045</v>
      </c>
      <c r="K403" s="285" t="s">
        <v>1044</v>
      </c>
    </row>
    <row r="404" spans="1:11" hidden="1" x14ac:dyDescent="0.2">
      <c r="A404" s="280" t="s">
        <v>557</v>
      </c>
      <c r="B404" s="270" t="s">
        <v>558</v>
      </c>
      <c r="C404" s="280" t="s">
        <v>41</v>
      </c>
      <c r="D404" s="278" t="s">
        <v>42</v>
      </c>
      <c r="E404" s="280" t="s">
        <v>1033</v>
      </c>
      <c r="F404" s="270" t="s">
        <v>1034</v>
      </c>
      <c r="G404" s="280">
        <v>25</v>
      </c>
      <c r="H404" s="270" t="s">
        <v>1033</v>
      </c>
      <c r="I404" s="284" t="s">
        <v>1045</v>
      </c>
      <c r="K404" s="285" t="s">
        <v>1044</v>
      </c>
    </row>
    <row r="405" spans="1:11" hidden="1" x14ac:dyDescent="0.2">
      <c r="A405" s="280" t="s">
        <v>559</v>
      </c>
      <c r="B405" s="270" t="s">
        <v>560</v>
      </c>
      <c r="C405" s="280" t="s">
        <v>41</v>
      </c>
      <c r="D405" s="278" t="s">
        <v>42</v>
      </c>
      <c r="E405" s="280" t="s">
        <v>1033</v>
      </c>
      <c r="F405" s="270" t="s">
        <v>1034</v>
      </c>
      <c r="G405" s="280">
        <v>25</v>
      </c>
      <c r="H405" s="270" t="s">
        <v>1033</v>
      </c>
      <c r="I405" s="284" t="s">
        <v>1045</v>
      </c>
      <c r="K405" s="285" t="s">
        <v>1044</v>
      </c>
    </row>
    <row r="406" spans="1:11" hidden="1" x14ac:dyDescent="0.2">
      <c r="A406" s="280" t="s">
        <v>561</v>
      </c>
      <c r="B406" s="270" t="s">
        <v>562</v>
      </c>
      <c r="C406" s="280" t="s">
        <v>41</v>
      </c>
      <c r="D406" s="278" t="s">
        <v>42</v>
      </c>
      <c r="E406" s="280" t="s">
        <v>1033</v>
      </c>
      <c r="F406" s="270" t="s">
        <v>1034</v>
      </c>
      <c r="G406" s="280">
        <v>25</v>
      </c>
      <c r="H406" s="270" t="s">
        <v>1033</v>
      </c>
      <c r="I406" s="284" t="s">
        <v>1045</v>
      </c>
      <c r="K406" s="285" t="s">
        <v>1044</v>
      </c>
    </row>
    <row r="407" spans="1:11" hidden="1" x14ac:dyDescent="0.2">
      <c r="A407" s="280" t="s">
        <v>563</v>
      </c>
      <c r="B407" s="270" t="s">
        <v>564</v>
      </c>
      <c r="C407" s="280" t="s">
        <v>41</v>
      </c>
      <c r="D407" s="278" t="s">
        <v>42</v>
      </c>
      <c r="E407" s="280" t="s">
        <v>1033</v>
      </c>
      <c r="F407" s="270" t="s">
        <v>1034</v>
      </c>
      <c r="G407" s="280">
        <v>25</v>
      </c>
      <c r="H407" s="270" t="s">
        <v>1033</v>
      </c>
      <c r="I407" s="284" t="s">
        <v>1045</v>
      </c>
      <c r="K407" s="285" t="s">
        <v>1044</v>
      </c>
    </row>
    <row r="408" spans="1:11" hidden="1" x14ac:dyDescent="0.2">
      <c r="A408" s="301">
        <v>5209010112.1009998</v>
      </c>
      <c r="B408" s="297" t="s">
        <v>919</v>
      </c>
      <c r="C408" s="296" t="s">
        <v>1374</v>
      </c>
      <c r="D408" s="298" t="s">
        <v>1375</v>
      </c>
      <c r="E408" s="296" t="s">
        <v>1033</v>
      </c>
      <c r="F408" s="297" t="s">
        <v>1034</v>
      </c>
      <c r="G408" s="296">
        <v>25</v>
      </c>
      <c r="H408" s="297" t="s">
        <v>1033</v>
      </c>
      <c r="I408" s="299" t="s">
        <v>1045</v>
      </c>
      <c r="J408" s="299"/>
      <c r="K408" s="300" t="s">
        <v>1044</v>
      </c>
    </row>
    <row r="409" spans="1:11" hidden="1" x14ac:dyDescent="0.2">
      <c r="A409" s="296" t="s">
        <v>920</v>
      </c>
      <c r="B409" s="297" t="s">
        <v>921</v>
      </c>
      <c r="C409" s="296" t="s">
        <v>1374</v>
      </c>
      <c r="D409" s="298" t="s">
        <v>1375</v>
      </c>
      <c r="E409" s="296" t="s">
        <v>1033</v>
      </c>
      <c r="F409" s="297" t="s">
        <v>1034</v>
      </c>
      <c r="G409" s="296">
        <v>25</v>
      </c>
      <c r="H409" s="297" t="s">
        <v>1033</v>
      </c>
      <c r="I409" s="299" t="s">
        <v>1045</v>
      </c>
      <c r="J409" s="299"/>
      <c r="K409" s="300" t="s">
        <v>1044</v>
      </c>
    </row>
    <row r="410" spans="1:11" hidden="1" x14ac:dyDescent="0.2">
      <c r="A410" s="296" t="s">
        <v>922</v>
      </c>
      <c r="B410" s="297" t="s">
        <v>923</v>
      </c>
      <c r="C410" s="296" t="s">
        <v>1374</v>
      </c>
      <c r="D410" s="298" t="s">
        <v>1375</v>
      </c>
      <c r="E410" s="296" t="s">
        <v>1033</v>
      </c>
      <c r="F410" s="297" t="s">
        <v>1034</v>
      </c>
      <c r="G410" s="296">
        <v>25</v>
      </c>
      <c r="H410" s="297" t="s">
        <v>1033</v>
      </c>
      <c r="I410" s="299" t="s">
        <v>1045</v>
      </c>
      <c r="J410" s="299"/>
      <c r="K410" s="300" t="s">
        <v>1044</v>
      </c>
    </row>
    <row r="411" spans="1:11" hidden="1" x14ac:dyDescent="0.2">
      <c r="A411" s="296" t="s">
        <v>565</v>
      </c>
      <c r="B411" s="297" t="s">
        <v>1141</v>
      </c>
      <c r="C411" s="296" t="s">
        <v>1374</v>
      </c>
      <c r="D411" s="298" t="s">
        <v>1375</v>
      </c>
      <c r="E411" s="296" t="s">
        <v>1033</v>
      </c>
      <c r="F411" s="297" t="s">
        <v>1034</v>
      </c>
      <c r="G411" s="296">
        <v>25</v>
      </c>
      <c r="H411" s="297" t="s">
        <v>1033</v>
      </c>
      <c r="I411" s="299" t="s">
        <v>1045</v>
      </c>
      <c r="J411" s="299"/>
      <c r="K411" s="300" t="s">
        <v>1044</v>
      </c>
    </row>
    <row r="412" spans="1:11" hidden="1" x14ac:dyDescent="0.2">
      <c r="A412" s="296" t="s">
        <v>924</v>
      </c>
      <c r="B412" s="297" t="s">
        <v>925</v>
      </c>
      <c r="C412" s="296" t="s">
        <v>1374</v>
      </c>
      <c r="D412" s="298" t="s">
        <v>1375</v>
      </c>
      <c r="E412" s="296" t="s">
        <v>1033</v>
      </c>
      <c r="F412" s="297" t="s">
        <v>1034</v>
      </c>
      <c r="G412" s="296">
        <v>25</v>
      </c>
      <c r="H412" s="297" t="s">
        <v>1033</v>
      </c>
      <c r="I412" s="299" t="s">
        <v>1045</v>
      </c>
      <c r="J412" s="299"/>
      <c r="K412" s="300" t="s">
        <v>1044</v>
      </c>
    </row>
    <row r="413" spans="1:11" hidden="1" x14ac:dyDescent="0.2">
      <c r="A413" s="296" t="s">
        <v>926</v>
      </c>
      <c r="B413" s="297" t="s">
        <v>927</v>
      </c>
      <c r="C413" s="296" t="s">
        <v>1374</v>
      </c>
      <c r="D413" s="298" t="s">
        <v>1375</v>
      </c>
      <c r="E413" s="296" t="s">
        <v>1033</v>
      </c>
      <c r="F413" s="297" t="s">
        <v>1034</v>
      </c>
      <c r="G413" s="296">
        <v>25</v>
      </c>
      <c r="H413" s="297" t="s">
        <v>1033</v>
      </c>
      <c r="I413" s="299" t="s">
        <v>1045</v>
      </c>
      <c r="J413" s="299"/>
      <c r="K413" s="300" t="s">
        <v>1044</v>
      </c>
    </row>
    <row r="414" spans="1:11" hidden="1" x14ac:dyDescent="0.2">
      <c r="A414" s="296" t="s">
        <v>566</v>
      </c>
      <c r="B414" s="297" t="s">
        <v>1142</v>
      </c>
      <c r="C414" s="296" t="s">
        <v>1374</v>
      </c>
      <c r="D414" s="298" t="s">
        <v>1375</v>
      </c>
      <c r="E414" s="296" t="s">
        <v>1033</v>
      </c>
      <c r="F414" s="297" t="s">
        <v>1034</v>
      </c>
      <c r="G414" s="296">
        <v>25</v>
      </c>
      <c r="H414" s="297" t="s">
        <v>1033</v>
      </c>
      <c r="I414" s="299" t="s">
        <v>1045</v>
      </c>
      <c r="J414" s="299"/>
      <c r="K414" s="300" t="s">
        <v>1044</v>
      </c>
    </row>
    <row r="415" spans="1:11" hidden="1" x14ac:dyDescent="0.2">
      <c r="A415" s="280" t="s">
        <v>928</v>
      </c>
      <c r="B415" s="270" t="s">
        <v>567</v>
      </c>
      <c r="C415" s="280" t="s">
        <v>41</v>
      </c>
      <c r="D415" s="278" t="s">
        <v>42</v>
      </c>
      <c r="E415" s="280" t="s">
        <v>1033</v>
      </c>
      <c r="F415" s="270" t="s">
        <v>1034</v>
      </c>
      <c r="G415" s="280">
        <v>25</v>
      </c>
      <c r="H415" s="270" t="s">
        <v>1033</v>
      </c>
      <c r="I415" s="284" t="s">
        <v>1045</v>
      </c>
      <c r="K415" s="285" t="s">
        <v>1044</v>
      </c>
    </row>
    <row r="416" spans="1:11" hidden="1" x14ac:dyDescent="0.2">
      <c r="A416" s="280" t="s">
        <v>568</v>
      </c>
      <c r="B416" s="270" t="s">
        <v>569</v>
      </c>
      <c r="C416" s="280" t="s">
        <v>41</v>
      </c>
      <c r="D416" s="278" t="s">
        <v>42</v>
      </c>
      <c r="E416" s="280" t="s">
        <v>1033</v>
      </c>
      <c r="F416" s="270" t="s">
        <v>1034</v>
      </c>
      <c r="G416" s="280">
        <v>25</v>
      </c>
      <c r="H416" s="270" t="s">
        <v>1033</v>
      </c>
      <c r="I416" s="284" t="s">
        <v>1045</v>
      </c>
      <c r="K416" s="285" t="s">
        <v>1044</v>
      </c>
    </row>
    <row r="417" spans="1:11" hidden="1" x14ac:dyDescent="0.2">
      <c r="A417" s="280" t="s">
        <v>570</v>
      </c>
      <c r="B417" s="270" t="s">
        <v>571</v>
      </c>
      <c r="C417" s="280" t="s">
        <v>41</v>
      </c>
      <c r="D417" s="278" t="s">
        <v>42</v>
      </c>
      <c r="E417" s="280" t="s">
        <v>1033</v>
      </c>
      <c r="F417" s="270" t="s">
        <v>1034</v>
      </c>
      <c r="G417" s="280">
        <v>25</v>
      </c>
      <c r="H417" s="270" t="s">
        <v>1033</v>
      </c>
      <c r="I417" s="284" t="s">
        <v>1045</v>
      </c>
      <c r="K417" s="285" t="s">
        <v>1044</v>
      </c>
    </row>
    <row r="418" spans="1:11" hidden="1" x14ac:dyDescent="0.2">
      <c r="A418" s="280" t="s">
        <v>572</v>
      </c>
      <c r="B418" s="270" t="s">
        <v>573</v>
      </c>
      <c r="C418" s="280" t="s">
        <v>41</v>
      </c>
      <c r="D418" s="278" t="s">
        <v>42</v>
      </c>
      <c r="E418" s="280" t="s">
        <v>1033</v>
      </c>
      <c r="F418" s="270" t="s">
        <v>1034</v>
      </c>
      <c r="G418" s="280">
        <v>25</v>
      </c>
      <c r="H418" s="270" t="s">
        <v>1033</v>
      </c>
      <c r="I418" s="284" t="s">
        <v>1045</v>
      </c>
      <c r="K418" s="285" t="s">
        <v>1044</v>
      </c>
    </row>
    <row r="419" spans="1:11" hidden="1" x14ac:dyDescent="0.2">
      <c r="A419" s="280" t="s">
        <v>574</v>
      </c>
      <c r="B419" s="270" t="s">
        <v>575</v>
      </c>
      <c r="C419" s="280" t="s">
        <v>41</v>
      </c>
      <c r="D419" s="278" t="s">
        <v>42</v>
      </c>
      <c r="E419" s="280" t="s">
        <v>1033</v>
      </c>
      <c r="F419" s="270" t="s">
        <v>1034</v>
      </c>
      <c r="G419" s="280">
        <v>25</v>
      </c>
      <c r="H419" s="270" t="s">
        <v>1033</v>
      </c>
      <c r="I419" s="284" t="s">
        <v>1045</v>
      </c>
      <c r="K419" s="285" t="s">
        <v>1044</v>
      </c>
    </row>
    <row r="420" spans="1:11" hidden="1" x14ac:dyDescent="0.2">
      <c r="A420" s="280" t="s">
        <v>576</v>
      </c>
      <c r="B420" s="270" t="s">
        <v>1143</v>
      </c>
      <c r="C420" s="280" t="s">
        <v>41</v>
      </c>
      <c r="D420" s="278" t="s">
        <v>42</v>
      </c>
      <c r="E420" s="280" t="s">
        <v>1033</v>
      </c>
      <c r="F420" s="270" t="s">
        <v>1034</v>
      </c>
      <c r="G420" s="280">
        <v>25</v>
      </c>
      <c r="H420" s="270" t="s">
        <v>1033</v>
      </c>
      <c r="I420" s="284" t="s">
        <v>1045</v>
      </c>
      <c r="K420" s="285" t="s">
        <v>1047</v>
      </c>
    </row>
    <row r="421" spans="1:11" hidden="1" x14ac:dyDescent="0.2">
      <c r="A421" s="280" t="s">
        <v>577</v>
      </c>
      <c r="B421" s="270" t="s">
        <v>1144</v>
      </c>
      <c r="C421" s="280" t="s">
        <v>41</v>
      </c>
      <c r="D421" s="278" t="s">
        <v>42</v>
      </c>
      <c r="E421" s="280" t="s">
        <v>1033</v>
      </c>
      <c r="F421" s="270" t="s">
        <v>1034</v>
      </c>
      <c r="G421" s="280">
        <v>25</v>
      </c>
      <c r="H421" s="270" t="s">
        <v>1033</v>
      </c>
      <c r="I421" s="284" t="s">
        <v>1045</v>
      </c>
      <c r="K421" s="285" t="s">
        <v>1047</v>
      </c>
    </row>
    <row r="422" spans="1:11" hidden="1" x14ac:dyDescent="0.2">
      <c r="A422" s="280" t="s">
        <v>578</v>
      </c>
      <c r="B422" s="270" t="s">
        <v>579</v>
      </c>
      <c r="C422" s="280" t="s">
        <v>41</v>
      </c>
      <c r="D422" s="278" t="s">
        <v>42</v>
      </c>
      <c r="E422" s="280" t="s">
        <v>1033</v>
      </c>
      <c r="F422" s="270" t="s">
        <v>1034</v>
      </c>
      <c r="G422" s="280">
        <v>25</v>
      </c>
      <c r="H422" s="270" t="s">
        <v>1033</v>
      </c>
      <c r="I422" s="284" t="s">
        <v>1045</v>
      </c>
      <c r="K422" s="285" t="s">
        <v>1047</v>
      </c>
    </row>
    <row r="423" spans="1:11" hidden="1" x14ac:dyDescent="0.2">
      <c r="A423" s="280" t="s">
        <v>580</v>
      </c>
      <c r="B423" s="270" t="s">
        <v>581</v>
      </c>
      <c r="C423" s="280" t="s">
        <v>41</v>
      </c>
      <c r="D423" s="278" t="s">
        <v>42</v>
      </c>
      <c r="E423" s="280" t="s">
        <v>1033</v>
      </c>
      <c r="F423" s="270" t="s">
        <v>1034</v>
      </c>
      <c r="G423" s="280">
        <v>25</v>
      </c>
      <c r="H423" s="270" t="s">
        <v>1033</v>
      </c>
      <c r="I423" s="284" t="s">
        <v>1045</v>
      </c>
      <c r="K423" s="285" t="s">
        <v>1044</v>
      </c>
    </row>
    <row r="424" spans="1:11" hidden="1" x14ac:dyDescent="0.2">
      <c r="A424" s="280" t="s">
        <v>582</v>
      </c>
      <c r="B424" s="270" t="s">
        <v>583</v>
      </c>
      <c r="C424" s="280" t="s">
        <v>41</v>
      </c>
      <c r="D424" s="278" t="s">
        <v>42</v>
      </c>
      <c r="E424" s="280" t="s">
        <v>1033</v>
      </c>
      <c r="F424" s="270" t="s">
        <v>1034</v>
      </c>
      <c r="G424" s="280">
        <v>25</v>
      </c>
      <c r="H424" s="270" t="s">
        <v>1033</v>
      </c>
      <c r="I424" s="284" t="s">
        <v>1045</v>
      </c>
      <c r="K424" s="285" t="s">
        <v>1047</v>
      </c>
    </row>
    <row r="425" spans="1:11" hidden="1" x14ac:dyDescent="0.2">
      <c r="A425" s="280" t="s">
        <v>584</v>
      </c>
      <c r="B425" s="270" t="s">
        <v>585</v>
      </c>
      <c r="C425" s="280" t="s">
        <v>41</v>
      </c>
      <c r="D425" s="278" t="s">
        <v>42</v>
      </c>
      <c r="E425" s="280" t="s">
        <v>1033</v>
      </c>
      <c r="F425" s="270" t="s">
        <v>1034</v>
      </c>
      <c r="G425" s="280">
        <v>25</v>
      </c>
      <c r="H425" s="270" t="s">
        <v>1033</v>
      </c>
      <c r="I425" s="284" t="s">
        <v>1045</v>
      </c>
      <c r="K425" s="285" t="s">
        <v>1047</v>
      </c>
    </row>
    <row r="426" spans="1:11" hidden="1" x14ac:dyDescent="0.2">
      <c r="A426" s="280" t="s">
        <v>586</v>
      </c>
      <c r="B426" s="270" t="s">
        <v>587</v>
      </c>
      <c r="C426" s="280" t="s">
        <v>41</v>
      </c>
      <c r="D426" s="278" t="s">
        <v>42</v>
      </c>
      <c r="E426" s="280" t="s">
        <v>1033</v>
      </c>
      <c r="F426" s="270" t="s">
        <v>1034</v>
      </c>
      <c r="G426" s="280">
        <v>25</v>
      </c>
      <c r="H426" s="270" t="s">
        <v>1033</v>
      </c>
      <c r="I426" s="284" t="s">
        <v>1045</v>
      </c>
      <c r="K426" s="285" t="s">
        <v>1044</v>
      </c>
    </row>
    <row r="427" spans="1:11" hidden="1" x14ac:dyDescent="0.2">
      <c r="A427" s="280" t="s">
        <v>588</v>
      </c>
      <c r="B427" s="270" t="s">
        <v>589</v>
      </c>
      <c r="C427" s="280" t="s">
        <v>41</v>
      </c>
      <c r="D427" s="278" t="s">
        <v>42</v>
      </c>
      <c r="E427" s="280" t="s">
        <v>1033</v>
      </c>
      <c r="F427" s="270" t="s">
        <v>1034</v>
      </c>
      <c r="G427" s="280">
        <v>25</v>
      </c>
      <c r="H427" s="270" t="s">
        <v>1033</v>
      </c>
      <c r="I427" s="284" t="s">
        <v>1045</v>
      </c>
      <c r="K427" s="285" t="s">
        <v>1047</v>
      </c>
    </row>
    <row r="428" spans="1:11" hidden="1" x14ac:dyDescent="0.2">
      <c r="A428" s="280" t="s">
        <v>590</v>
      </c>
      <c r="B428" s="270" t="s">
        <v>591</v>
      </c>
      <c r="C428" s="280" t="s">
        <v>41</v>
      </c>
      <c r="D428" s="278" t="s">
        <v>42</v>
      </c>
      <c r="E428" s="280" t="s">
        <v>1033</v>
      </c>
      <c r="F428" s="270" t="s">
        <v>1034</v>
      </c>
      <c r="G428" s="280">
        <v>25</v>
      </c>
      <c r="H428" s="270" t="s">
        <v>1033</v>
      </c>
      <c r="I428" s="284" t="s">
        <v>1045</v>
      </c>
      <c r="K428" s="285" t="s">
        <v>1044</v>
      </c>
    </row>
    <row r="429" spans="1:11" hidden="1" x14ac:dyDescent="0.2">
      <c r="A429" s="280" t="s">
        <v>592</v>
      </c>
      <c r="B429" s="270" t="s">
        <v>593</v>
      </c>
      <c r="C429" s="280" t="s">
        <v>41</v>
      </c>
      <c r="D429" s="278" t="s">
        <v>42</v>
      </c>
      <c r="E429" s="280" t="s">
        <v>1033</v>
      </c>
      <c r="F429" s="270" t="s">
        <v>1034</v>
      </c>
      <c r="G429" s="280">
        <v>25</v>
      </c>
      <c r="H429" s="270" t="s">
        <v>1033</v>
      </c>
      <c r="I429" s="284" t="s">
        <v>1045</v>
      </c>
      <c r="K429" s="285" t="s">
        <v>1044</v>
      </c>
    </row>
  </sheetData>
  <autoFilter ref="A1:K429" xr:uid="{00000000-0009-0000-0000-000006000000}">
    <filterColumn colId="3">
      <filters>
        <filter val="รายได้อื่น"/>
        <filter val="รายได้อื่น (ระบบบัญชีบันทึกอัตโนมัติ)"/>
      </filters>
    </filterColumn>
  </autoFilter>
  <sortState ref="A2:F427">
    <sortCondition ref="C2:C427"/>
    <sortCondition ref="E2:E427"/>
  </sortState>
  <pageMargins left="0.7" right="0.7" top="0.75" bottom="0.75" header="0.3" footer="0.3"/>
  <pageSetup paperSize="9" orientation="portrait" horizontalDpi="300" verticalDpi="300" r:id="rId1"/>
  <ignoredErrors>
    <ignoredError sqref="A26: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437"/>
  <sheetViews>
    <sheetView topLeftCell="A421" zoomScale="90" zoomScaleNormal="90" workbookViewId="0">
      <selection activeCell="C22" sqref="C22"/>
    </sheetView>
  </sheetViews>
  <sheetFormatPr defaultRowHeight="18" x14ac:dyDescent="0.25"/>
  <cols>
    <col min="1" max="1" width="15.375" customWidth="1"/>
    <col min="2" max="2" width="70.625" customWidth="1"/>
    <col min="3" max="3" width="20.125" style="76" customWidth="1"/>
    <col min="4" max="4" width="10.5" customWidth="1"/>
    <col min="5" max="5" width="14.375" style="71" customWidth="1"/>
    <col min="6" max="6" width="16.25" style="71" customWidth="1"/>
    <col min="7" max="7" width="8.625" style="71" customWidth="1"/>
    <col min="8" max="8" width="4.375" customWidth="1"/>
    <col min="9" max="9" width="3.375" customWidth="1"/>
  </cols>
  <sheetData>
    <row r="1" spans="1:10" ht="18" customHeight="1" x14ac:dyDescent="0.25">
      <c r="A1" s="73"/>
      <c r="B1" s="73" t="s">
        <v>1267</v>
      </c>
      <c r="C1" s="74"/>
      <c r="D1" s="73"/>
      <c r="E1" s="73"/>
      <c r="F1" s="73"/>
    </row>
    <row r="2" spans="1:10" ht="27.75" x14ac:dyDescent="0.65">
      <c r="A2" s="25" t="s">
        <v>707</v>
      </c>
      <c r="B2" s="25" t="s">
        <v>708</v>
      </c>
      <c r="C2" s="75" t="s">
        <v>678</v>
      </c>
      <c r="D2" s="21"/>
      <c r="E2" s="72" t="s">
        <v>772</v>
      </c>
      <c r="F2" s="72" t="s">
        <v>1344</v>
      </c>
      <c r="G2" s="114" t="s">
        <v>1145</v>
      </c>
      <c r="H2" s="15"/>
    </row>
    <row r="3" spans="1:10" ht="27.75" x14ac:dyDescent="0.65">
      <c r="A3" s="293" t="s">
        <v>140</v>
      </c>
      <c r="B3" s="117" t="s">
        <v>141</v>
      </c>
      <c r="C3" s="116">
        <f>IFERROR(VLOOKUP($A3,'งบทดลอง รพ.'!$A$2:$C$500,3,0),0)</f>
        <v>0</v>
      </c>
      <c r="D3" s="21"/>
      <c r="E3" s="72" t="s">
        <v>975</v>
      </c>
      <c r="F3" s="72" t="s">
        <v>16</v>
      </c>
      <c r="G3" s="114" t="s">
        <v>1045</v>
      </c>
      <c r="H3" s="15"/>
      <c r="I3" s="119"/>
      <c r="J3" t="s">
        <v>1146</v>
      </c>
    </row>
    <row r="4" spans="1:10" ht="27.75" x14ac:dyDescent="0.65">
      <c r="A4" s="293" t="s">
        <v>142</v>
      </c>
      <c r="B4" s="117" t="s">
        <v>143</v>
      </c>
      <c r="C4" s="116">
        <f>IFERROR(VLOOKUP($A4,'งบทดลอง รพ.'!$A$2:$C$500,3,0),0)</f>
        <v>0</v>
      </c>
      <c r="D4" s="21"/>
      <c r="E4" s="72" t="s">
        <v>975</v>
      </c>
      <c r="F4" s="72" t="s">
        <v>16</v>
      </c>
      <c r="G4" s="114" t="s">
        <v>1045</v>
      </c>
      <c r="H4" s="15"/>
    </row>
    <row r="5" spans="1:10" ht="27.75" x14ac:dyDescent="0.65">
      <c r="A5" s="293" t="s">
        <v>144</v>
      </c>
      <c r="B5" s="117" t="s">
        <v>145</v>
      </c>
      <c r="C5" s="116">
        <f>IFERROR(VLOOKUP($A5,'งบทดลอง รพ.'!$A$2:$C$500,3,0),0)</f>
        <v>0</v>
      </c>
      <c r="D5" s="21"/>
      <c r="E5" s="72" t="s">
        <v>975</v>
      </c>
      <c r="F5" s="72" t="s">
        <v>16</v>
      </c>
      <c r="G5" s="114" t="s">
        <v>1045</v>
      </c>
      <c r="H5" s="15"/>
    </row>
    <row r="6" spans="1:10" ht="27.75" x14ac:dyDescent="0.65">
      <c r="A6" s="293" t="s">
        <v>146</v>
      </c>
      <c r="B6" s="117" t="s">
        <v>147</v>
      </c>
      <c r="C6" s="116">
        <f>IFERROR(VLOOKUP($A6,'งบทดลอง รพ.'!$A$2:$C$500,3,0),0)</f>
        <v>0</v>
      </c>
      <c r="D6" s="21"/>
      <c r="E6" s="72" t="s">
        <v>975</v>
      </c>
      <c r="F6" s="72" t="s">
        <v>16</v>
      </c>
      <c r="G6" s="114" t="s">
        <v>1045</v>
      </c>
      <c r="H6" s="15"/>
    </row>
    <row r="7" spans="1:10" ht="27.75" x14ac:dyDescent="0.65">
      <c r="A7" s="293" t="s">
        <v>148</v>
      </c>
      <c r="B7" s="117" t="s">
        <v>1046</v>
      </c>
      <c r="C7" s="116">
        <f>IFERROR(VLOOKUP($A7,'งบทดลอง รพ.'!$A$2:$C$500,3,0),0)</f>
        <v>0</v>
      </c>
      <c r="D7" s="21"/>
      <c r="E7" s="72" t="s">
        <v>975</v>
      </c>
      <c r="F7" s="72" t="s">
        <v>16</v>
      </c>
      <c r="G7" s="114" t="s">
        <v>1045</v>
      </c>
      <c r="H7" s="15"/>
    </row>
    <row r="8" spans="1:10" ht="27.75" x14ac:dyDescent="0.65">
      <c r="A8" s="293" t="s">
        <v>149</v>
      </c>
      <c r="B8" s="117" t="s">
        <v>150</v>
      </c>
      <c r="C8" s="116">
        <f>IFERROR(VLOOKUP($A8,'งบทดลอง รพ.'!$A$2:$C$500,3,0),0)</f>
        <v>0</v>
      </c>
      <c r="D8" s="21"/>
      <c r="E8" s="72" t="s">
        <v>975</v>
      </c>
      <c r="F8" s="72" t="s">
        <v>16</v>
      </c>
      <c r="G8" s="114" t="s">
        <v>1045</v>
      </c>
      <c r="H8" s="15"/>
    </row>
    <row r="9" spans="1:10" ht="27.75" x14ac:dyDescent="0.65">
      <c r="A9" s="293" t="s">
        <v>151</v>
      </c>
      <c r="B9" s="117" t="s">
        <v>172</v>
      </c>
      <c r="C9" s="116">
        <f>IFERROR(VLOOKUP($A9,'งบทดลอง รพ.'!$A$2:$C$500,3,0),0)</f>
        <v>0</v>
      </c>
      <c r="D9" s="21"/>
      <c r="E9" s="72" t="s">
        <v>975</v>
      </c>
      <c r="F9" s="72" t="s">
        <v>16</v>
      </c>
      <c r="G9" s="114" t="s">
        <v>1045</v>
      </c>
      <c r="H9" s="15"/>
    </row>
    <row r="10" spans="1:10" ht="27.75" x14ac:dyDescent="0.65">
      <c r="A10" s="293" t="s">
        <v>152</v>
      </c>
      <c r="B10" s="117" t="s">
        <v>174</v>
      </c>
      <c r="C10" s="116">
        <f>IFERROR(VLOOKUP($A10,'งบทดลอง รพ.'!$A$2:$C$500,3,0),0)</f>
        <v>0</v>
      </c>
      <c r="D10" s="21"/>
      <c r="E10" s="72" t="s">
        <v>975</v>
      </c>
      <c r="F10" s="72" t="s">
        <v>16</v>
      </c>
      <c r="G10" s="114" t="s">
        <v>1045</v>
      </c>
      <c r="H10" s="15"/>
    </row>
    <row r="11" spans="1:10" ht="27.75" x14ac:dyDescent="0.65">
      <c r="A11" s="293" t="s">
        <v>153</v>
      </c>
      <c r="B11" s="117" t="s">
        <v>154</v>
      </c>
      <c r="C11" s="116">
        <f>IFERROR(VLOOKUP($A11,'งบทดลอง รพ.'!$A$2:$C$500,3,0),0)</f>
        <v>0</v>
      </c>
      <c r="D11" s="21"/>
      <c r="E11" s="72" t="s">
        <v>975</v>
      </c>
      <c r="F11" s="72" t="s">
        <v>16</v>
      </c>
      <c r="G11" s="114" t="s">
        <v>1045</v>
      </c>
      <c r="H11" s="15"/>
    </row>
    <row r="12" spans="1:10" ht="27.75" x14ac:dyDescent="0.65">
      <c r="A12" s="293" t="s">
        <v>155</v>
      </c>
      <c r="B12" s="117" t="s">
        <v>156</v>
      </c>
      <c r="C12" s="116">
        <f>IFERROR(VLOOKUP($A12,'งบทดลอง รพ.'!$A$2:$C$500,3,0),0)</f>
        <v>0</v>
      </c>
      <c r="D12" s="21"/>
      <c r="E12" s="72" t="s">
        <v>975</v>
      </c>
      <c r="F12" s="72" t="s">
        <v>16</v>
      </c>
      <c r="G12" s="114" t="s">
        <v>1045</v>
      </c>
      <c r="H12" s="15"/>
    </row>
    <row r="13" spans="1:10" ht="27.75" x14ac:dyDescent="0.65">
      <c r="A13" s="293" t="s">
        <v>113</v>
      </c>
      <c r="B13" s="117" t="s">
        <v>114</v>
      </c>
      <c r="C13" s="116">
        <f>IFERROR(VLOOKUP($A13,'งบทดลอง รพ.'!$A$2:$C$500,3,0),0)</f>
        <v>0</v>
      </c>
      <c r="D13" s="21"/>
      <c r="E13" s="72" t="s">
        <v>968</v>
      </c>
      <c r="F13" s="72" t="s">
        <v>12</v>
      </c>
      <c r="G13" s="114" t="s">
        <v>1045</v>
      </c>
      <c r="H13" s="15"/>
    </row>
    <row r="14" spans="1:10" ht="27.75" x14ac:dyDescent="0.65">
      <c r="A14" s="293" t="s">
        <v>115</v>
      </c>
      <c r="B14" s="117" t="s">
        <v>116</v>
      </c>
      <c r="C14" s="116">
        <f>IFERROR(VLOOKUP($A14,'งบทดลอง รพ.'!$A$2:$C$500,3,0),0)</f>
        <v>0</v>
      </c>
      <c r="D14" s="21"/>
      <c r="E14" s="72" t="s">
        <v>968</v>
      </c>
      <c r="F14" s="72" t="s">
        <v>12</v>
      </c>
      <c r="G14" s="114" t="s">
        <v>1045</v>
      </c>
      <c r="H14" s="15"/>
    </row>
    <row r="15" spans="1:10" ht="27.75" x14ac:dyDescent="0.65">
      <c r="A15" s="293" t="s">
        <v>796</v>
      </c>
      <c r="B15" s="117" t="s">
        <v>118</v>
      </c>
      <c r="C15" s="116">
        <f>IFERROR(VLOOKUP($A15,'งบทดลอง รพ.'!$A$2:$C$500,3,0),0)</f>
        <v>0</v>
      </c>
      <c r="D15" s="21"/>
      <c r="E15" s="72" t="s">
        <v>968</v>
      </c>
      <c r="F15" s="72" t="s">
        <v>12</v>
      </c>
      <c r="G15" s="114" t="s">
        <v>1045</v>
      </c>
      <c r="H15" s="15"/>
    </row>
    <row r="16" spans="1:10" ht="27.75" x14ac:dyDescent="0.65">
      <c r="A16" s="293" t="s">
        <v>797</v>
      </c>
      <c r="B16" s="117" t="s">
        <v>119</v>
      </c>
      <c r="C16" s="116">
        <f>IFERROR(VLOOKUP($A16,'งบทดลอง รพ.'!$A$2:$C$500,3,0),0)</f>
        <v>0</v>
      </c>
      <c r="D16" s="21"/>
      <c r="E16" s="72" t="s">
        <v>968</v>
      </c>
      <c r="F16" s="72" t="s">
        <v>12</v>
      </c>
      <c r="G16" s="114" t="s">
        <v>1045</v>
      </c>
      <c r="H16" s="15"/>
    </row>
    <row r="17" spans="1:8" ht="27.75" x14ac:dyDescent="0.65">
      <c r="A17" s="293" t="s">
        <v>120</v>
      </c>
      <c r="B17" s="117" t="s">
        <v>121</v>
      </c>
      <c r="C17" s="116">
        <f>IFERROR(VLOOKUP($A17,'งบทดลอง รพ.'!$A$2:$C$500,3,0),0)</f>
        <v>0</v>
      </c>
      <c r="D17" s="21"/>
      <c r="E17" s="72" t="s">
        <v>968</v>
      </c>
      <c r="F17" s="72" t="s">
        <v>12</v>
      </c>
      <c r="G17" s="114" t="s">
        <v>1045</v>
      </c>
      <c r="H17" s="15"/>
    </row>
    <row r="18" spans="1:8" ht="27.75" x14ac:dyDescent="0.65">
      <c r="A18" s="293" t="s">
        <v>122</v>
      </c>
      <c r="B18" s="117" t="s">
        <v>123</v>
      </c>
      <c r="C18" s="116">
        <f>IFERROR(VLOOKUP($A18,'งบทดลอง รพ.'!$A$2:$C$500,3,0),0)</f>
        <v>0</v>
      </c>
      <c r="D18" s="21"/>
      <c r="E18" s="72" t="s">
        <v>968</v>
      </c>
      <c r="F18" s="72" t="s">
        <v>12</v>
      </c>
      <c r="G18" s="114" t="s">
        <v>1045</v>
      </c>
      <c r="H18" s="15"/>
    </row>
    <row r="19" spans="1:8" ht="27.75" x14ac:dyDescent="0.65">
      <c r="A19" s="293" t="s">
        <v>798</v>
      </c>
      <c r="B19" s="117" t="s">
        <v>117</v>
      </c>
      <c r="C19" s="116">
        <f>IFERROR(VLOOKUP($A19,'งบทดลอง รพ.'!$A$2:$C$500,3,0),0)</f>
        <v>0</v>
      </c>
      <c r="D19" s="21"/>
      <c r="E19" s="72" t="s">
        <v>968</v>
      </c>
      <c r="F19" s="72" t="s">
        <v>12</v>
      </c>
      <c r="G19" s="114" t="s">
        <v>1045</v>
      </c>
      <c r="H19" s="15"/>
    </row>
    <row r="20" spans="1:8" ht="27.75" x14ac:dyDescent="0.65">
      <c r="A20" s="293" t="s">
        <v>799</v>
      </c>
      <c r="B20" s="117" t="s">
        <v>80</v>
      </c>
      <c r="C20" s="116">
        <f>IFERROR(VLOOKUP($A20,'งบทดลอง รพ.'!$A$2:$C$500,3,0),0)</f>
        <v>0</v>
      </c>
      <c r="D20" s="21"/>
      <c r="E20" s="72" t="s">
        <v>947</v>
      </c>
      <c r="F20" s="72" t="s">
        <v>6</v>
      </c>
      <c r="G20" s="114" t="s">
        <v>1045</v>
      </c>
      <c r="H20" s="15"/>
    </row>
    <row r="21" spans="1:8" ht="27.75" x14ac:dyDescent="0.65">
      <c r="A21" s="293" t="s">
        <v>800</v>
      </c>
      <c r="B21" s="117" t="s">
        <v>801</v>
      </c>
      <c r="C21" s="116">
        <f>IFERROR(VLOOKUP($A21,'งบทดลอง รพ.'!$A$2:$C$500,3,0),0)</f>
        <v>300000</v>
      </c>
      <c r="D21" s="21"/>
      <c r="E21" s="72" t="s">
        <v>936</v>
      </c>
      <c r="F21" s="72" t="s">
        <v>2</v>
      </c>
      <c r="G21" s="114" t="s">
        <v>1045</v>
      </c>
      <c r="H21" s="15"/>
    </row>
    <row r="22" spans="1:8" ht="27.75" x14ac:dyDescent="0.65">
      <c r="A22" s="293" t="s">
        <v>802</v>
      </c>
      <c r="B22" s="117" t="s">
        <v>803</v>
      </c>
      <c r="C22" s="116">
        <f>IFERROR(VLOOKUP($A22,'งบทดลอง รพ.'!$A$2:$C$500,3,0),0)</f>
        <v>3500000</v>
      </c>
      <c r="D22" s="21"/>
      <c r="E22" s="72" t="s">
        <v>968</v>
      </c>
      <c r="F22" s="72" t="s">
        <v>12</v>
      </c>
      <c r="G22" s="114" t="s">
        <v>1045</v>
      </c>
      <c r="H22" s="15"/>
    </row>
    <row r="23" spans="1:8" ht="27.75" x14ac:dyDescent="0.65">
      <c r="A23" s="293" t="s">
        <v>72</v>
      </c>
      <c r="B23" s="117" t="s">
        <v>1048</v>
      </c>
      <c r="C23" s="116">
        <f>IFERROR(VLOOKUP($A23,'งบทดลอง รพ.'!$A$2:$C$500,3,0),0)</f>
        <v>0</v>
      </c>
      <c r="D23" s="21"/>
      <c r="E23" s="72" t="s">
        <v>937</v>
      </c>
      <c r="F23" s="72" t="s">
        <v>4</v>
      </c>
      <c r="G23" s="114" t="s">
        <v>1045</v>
      </c>
      <c r="H23" s="15"/>
    </row>
    <row r="24" spans="1:8" ht="27.75" x14ac:dyDescent="0.65">
      <c r="A24" s="293" t="s">
        <v>73</v>
      </c>
      <c r="B24" s="117" t="s">
        <v>1049</v>
      </c>
      <c r="C24" s="116">
        <f>IFERROR(VLOOKUP($A24,'งบทดลอง รพ.'!$A$2:$C$500,3,0),0)</f>
        <v>0</v>
      </c>
      <c r="D24" s="21"/>
      <c r="E24" s="72" t="s">
        <v>939</v>
      </c>
      <c r="F24" s="72" t="s">
        <v>4</v>
      </c>
      <c r="G24" s="114" t="s">
        <v>1045</v>
      </c>
      <c r="H24" s="15"/>
    </row>
    <row r="25" spans="1:8" ht="27.75" x14ac:dyDescent="0.65">
      <c r="A25" s="293" t="s">
        <v>124</v>
      </c>
      <c r="B25" s="117" t="s">
        <v>1050</v>
      </c>
      <c r="C25" s="116">
        <f>IFERROR(VLOOKUP($A25,'งบทดลอง รพ.'!$A$2:$C$500,3,0),0)</f>
        <v>3761444.328824142</v>
      </c>
      <c r="D25" s="21"/>
      <c r="E25" s="72" t="s">
        <v>970</v>
      </c>
      <c r="F25" s="72" t="s">
        <v>12</v>
      </c>
      <c r="G25" s="114" t="s">
        <v>1045</v>
      </c>
      <c r="H25" s="15"/>
    </row>
    <row r="26" spans="1:8" ht="27.75" x14ac:dyDescent="0.65">
      <c r="A26" s="293" t="s">
        <v>125</v>
      </c>
      <c r="B26" s="117" t="s">
        <v>1051</v>
      </c>
      <c r="C26" s="116">
        <f>IFERROR(VLOOKUP($A26,'งบทดลอง รพ.'!$A$2:$C$500,3,0),0)</f>
        <v>2401967.1907927282</v>
      </c>
      <c r="D26" s="21"/>
      <c r="E26" s="72" t="s">
        <v>972</v>
      </c>
      <c r="F26" s="72" t="s">
        <v>12</v>
      </c>
      <c r="G26" s="114" t="s">
        <v>1045</v>
      </c>
      <c r="H26" s="15"/>
    </row>
    <row r="27" spans="1:8" ht="27.75" x14ac:dyDescent="0.65">
      <c r="A27" s="293" t="s">
        <v>1326</v>
      </c>
      <c r="B27" s="117" t="s">
        <v>1277</v>
      </c>
      <c r="C27" s="116">
        <f>IFERROR(VLOOKUP($A27,'งบทดลอง รพ.'!$A$2:$C$500,3,0),0)</f>
        <v>0</v>
      </c>
      <c r="D27" s="21"/>
      <c r="E27" s="72" t="s">
        <v>937</v>
      </c>
      <c r="F27" s="72" t="s">
        <v>4</v>
      </c>
      <c r="G27" s="114" t="s">
        <v>1045</v>
      </c>
      <c r="H27" s="15"/>
    </row>
    <row r="28" spans="1:8" ht="27.75" x14ac:dyDescent="0.65">
      <c r="A28" s="293" t="s">
        <v>1327</v>
      </c>
      <c r="B28" s="117" t="s">
        <v>1278</v>
      </c>
      <c r="C28" s="116">
        <f>IFERROR(VLOOKUP($A28,'งบทดลอง รพ.'!$A$2:$C$500,3,0),0)</f>
        <v>0</v>
      </c>
      <c r="D28" s="21"/>
      <c r="E28" s="72" t="s">
        <v>939</v>
      </c>
      <c r="F28" s="72" t="s">
        <v>4</v>
      </c>
      <c r="G28" s="114" t="s">
        <v>1045</v>
      </c>
      <c r="H28" s="15"/>
    </row>
    <row r="29" spans="1:8" ht="27.75" x14ac:dyDescent="0.65">
      <c r="A29" s="293" t="s">
        <v>1328</v>
      </c>
      <c r="B29" s="117" t="s">
        <v>1279</v>
      </c>
      <c r="C29" s="116">
        <f>IFERROR(VLOOKUP($A29,'งบทดลอง รพ.'!$A$2:$C$500,3,0),0)</f>
        <v>0</v>
      </c>
      <c r="D29" s="21"/>
      <c r="E29" s="72" t="s">
        <v>937</v>
      </c>
      <c r="F29" s="72" t="s">
        <v>4</v>
      </c>
      <c r="G29" s="114" t="s">
        <v>1045</v>
      </c>
      <c r="H29" s="15"/>
    </row>
    <row r="30" spans="1:8" ht="27.75" x14ac:dyDescent="0.65">
      <c r="A30" s="293" t="s">
        <v>1329</v>
      </c>
      <c r="B30" s="117" t="s">
        <v>1280</v>
      </c>
      <c r="C30" s="116">
        <f>IFERROR(VLOOKUP($A30,'งบทดลอง รพ.'!$A$2:$C$500,3,0),0)</f>
        <v>0</v>
      </c>
      <c r="D30" s="21"/>
      <c r="E30" s="72" t="s">
        <v>939</v>
      </c>
      <c r="F30" s="72" t="s">
        <v>4</v>
      </c>
      <c r="G30" s="114" t="s">
        <v>1045</v>
      </c>
      <c r="H30" s="15"/>
    </row>
    <row r="31" spans="1:8" ht="27.75" x14ac:dyDescent="0.65">
      <c r="A31" s="293" t="s">
        <v>81</v>
      </c>
      <c r="B31" s="117" t="s">
        <v>1052</v>
      </c>
      <c r="C31" s="116">
        <f>IFERROR(VLOOKUP($A31,'งบทดลอง รพ.'!$A$2:$C$500,3,0),0)</f>
        <v>3234929.4183168313</v>
      </c>
      <c r="D31" s="21"/>
      <c r="E31" s="72" t="s">
        <v>949</v>
      </c>
      <c r="F31" s="72" t="s">
        <v>6</v>
      </c>
      <c r="G31" s="114" t="s">
        <v>1045</v>
      </c>
      <c r="H31" s="15"/>
    </row>
    <row r="32" spans="1:8" ht="27.75" x14ac:dyDescent="0.65">
      <c r="A32" s="293" t="s">
        <v>82</v>
      </c>
      <c r="B32" s="117" t="s">
        <v>1053</v>
      </c>
      <c r="C32" s="116">
        <f>IFERROR(VLOOKUP($A32,'งบทดลอง รพ.'!$A$2:$C$500,3,0),0)</f>
        <v>1023748.7986988983</v>
      </c>
      <c r="D32" s="21"/>
      <c r="E32" s="72" t="s">
        <v>951</v>
      </c>
      <c r="F32" s="72" t="s">
        <v>6</v>
      </c>
      <c r="G32" s="114" t="s">
        <v>1045</v>
      </c>
      <c r="H32" s="15"/>
    </row>
    <row r="33" spans="1:8" ht="27.75" x14ac:dyDescent="0.65">
      <c r="A33" s="293" t="s">
        <v>83</v>
      </c>
      <c r="B33" s="117" t="s">
        <v>84</v>
      </c>
      <c r="C33" s="116">
        <f>IFERROR(VLOOKUP($A33,'งบทดลอง รพ.'!$A$2:$C$500,3,0),0)</f>
        <v>-135000</v>
      </c>
      <c r="D33" s="21"/>
      <c r="E33" s="72" t="s">
        <v>953</v>
      </c>
      <c r="F33" s="72" t="s">
        <v>6</v>
      </c>
      <c r="G33" s="114" t="s">
        <v>1045</v>
      </c>
      <c r="H33" s="15"/>
    </row>
    <row r="34" spans="1:8" ht="27.75" x14ac:dyDescent="0.65">
      <c r="A34" s="294" t="s">
        <v>85</v>
      </c>
      <c r="B34" s="118" t="s">
        <v>86</v>
      </c>
      <c r="C34" s="116">
        <f>IFERROR(VLOOKUP($A34,'งบทดลอง รพ.'!$A$2:$C$500,3,0),0)</f>
        <v>298000</v>
      </c>
      <c r="D34" s="21"/>
      <c r="E34" s="72" t="s">
        <v>953</v>
      </c>
      <c r="F34" s="72" t="s">
        <v>6</v>
      </c>
      <c r="G34" s="114" t="s">
        <v>1045</v>
      </c>
      <c r="H34" s="15"/>
    </row>
    <row r="35" spans="1:8" ht="27.75" x14ac:dyDescent="0.65">
      <c r="A35" s="294" t="s">
        <v>126</v>
      </c>
      <c r="B35" s="118" t="s">
        <v>1054</v>
      </c>
      <c r="C35" s="116">
        <f>IFERROR(VLOOKUP($A35,'งบทดลอง รพ.'!$A$2:$C$500,3,0),0)</f>
        <v>120000</v>
      </c>
      <c r="D35" s="21"/>
      <c r="E35" s="72" t="s">
        <v>970</v>
      </c>
      <c r="F35" s="72" t="s">
        <v>12</v>
      </c>
      <c r="G35" s="114" t="s">
        <v>1045</v>
      </c>
      <c r="H35" s="15"/>
    </row>
    <row r="36" spans="1:8" ht="27.75" x14ac:dyDescent="0.65">
      <c r="A36" s="294" t="s">
        <v>127</v>
      </c>
      <c r="B36" s="118" t="s">
        <v>1055</v>
      </c>
      <c r="C36" s="116">
        <f>IFERROR(VLOOKUP($A36,'งบทดลอง รพ.'!$A$2:$C$500,3,0),0)</f>
        <v>350000</v>
      </c>
      <c r="D36" s="21"/>
      <c r="E36" s="72" t="s">
        <v>972</v>
      </c>
      <c r="F36" s="72" t="s">
        <v>12</v>
      </c>
      <c r="G36" s="114" t="s">
        <v>1045</v>
      </c>
      <c r="H36" s="15"/>
    </row>
    <row r="37" spans="1:8" ht="27.75" x14ac:dyDescent="0.65">
      <c r="A37" s="294" t="s">
        <v>74</v>
      </c>
      <c r="B37" s="118" t="s">
        <v>1056</v>
      </c>
      <c r="C37" s="116">
        <f>IFERROR(VLOOKUP($A37,'งบทดลอง รพ.'!$A$2:$C$500,3,0),0)</f>
        <v>391394.95798319328</v>
      </c>
      <c r="D37" s="21"/>
      <c r="E37" s="72" t="s">
        <v>942</v>
      </c>
      <c r="F37" s="72" t="s">
        <v>941</v>
      </c>
      <c r="G37" s="114" t="s">
        <v>1045</v>
      </c>
      <c r="H37" s="15"/>
    </row>
    <row r="38" spans="1:8" ht="27.75" x14ac:dyDescent="0.65">
      <c r="A38" s="294" t="s">
        <v>75</v>
      </c>
      <c r="B38" s="118" t="s">
        <v>1283</v>
      </c>
      <c r="C38" s="116">
        <f>IFERROR(VLOOKUP($A38,'งบทดลอง รพ.'!$A$2:$C$500,3,0),0)</f>
        <v>141254.61254612543</v>
      </c>
      <c r="D38" s="21"/>
      <c r="E38" s="72" t="s">
        <v>944</v>
      </c>
      <c r="F38" s="72" t="s">
        <v>941</v>
      </c>
      <c r="G38" s="114" t="s">
        <v>1045</v>
      </c>
      <c r="H38" s="15"/>
    </row>
    <row r="39" spans="1:8" ht="27.75" x14ac:dyDescent="0.65">
      <c r="A39" s="294" t="s">
        <v>76</v>
      </c>
      <c r="B39" s="118" t="s">
        <v>77</v>
      </c>
      <c r="C39" s="116">
        <f>IFERROR(VLOOKUP($A39,'งบทดลอง รพ.'!$A$2:$C$500,3,0),0)</f>
        <v>-30000</v>
      </c>
      <c r="D39" s="21"/>
      <c r="E39" s="72" t="s">
        <v>946</v>
      </c>
      <c r="F39" s="72" t="s">
        <v>941</v>
      </c>
      <c r="G39" s="114" t="s">
        <v>1045</v>
      </c>
      <c r="H39" s="15"/>
    </row>
    <row r="40" spans="1:8" ht="27.75" x14ac:dyDescent="0.65">
      <c r="A40" s="294" t="s">
        <v>78</v>
      </c>
      <c r="B40" s="118" t="s">
        <v>79</v>
      </c>
      <c r="C40" s="116">
        <f>IFERROR(VLOOKUP($A40,'งบทดลอง รพ.'!$A$2:$C$500,3,0),0)</f>
        <v>9000</v>
      </c>
      <c r="D40" s="21"/>
      <c r="E40" s="72" t="s">
        <v>946</v>
      </c>
      <c r="F40" s="72" t="s">
        <v>941</v>
      </c>
      <c r="G40" s="114" t="s">
        <v>1045</v>
      </c>
      <c r="H40" s="15"/>
    </row>
    <row r="41" spans="1:8" ht="27.75" x14ac:dyDescent="0.65">
      <c r="A41" s="294" t="s">
        <v>804</v>
      </c>
      <c r="B41" s="118" t="s">
        <v>1281</v>
      </c>
      <c r="C41" s="116">
        <f>IFERROR(VLOOKUP($A41,'งบทดลอง รพ.'!$A$2:$C$500,3,0),0)</f>
        <v>32000</v>
      </c>
      <c r="D41" s="21"/>
      <c r="E41" s="72" t="s">
        <v>942</v>
      </c>
      <c r="F41" s="72" t="s">
        <v>941</v>
      </c>
      <c r="G41" s="114" t="s">
        <v>1045</v>
      </c>
      <c r="H41" s="15"/>
    </row>
    <row r="42" spans="1:8" ht="27.75" x14ac:dyDescent="0.65">
      <c r="A42" s="294" t="s">
        <v>805</v>
      </c>
      <c r="B42" s="118" t="s">
        <v>1282</v>
      </c>
      <c r="C42" s="116">
        <f>IFERROR(VLOOKUP($A42,'งบทดลอง รพ.'!$A$2:$C$500,3,0),0)</f>
        <v>31000</v>
      </c>
      <c r="D42" s="21"/>
      <c r="E42" s="72" t="s">
        <v>944</v>
      </c>
      <c r="F42" s="72" t="s">
        <v>941</v>
      </c>
      <c r="G42" s="114" t="s">
        <v>1045</v>
      </c>
      <c r="H42" s="15"/>
    </row>
    <row r="43" spans="1:8" ht="27.75" x14ac:dyDescent="0.65">
      <c r="A43" s="294" t="s">
        <v>806</v>
      </c>
      <c r="B43" s="118" t="s">
        <v>1284</v>
      </c>
      <c r="C43" s="116">
        <f>IFERROR(VLOOKUP($A43,'งบทดลอง รพ.'!$A$2:$C$500,3,0),0)</f>
        <v>0</v>
      </c>
      <c r="D43" s="21"/>
      <c r="E43" s="72" t="s">
        <v>946</v>
      </c>
      <c r="F43" s="72" t="s">
        <v>941</v>
      </c>
      <c r="G43" s="114" t="s">
        <v>1045</v>
      </c>
      <c r="H43" s="15"/>
    </row>
    <row r="44" spans="1:8" ht="27.75" x14ac:dyDescent="0.65">
      <c r="A44" s="294" t="s">
        <v>807</v>
      </c>
      <c r="B44" s="118" t="s">
        <v>1285</v>
      </c>
      <c r="C44" s="116">
        <f>IFERROR(VLOOKUP($A44,'งบทดลอง รพ.'!$A$2:$C$500,3,0),0)</f>
        <v>0</v>
      </c>
      <c r="D44" s="21"/>
      <c r="E44" s="72" t="s">
        <v>946</v>
      </c>
      <c r="F44" s="72" t="s">
        <v>941</v>
      </c>
      <c r="G44" s="114" t="s">
        <v>1045</v>
      </c>
      <c r="H44" s="15"/>
    </row>
    <row r="45" spans="1:8" ht="27.75" x14ac:dyDescent="0.65">
      <c r="A45" s="294" t="s">
        <v>45</v>
      </c>
      <c r="B45" s="118" t="s">
        <v>1057</v>
      </c>
      <c r="C45" s="116">
        <f>IFERROR(VLOOKUP($A45,'งบทดลอง รพ.'!$A$2:$C$500,3,0),0)</f>
        <v>25000000</v>
      </c>
      <c r="D45" s="21"/>
      <c r="E45" s="72" t="s">
        <v>929</v>
      </c>
      <c r="F45" s="72" t="s">
        <v>0</v>
      </c>
      <c r="G45" s="114" t="s">
        <v>1045</v>
      </c>
      <c r="H45" s="15"/>
    </row>
    <row r="46" spans="1:8" ht="27.75" x14ac:dyDescent="0.65">
      <c r="A46" s="293" t="s">
        <v>46</v>
      </c>
      <c r="B46" s="117" t="s">
        <v>1058</v>
      </c>
      <c r="C46" s="116">
        <f>IFERROR(VLOOKUP($A46,'งบทดลอง รพ.'!$A$2:$C$500,3,0),0)</f>
        <v>10378000</v>
      </c>
      <c r="D46" s="21"/>
      <c r="E46" s="72" t="s">
        <v>931</v>
      </c>
      <c r="F46" s="72" t="s">
        <v>0</v>
      </c>
      <c r="G46" s="114" t="s">
        <v>1045</v>
      </c>
      <c r="H46" s="15"/>
    </row>
    <row r="47" spans="1:8" ht="27.75" x14ac:dyDescent="0.65">
      <c r="A47" s="293" t="s">
        <v>47</v>
      </c>
      <c r="B47" s="117" t="s">
        <v>1059</v>
      </c>
      <c r="C47" s="116">
        <f>IFERROR(VLOOKUP($A47,'งบทดลอง รพ.'!$A$2:$C$500,3,0),0)</f>
        <v>120000</v>
      </c>
      <c r="D47" s="21"/>
      <c r="E47" s="72" t="s">
        <v>929</v>
      </c>
      <c r="F47" s="72" t="s">
        <v>0</v>
      </c>
      <c r="G47" s="114" t="s">
        <v>1045</v>
      </c>
      <c r="H47" s="15"/>
    </row>
    <row r="48" spans="1:8" ht="27.75" x14ac:dyDescent="0.65">
      <c r="A48" s="293" t="s">
        <v>48</v>
      </c>
      <c r="B48" s="117" t="s">
        <v>1060</v>
      </c>
      <c r="C48" s="116">
        <f>IFERROR(VLOOKUP($A48,'งบทดลอง รพ.'!$A$2:$C$500,3,0),0)</f>
        <v>0</v>
      </c>
      <c r="D48" s="21"/>
      <c r="E48" s="72" t="s">
        <v>929</v>
      </c>
      <c r="F48" s="72" t="s">
        <v>0</v>
      </c>
      <c r="G48" s="114" t="s">
        <v>1045</v>
      </c>
      <c r="H48" s="15"/>
    </row>
    <row r="49" spans="1:8" ht="27.75" x14ac:dyDescent="0.65">
      <c r="A49" s="293" t="s">
        <v>49</v>
      </c>
      <c r="B49" s="117" t="s">
        <v>1061</v>
      </c>
      <c r="C49" s="116">
        <f>IFERROR(VLOOKUP($A49,'งบทดลอง รพ.'!$A$2:$C$500,3,0),0)</f>
        <v>0</v>
      </c>
      <c r="D49" s="21"/>
      <c r="E49" s="72" t="s">
        <v>929</v>
      </c>
      <c r="F49" s="72" t="s">
        <v>0</v>
      </c>
      <c r="G49" s="114" t="s">
        <v>1045</v>
      </c>
      <c r="H49" s="15"/>
    </row>
    <row r="50" spans="1:8" ht="27.75" x14ac:dyDescent="0.65">
      <c r="A50" s="293" t="s">
        <v>210</v>
      </c>
      <c r="B50" s="117" t="s">
        <v>211</v>
      </c>
      <c r="C50" s="116">
        <f>IFERROR(VLOOKUP($A50,'งบทดลอง รพ.'!$A$2:$C$500,3,0),0)</f>
        <v>3655786</v>
      </c>
      <c r="D50" s="21"/>
      <c r="E50" s="72" t="s">
        <v>978</v>
      </c>
      <c r="F50" s="72" t="s">
        <v>18</v>
      </c>
      <c r="G50" s="114" t="s">
        <v>1045</v>
      </c>
      <c r="H50" s="15"/>
    </row>
    <row r="51" spans="1:8" ht="27.75" x14ac:dyDescent="0.65">
      <c r="A51" s="294" t="s">
        <v>50</v>
      </c>
      <c r="B51" s="118" t="s">
        <v>1062</v>
      </c>
      <c r="C51" s="116">
        <f>IFERROR(VLOOKUP($A51,'งบทดลอง รพ.'!$A$2:$C$500,3,0),0)</f>
        <v>19808691.16</v>
      </c>
      <c r="D51" s="21"/>
      <c r="E51" s="72" t="s">
        <v>929</v>
      </c>
      <c r="F51" s="72" t="s">
        <v>0</v>
      </c>
      <c r="G51" s="114" t="s">
        <v>1045</v>
      </c>
      <c r="H51" s="15"/>
    </row>
    <row r="52" spans="1:8" ht="27.75" x14ac:dyDescent="0.65">
      <c r="A52" s="293" t="s">
        <v>51</v>
      </c>
      <c r="B52" s="117" t="s">
        <v>1063</v>
      </c>
      <c r="C52" s="116">
        <f>IFERROR(VLOOKUP($A52,'งบทดลอง รพ.'!$A$2:$C$500,3,0),0)</f>
        <v>0</v>
      </c>
      <c r="D52" s="21"/>
      <c r="E52" s="72" t="s">
        <v>934</v>
      </c>
      <c r="F52" s="72" t="s">
        <v>0</v>
      </c>
      <c r="G52" s="114" t="s">
        <v>1045</v>
      </c>
      <c r="H52" s="15"/>
    </row>
    <row r="53" spans="1:8" ht="27.75" x14ac:dyDescent="0.65">
      <c r="A53" s="293" t="s">
        <v>52</v>
      </c>
      <c r="B53" s="117" t="s">
        <v>1064</v>
      </c>
      <c r="C53" s="116">
        <f>IFERROR(VLOOKUP($A53,'งบทดลอง รพ.'!$A$2:$C$500,3,0),0)</f>
        <v>7449021.6299999999</v>
      </c>
      <c r="D53" s="21"/>
      <c r="E53" s="72" t="s">
        <v>929</v>
      </c>
      <c r="F53" s="72" t="s">
        <v>0</v>
      </c>
      <c r="G53" s="114" t="s">
        <v>1045</v>
      </c>
      <c r="H53" s="15"/>
    </row>
    <row r="54" spans="1:8" ht="27.75" x14ac:dyDescent="0.65">
      <c r="A54" s="293" t="s">
        <v>53</v>
      </c>
      <c r="B54" s="117" t="s">
        <v>54</v>
      </c>
      <c r="C54" s="116">
        <f>IFERROR(VLOOKUP($A54,'งบทดลอง รพ.'!$A$2:$C$500,3,0),0)</f>
        <v>1000000</v>
      </c>
      <c r="D54" s="21"/>
      <c r="E54" s="72" t="s">
        <v>934</v>
      </c>
      <c r="F54" s="72" t="s">
        <v>0</v>
      </c>
      <c r="G54" s="114" t="s">
        <v>1045</v>
      </c>
      <c r="H54" s="15"/>
    </row>
    <row r="55" spans="1:8" ht="27.75" x14ac:dyDescent="0.65">
      <c r="A55" s="293" t="s">
        <v>55</v>
      </c>
      <c r="B55" s="117" t="s">
        <v>1065</v>
      </c>
      <c r="C55" s="116">
        <f>IFERROR(VLOOKUP($A55,'งบทดลอง รพ.'!$A$2:$C$500,3,0),0)</f>
        <v>0</v>
      </c>
      <c r="D55" s="21"/>
      <c r="E55" s="72" t="s">
        <v>934</v>
      </c>
      <c r="F55" s="72" t="s">
        <v>0</v>
      </c>
      <c r="G55" s="114" t="s">
        <v>1045</v>
      </c>
      <c r="H55" s="15"/>
    </row>
    <row r="56" spans="1:8" ht="27.75" x14ac:dyDescent="0.65">
      <c r="A56" s="293" t="s">
        <v>56</v>
      </c>
      <c r="B56" s="117" t="s">
        <v>57</v>
      </c>
      <c r="C56" s="116">
        <f>IFERROR(VLOOKUP($A56,'งบทดลอง รพ.'!$A$2:$C$500,3,0),0)</f>
        <v>504008.61</v>
      </c>
      <c r="D56" s="21"/>
      <c r="E56" s="72" t="s">
        <v>934</v>
      </c>
      <c r="F56" s="72" t="s">
        <v>0</v>
      </c>
      <c r="G56" s="114" t="s">
        <v>1045</v>
      </c>
      <c r="H56" s="15"/>
    </row>
    <row r="57" spans="1:8" ht="27.75" x14ac:dyDescent="0.65">
      <c r="A57" s="293" t="s">
        <v>58</v>
      </c>
      <c r="B57" s="117" t="s">
        <v>1066</v>
      </c>
      <c r="C57" s="116">
        <f>IFERROR(VLOOKUP($A57,'งบทดลอง รพ.'!$A$2:$C$500,3,0),0)</f>
        <v>0</v>
      </c>
      <c r="D57" s="21"/>
      <c r="E57" s="72" t="s">
        <v>933</v>
      </c>
      <c r="F57" s="72" t="s">
        <v>0</v>
      </c>
      <c r="G57" s="114" t="s">
        <v>1045</v>
      </c>
      <c r="H57" s="15"/>
    </row>
    <row r="58" spans="1:8" ht="27.75" x14ac:dyDescent="0.65">
      <c r="A58" s="293" t="s">
        <v>59</v>
      </c>
      <c r="B58" s="117" t="s">
        <v>1067</v>
      </c>
      <c r="C58" s="116">
        <f>IFERROR(VLOOKUP($A58,'งบทดลอง รพ.'!$A$2:$C$500,3,0),0)</f>
        <v>-282174.12</v>
      </c>
      <c r="D58" s="21"/>
      <c r="E58" s="72" t="s">
        <v>933</v>
      </c>
      <c r="F58" s="72" t="s">
        <v>0</v>
      </c>
      <c r="G58" s="114" t="s">
        <v>1045</v>
      </c>
      <c r="H58" s="15"/>
    </row>
    <row r="59" spans="1:8" ht="27.75" x14ac:dyDescent="0.65">
      <c r="A59" s="293" t="s">
        <v>60</v>
      </c>
      <c r="B59" s="117" t="s">
        <v>1068</v>
      </c>
      <c r="C59" s="116">
        <f>IFERROR(VLOOKUP($A59,'งบทดลอง รพ.'!$A$2:$C$500,3,0),0)</f>
        <v>1363220.11</v>
      </c>
      <c r="D59" s="21"/>
      <c r="E59" s="72" t="s">
        <v>933</v>
      </c>
      <c r="F59" s="72" t="s">
        <v>0</v>
      </c>
      <c r="G59" s="114" t="s">
        <v>1045</v>
      </c>
      <c r="H59" s="15"/>
    </row>
    <row r="60" spans="1:8" ht="27.75" x14ac:dyDescent="0.65">
      <c r="A60" s="293" t="s">
        <v>61</v>
      </c>
      <c r="B60" s="117" t="s">
        <v>1069</v>
      </c>
      <c r="C60" s="116">
        <f>IFERROR(VLOOKUP($A60,'งบทดลอง รพ.'!$A$2:$C$500,3,0),0)</f>
        <v>-37844</v>
      </c>
      <c r="D60" s="21"/>
      <c r="E60" s="72" t="s">
        <v>933</v>
      </c>
      <c r="F60" s="72" t="s">
        <v>0</v>
      </c>
      <c r="G60" s="114" t="s">
        <v>1045</v>
      </c>
      <c r="H60" s="15"/>
    </row>
    <row r="61" spans="1:8" ht="27.75" x14ac:dyDescent="0.65">
      <c r="A61" s="295" t="s">
        <v>62</v>
      </c>
      <c r="B61" s="117" t="s">
        <v>1070</v>
      </c>
      <c r="C61" s="116">
        <f>IFERROR(VLOOKUP($A61,'งบทดลอง รพ.'!$A$2:$C$500,3,0),0)</f>
        <v>363082.67</v>
      </c>
      <c r="D61" s="21"/>
      <c r="E61" s="72" t="s">
        <v>933</v>
      </c>
      <c r="F61" s="72" t="s">
        <v>0</v>
      </c>
      <c r="G61" s="114" t="s">
        <v>1045</v>
      </c>
      <c r="H61" s="15"/>
    </row>
    <row r="62" spans="1:8" ht="27.75" x14ac:dyDescent="0.65">
      <c r="A62" s="293" t="s">
        <v>63</v>
      </c>
      <c r="B62" s="117" t="s">
        <v>1071</v>
      </c>
      <c r="C62" s="116">
        <f>IFERROR(VLOOKUP($A62,'งบทดลอง รพ.'!$A$2:$C$500,3,0),0)</f>
        <v>94036</v>
      </c>
      <c r="D62" s="21"/>
      <c r="E62" s="72" t="s">
        <v>929</v>
      </c>
      <c r="F62" s="72" t="s">
        <v>0</v>
      </c>
      <c r="G62" s="114" t="s">
        <v>1045</v>
      </c>
      <c r="H62" s="15"/>
    </row>
    <row r="63" spans="1:8" ht="27.75" x14ac:dyDescent="0.65">
      <c r="A63" s="293" t="s">
        <v>64</v>
      </c>
      <c r="B63" s="117" t="s">
        <v>65</v>
      </c>
      <c r="C63" s="116">
        <f>IFERROR(VLOOKUP($A63,'งบทดลอง รพ.'!$A$2:$C$500,3,0),0)</f>
        <v>0</v>
      </c>
      <c r="D63" s="21"/>
      <c r="E63" s="72" t="s">
        <v>934</v>
      </c>
      <c r="F63" s="72" t="s">
        <v>0</v>
      </c>
      <c r="G63" s="114" t="s">
        <v>1045</v>
      </c>
      <c r="H63" s="15"/>
    </row>
    <row r="64" spans="1:8" ht="27.75" x14ac:dyDescent="0.65">
      <c r="A64" s="293" t="s">
        <v>66</v>
      </c>
      <c r="B64" s="117" t="s">
        <v>67</v>
      </c>
      <c r="C64" s="116">
        <f>IFERROR(VLOOKUP($A64,'งบทดลอง รพ.'!$A$2:$C$500,3,0),0)</f>
        <v>0</v>
      </c>
      <c r="D64" s="21"/>
      <c r="E64" s="72" t="s">
        <v>934</v>
      </c>
      <c r="F64" s="72" t="s">
        <v>0</v>
      </c>
      <c r="G64" s="114" t="s">
        <v>1045</v>
      </c>
      <c r="H64" s="15"/>
    </row>
    <row r="65" spans="1:8" ht="27.75" x14ac:dyDescent="0.65">
      <c r="A65" s="293" t="s">
        <v>68</v>
      </c>
      <c r="B65" s="117" t="s">
        <v>1286</v>
      </c>
      <c r="C65" s="116">
        <f>IFERROR(VLOOKUP($A65,'งบทดลอง รพ.'!$A$2:$C$500,3,0),0)</f>
        <v>565330</v>
      </c>
      <c r="D65" s="21"/>
      <c r="E65" s="72" t="s">
        <v>929</v>
      </c>
      <c r="F65" s="72" t="s">
        <v>0</v>
      </c>
      <c r="G65" s="114" t="s">
        <v>1045</v>
      </c>
      <c r="H65" s="15"/>
    </row>
    <row r="66" spans="1:8" ht="27.75" x14ac:dyDescent="0.65">
      <c r="A66" s="293" t="s">
        <v>69</v>
      </c>
      <c r="B66" s="117" t="s">
        <v>1287</v>
      </c>
      <c r="C66" s="116">
        <f>IFERROR(VLOOKUP($A66,'งบทดลอง รพ.'!$A$2:$C$500,3,0),0)</f>
        <v>650000</v>
      </c>
      <c r="D66" s="21"/>
      <c r="E66" s="72" t="s">
        <v>931</v>
      </c>
      <c r="F66" s="72" t="s">
        <v>0</v>
      </c>
      <c r="G66" s="114" t="s">
        <v>1045</v>
      </c>
      <c r="H66" s="15"/>
    </row>
    <row r="67" spans="1:8" ht="27.75" x14ac:dyDescent="0.65">
      <c r="A67" s="293" t="s">
        <v>70</v>
      </c>
      <c r="B67" s="117" t="s">
        <v>1072</v>
      </c>
      <c r="C67" s="116">
        <f>IFERROR(VLOOKUP($A67,'งบทดลอง รพ.'!$A$2:$C$500,3,0),0)</f>
        <v>-10000</v>
      </c>
      <c r="D67" s="21"/>
      <c r="E67" s="72" t="s">
        <v>933</v>
      </c>
      <c r="F67" s="72" t="s">
        <v>0</v>
      </c>
      <c r="G67" s="114" t="s">
        <v>1045</v>
      </c>
      <c r="H67" s="15"/>
    </row>
    <row r="68" spans="1:8" ht="27.75" x14ac:dyDescent="0.65">
      <c r="A68" s="293" t="s">
        <v>71</v>
      </c>
      <c r="B68" s="117" t="s">
        <v>1073</v>
      </c>
      <c r="C68" s="116">
        <f>IFERROR(VLOOKUP($A68,'งบทดลอง รพ.'!$A$2:$C$500,3,0),0)</f>
        <v>8700</v>
      </c>
      <c r="D68" s="21"/>
      <c r="E68" s="72" t="s">
        <v>933</v>
      </c>
      <c r="F68" s="72" t="s">
        <v>0</v>
      </c>
      <c r="G68" s="114" t="s">
        <v>1045</v>
      </c>
      <c r="H68" s="15"/>
    </row>
    <row r="69" spans="1:8" ht="27.75" x14ac:dyDescent="0.65">
      <c r="A69" s="293" t="s">
        <v>808</v>
      </c>
      <c r="B69" s="117" t="s">
        <v>809</v>
      </c>
      <c r="C69" s="116">
        <f>IFERROR(VLOOKUP($A69,'งบทดลอง รพ.'!$A$2:$C$500,3,0),0)</f>
        <v>0</v>
      </c>
      <c r="D69" s="21"/>
      <c r="E69" s="72" t="s">
        <v>934</v>
      </c>
      <c r="F69" s="72" t="s">
        <v>0</v>
      </c>
      <c r="G69" s="114" t="s">
        <v>1045</v>
      </c>
      <c r="H69" s="15"/>
    </row>
    <row r="70" spans="1:8" ht="27.75" x14ac:dyDescent="0.65">
      <c r="A70" s="293" t="s">
        <v>810</v>
      </c>
      <c r="B70" s="117" t="s">
        <v>811</v>
      </c>
      <c r="C70" s="116">
        <f>IFERROR(VLOOKUP($A70,'งบทดลอง รพ.'!$A$2:$C$500,3,0),0)</f>
        <v>0</v>
      </c>
      <c r="D70" s="21"/>
      <c r="E70" s="72" t="s">
        <v>934</v>
      </c>
      <c r="F70" s="72" t="s">
        <v>0</v>
      </c>
      <c r="G70" s="114" t="s">
        <v>1045</v>
      </c>
      <c r="H70" s="15"/>
    </row>
    <row r="71" spans="1:8" ht="27.75" x14ac:dyDescent="0.65">
      <c r="A71" s="293" t="s">
        <v>812</v>
      </c>
      <c r="B71" s="117" t="s">
        <v>813</v>
      </c>
      <c r="C71" s="116">
        <f>IFERROR(VLOOKUP($A71,'งบทดลอง รพ.'!$A$2:$C$500,3,0),0)</f>
        <v>0</v>
      </c>
      <c r="D71" s="21"/>
      <c r="E71" s="72" t="s">
        <v>933</v>
      </c>
      <c r="F71" s="72" t="s">
        <v>0</v>
      </c>
      <c r="G71" s="114" t="s">
        <v>1045</v>
      </c>
      <c r="H71" s="15"/>
    </row>
    <row r="72" spans="1:8" ht="27.75" x14ac:dyDescent="0.65">
      <c r="A72" s="293" t="s">
        <v>814</v>
      </c>
      <c r="B72" s="117" t="s">
        <v>815</v>
      </c>
      <c r="C72" s="116">
        <f>IFERROR(VLOOKUP($A72,'งบทดลอง รพ.'!$A$2:$C$500,3,0),0)</f>
        <v>0</v>
      </c>
      <c r="D72" s="21"/>
      <c r="E72" s="72" t="s">
        <v>933</v>
      </c>
      <c r="F72" s="72" t="s">
        <v>0</v>
      </c>
      <c r="G72" s="114" t="s">
        <v>1045</v>
      </c>
      <c r="H72" s="15"/>
    </row>
    <row r="73" spans="1:8" ht="27.75" x14ac:dyDescent="0.65">
      <c r="A73" s="293" t="s">
        <v>787</v>
      </c>
      <c r="B73" s="117" t="s">
        <v>1074</v>
      </c>
      <c r="C73" s="116">
        <f>IFERROR(VLOOKUP($A73,'งบทดลอง รพ.'!$A$2:$C$500,3,0),0)</f>
        <v>0</v>
      </c>
      <c r="D73" s="21"/>
      <c r="E73" s="72" t="s">
        <v>933</v>
      </c>
      <c r="F73" s="72" t="s">
        <v>0</v>
      </c>
      <c r="G73" s="114" t="s">
        <v>1045</v>
      </c>
      <c r="H73" s="15"/>
    </row>
    <row r="74" spans="1:8" ht="27.75" x14ac:dyDescent="0.65">
      <c r="A74" s="293" t="s">
        <v>788</v>
      </c>
      <c r="B74" s="117" t="s">
        <v>789</v>
      </c>
      <c r="C74" s="116">
        <f>IFERROR(VLOOKUP($A74,'งบทดลอง รพ.'!$A$2:$C$500,3,0),0)</f>
        <v>0</v>
      </c>
      <c r="D74" s="21"/>
      <c r="E74" s="72" t="s">
        <v>929</v>
      </c>
      <c r="F74" s="72" t="s">
        <v>0</v>
      </c>
      <c r="G74" s="114" t="s">
        <v>1045</v>
      </c>
      <c r="H74" s="15"/>
    </row>
    <row r="75" spans="1:8" ht="27.75" x14ac:dyDescent="0.65">
      <c r="A75" s="293" t="s">
        <v>790</v>
      </c>
      <c r="B75" s="117" t="s">
        <v>791</v>
      </c>
      <c r="C75" s="116">
        <f>IFERROR(VLOOKUP($A75,'งบทดลอง รพ.'!$A$2:$C$500,3,0),0)</f>
        <v>-16176808.789999999</v>
      </c>
      <c r="D75" s="21"/>
      <c r="E75" s="72" t="s">
        <v>933</v>
      </c>
      <c r="F75" s="72" t="s">
        <v>0</v>
      </c>
      <c r="G75" s="114" t="s">
        <v>1045</v>
      </c>
      <c r="H75" s="15"/>
    </row>
    <row r="76" spans="1:8" ht="27.75" x14ac:dyDescent="0.65">
      <c r="A76" s="293" t="s">
        <v>792</v>
      </c>
      <c r="B76" s="117" t="s">
        <v>793</v>
      </c>
      <c r="C76" s="116">
        <f>IFERROR(VLOOKUP($A76,'งบทดลอง รพ.'!$A$2:$C$500,3,0),0)</f>
        <v>-4138077</v>
      </c>
      <c r="D76" s="21"/>
      <c r="E76" s="72" t="s">
        <v>933</v>
      </c>
      <c r="F76" s="72" t="s">
        <v>0</v>
      </c>
      <c r="G76" s="114" t="s">
        <v>1045</v>
      </c>
      <c r="H76" s="15"/>
    </row>
    <row r="77" spans="1:8" ht="27.75" x14ac:dyDescent="0.65">
      <c r="A77" s="293" t="s">
        <v>794</v>
      </c>
      <c r="B77" s="117" t="s">
        <v>795</v>
      </c>
      <c r="C77" s="116">
        <f>IFERROR(VLOOKUP($A77,'งบทดลอง รพ.'!$A$2:$C$500,3,0),0)</f>
        <v>-3397281.02</v>
      </c>
      <c r="D77" s="21"/>
      <c r="E77" s="72" t="s">
        <v>933</v>
      </c>
      <c r="F77" s="72" t="s">
        <v>0</v>
      </c>
      <c r="G77" s="114" t="s">
        <v>1045</v>
      </c>
      <c r="H77" s="15"/>
    </row>
    <row r="78" spans="1:8" ht="27.75" x14ac:dyDescent="0.65">
      <c r="A78" s="293" t="s">
        <v>87</v>
      </c>
      <c r="B78" s="117" t="s">
        <v>88</v>
      </c>
      <c r="C78" s="116">
        <f>IFERROR(VLOOKUP($A78,'งบทดลอง รพ.'!$A$2:$C$500,3,0),0)</f>
        <v>0</v>
      </c>
      <c r="D78" s="21"/>
      <c r="E78" s="72" t="s">
        <v>959</v>
      </c>
      <c r="F78" s="72" t="s">
        <v>8</v>
      </c>
      <c r="G78" s="114" t="s">
        <v>1045</v>
      </c>
      <c r="H78" s="15"/>
    </row>
    <row r="79" spans="1:8" ht="27.75" x14ac:dyDescent="0.65">
      <c r="A79" s="293" t="s">
        <v>89</v>
      </c>
      <c r="B79" s="117" t="s">
        <v>1075</v>
      </c>
      <c r="C79" s="116">
        <f>IFERROR(VLOOKUP($A79,'งบทดลอง รพ.'!$A$2:$C$500,3,0),0)</f>
        <v>750000</v>
      </c>
      <c r="D79" s="21"/>
      <c r="E79" s="72" t="s">
        <v>955</v>
      </c>
      <c r="F79" s="72" t="s">
        <v>8</v>
      </c>
      <c r="G79" s="114" t="s">
        <v>1045</v>
      </c>
      <c r="H79" s="15"/>
    </row>
    <row r="80" spans="1:8" ht="27.75" x14ac:dyDescent="0.65">
      <c r="A80" s="293" t="s">
        <v>90</v>
      </c>
      <c r="B80" s="117" t="s">
        <v>1076</v>
      </c>
      <c r="C80" s="116">
        <f>IFERROR(VLOOKUP($A80,'งบทดลอง รพ.'!$A$2:$C$500,3,0),0)</f>
        <v>368810</v>
      </c>
      <c r="D80" s="21"/>
      <c r="E80" s="72" t="s">
        <v>957</v>
      </c>
      <c r="F80" s="72" t="s">
        <v>8</v>
      </c>
      <c r="G80" s="114" t="s">
        <v>1045</v>
      </c>
      <c r="H80" s="15"/>
    </row>
    <row r="81" spans="1:8" ht="27.75" x14ac:dyDescent="0.65">
      <c r="A81" s="293" t="s">
        <v>91</v>
      </c>
      <c r="B81" s="117" t="s">
        <v>1077</v>
      </c>
      <c r="C81" s="116">
        <f>IFERROR(VLOOKUP($A81,'งบทดลอง รพ.'!$A$2:$C$500,3,0),0)</f>
        <v>59554</v>
      </c>
      <c r="D81" s="21"/>
      <c r="E81" s="72" t="s">
        <v>955</v>
      </c>
      <c r="F81" s="72" t="s">
        <v>8</v>
      </c>
      <c r="G81" s="114" t="s">
        <v>1045</v>
      </c>
      <c r="H81" s="15"/>
    </row>
    <row r="82" spans="1:8" ht="27.75" x14ac:dyDescent="0.65">
      <c r="A82" s="293" t="s">
        <v>92</v>
      </c>
      <c r="B82" s="117" t="s">
        <v>1078</v>
      </c>
      <c r="C82" s="116">
        <f>IFERROR(VLOOKUP($A82,'งบทดลอง รพ.'!$A$2:$C$500,3,0),0)</f>
        <v>25286</v>
      </c>
      <c r="D82" s="21"/>
      <c r="E82" s="72" t="s">
        <v>957</v>
      </c>
      <c r="F82" s="72" t="s">
        <v>8</v>
      </c>
      <c r="G82" s="114" t="s">
        <v>1045</v>
      </c>
      <c r="H82" s="15"/>
    </row>
    <row r="83" spans="1:8" ht="27.75" x14ac:dyDescent="0.65">
      <c r="A83" s="293" t="s">
        <v>93</v>
      </c>
      <c r="B83" s="117" t="s">
        <v>94</v>
      </c>
      <c r="C83" s="116">
        <f>IFERROR(VLOOKUP($A83,'งบทดลอง รพ.'!$A$2:$C$500,3,0),0)</f>
        <v>182850</v>
      </c>
      <c r="D83" s="21"/>
      <c r="E83" s="72" t="s">
        <v>959</v>
      </c>
      <c r="F83" s="72" t="s">
        <v>8</v>
      </c>
      <c r="G83" s="114" t="s">
        <v>1045</v>
      </c>
      <c r="H83" s="15"/>
    </row>
    <row r="84" spans="1:8" ht="27.75" x14ac:dyDescent="0.65">
      <c r="A84" s="293" t="s">
        <v>95</v>
      </c>
      <c r="B84" s="117" t="s">
        <v>96</v>
      </c>
      <c r="C84" s="116">
        <f>IFERROR(VLOOKUP($A84,'งบทดลอง รพ.'!$A$2:$C$500,3,0),0)</f>
        <v>0</v>
      </c>
      <c r="D84" s="21"/>
      <c r="E84" s="72" t="s">
        <v>957</v>
      </c>
      <c r="F84" s="72" t="s">
        <v>8</v>
      </c>
      <c r="G84" s="114" t="s">
        <v>1045</v>
      </c>
      <c r="H84" s="15"/>
    </row>
    <row r="85" spans="1:8" ht="27.75" x14ac:dyDescent="0.65">
      <c r="A85" s="293" t="s">
        <v>97</v>
      </c>
      <c r="B85" s="117" t="s">
        <v>1079</v>
      </c>
      <c r="C85" s="116">
        <f>IFERROR(VLOOKUP($A85,'งบทดลอง รพ.'!$A$2:$C$500,3,0),0)</f>
        <v>40600</v>
      </c>
      <c r="D85" s="21"/>
      <c r="E85" s="72" t="s">
        <v>955</v>
      </c>
      <c r="F85" s="72" t="s">
        <v>8</v>
      </c>
      <c r="G85" s="114" t="s">
        <v>1045</v>
      </c>
      <c r="H85" s="15"/>
    </row>
    <row r="86" spans="1:8" ht="27.75" x14ac:dyDescent="0.65">
      <c r="A86" s="293" t="s">
        <v>98</v>
      </c>
      <c r="B86" s="117" t="s">
        <v>1080</v>
      </c>
      <c r="C86" s="116">
        <f>IFERROR(VLOOKUP($A86,'งบทดลอง รพ.'!$A$2:$C$500,3,0),0)</f>
        <v>104050</v>
      </c>
      <c r="D86" s="21"/>
      <c r="E86" s="72" t="s">
        <v>957</v>
      </c>
      <c r="F86" s="72" t="s">
        <v>8</v>
      </c>
      <c r="G86" s="114" t="s">
        <v>1045</v>
      </c>
      <c r="H86" s="15"/>
    </row>
    <row r="87" spans="1:8" ht="27.75" x14ac:dyDescent="0.65">
      <c r="A87" s="293" t="s">
        <v>99</v>
      </c>
      <c r="B87" s="117" t="s">
        <v>1081</v>
      </c>
      <c r="C87" s="116">
        <f>IFERROR(VLOOKUP($A87,'งบทดลอง รพ.'!$A$2:$C$500,3,0),0)</f>
        <v>-40450</v>
      </c>
      <c r="D87" s="21"/>
      <c r="E87" s="72" t="s">
        <v>954</v>
      </c>
      <c r="F87" s="72" t="s">
        <v>8</v>
      </c>
      <c r="G87" s="114" t="s">
        <v>1045</v>
      </c>
      <c r="H87" s="15"/>
    </row>
    <row r="88" spans="1:8" ht="27.75" x14ac:dyDescent="0.65">
      <c r="A88" s="293" t="s">
        <v>100</v>
      </c>
      <c r="B88" s="117" t="s">
        <v>1082</v>
      </c>
      <c r="C88" s="116">
        <f>IFERROR(VLOOKUP($A88,'งบทดลอง รพ.'!$A$2:$C$500,3,0),0)</f>
        <v>0</v>
      </c>
      <c r="D88" s="21"/>
      <c r="E88" s="72" t="s">
        <v>954</v>
      </c>
      <c r="F88" s="72" t="s">
        <v>8</v>
      </c>
      <c r="G88" s="114" t="s">
        <v>1045</v>
      </c>
      <c r="H88" s="15"/>
    </row>
    <row r="89" spans="1:8" ht="27.75" x14ac:dyDescent="0.65">
      <c r="A89" s="293" t="s">
        <v>101</v>
      </c>
      <c r="B89" s="117" t="s">
        <v>1083</v>
      </c>
      <c r="C89" s="116">
        <f>IFERROR(VLOOKUP($A89,'งบทดลอง รพ.'!$A$2:$C$500,3,0),0)</f>
        <v>0</v>
      </c>
      <c r="D89" s="21"/>
      <c r="E89" s="72" t="s">
        <v>954</v>
      </c>
      <c r="F89" s="72" t="s">
        <v>8</v>
      </c>
      <c r="G89" s="114" t="s">
        <v>1045</v>
      </c>
      <c r="H89" s="15"/>
    </row>
    <row r="90" spans="1:8" ht="27.75" x14ac:dyDescent="0.65">
      <c r="A90" s="293" t="s">
        <v>102</v>
      </c>
      <c r="B90" s="117" t="s">
        <v>1084</v>
      </c>
      <c r="C90" s="116">
        <f>IFERROR(VLOOKUP($A90,'งบทดลอง รพ.'!$A$2:$C$500,3,0),0)</f>
        <v>0</v>
      </c>
      <c r="D90" s="21"/>
      <c r="E90" s="72" t="s">
        <v>954</v>
      </c>
      <c r="F90" s="72" t="s">
        <v>8</v>
      </c>
      <c r="G90" s="114" t="s">
        <v>1045</v>
      </c>
      <c r="H90" s="15"/>
    </row>
    <row r="91" spans="1:8" ht="27.75" x14ac:dyDescent="0.65">
      <c r="A91" s="293" t="s">
        <v>816</v>
      </c>
      <c r="B91" s="117" t="s">
        <v>103</v>
      </c>
      <c r="C91" s="116">
        <f>IFERROR(VLOOKUP($A91,'งบทดลอง รพ.'!$A$2:$C$500,3,0),0)</f>
        <v>0</v>
      </c>
      <c r="D91" s="21"/>
      <c r="E91" s="72" t="s">
        <v>959</v>
      </c>
      <c r="F91" s="72" t="s">
        <v>8</v>
      </c>
      <c r="G91" s="114" t="s">
        <v>1045</v>
      </c>
      <c r="H91" s="15"/>
    </row>
    <row r="92" spans="1:8" ht="27.75" x14ac:dyDescent="0.65">
      <c r="A92" s="293" t="s">
        <v>817</v>
      </c>
      <c r="B92" s="117" t="s">
        <v>104</v>
      </c>
      <c r="C92" s="116">
        <f>IFERROR(VLOOKUP($A92,'งบทดลอง รพ.'!$A$2:$C$500,3,0),0)</f>
        <v>0</v>
      </c>
      <c r="D92" s="21"/>
      <c r="E92" s="72" t="s">
        <v>959</v>
      </c>
      <c r="F92" s="72" t="s">
        <v>8</v>
      </c>
      <c r="G92" s="114" t="s">
        <v>1045</v>
      </c>
      <c r="H92" s="15"/>
    </row>
    <row r="93" spans="1:8" ht="27.75" x14ac:dyDescent="0.65">
      <c r="A93" s="293" t="s">
        <v>1371</v>
      </c>
      <c r="B93" s="117" t="s">
        <v>1372</v>
      </c>
      <c r="C93" s="116">
        <f>IFERROR(VLOOKUP($A93,'งบทดลอง รพ.'!$A$2:$C$500,3,0),0)</f>
        <v>0</v>
      </c>
      <c r="D93" s="21"/>
      <c r="E93" s="72" t="s">
        <v>961</v>
      </c>
      <c r="F93" s="72" t="s">
        <v>10</v>
      </c>
      <c r="G93" s="114"/>
      <c r="H93" s="15"/>
    </row>
    <row r="94" spans="1:8" ht="27.75" x14ac:dyDescent="0.65">
      <c r="A94" s="293" t="s">
        <v>105</v>
      </c>
      <c r="B94" s="117" t="s">
        <v>1085</v>
      </c>
      <c r="C94" s="116">
        <f>IFERROR(VLOOKUP($A94,'งบทดลอง รพ.'!$A$2:$C$500,3,0),0)</f>
        <v>572727.27272727271</v>
      </c>
      <c r="D94" s="21"/>
      <c r="E94" s="72" t="s">
        <v>962</v>
      </c>
      <c r="F94" s="72" t="s">
        <v>10</v>
      </c>
      <c r="G94" s="114" t="s">
        <v>1045</v>
      </c>
      <c r="H94" s="15"/>
    </row>
    <row r="95" spans="1:8" ht="27.75" x14ac:dyDescent="0.65">
      <c r="A95" s="293" t="s">
        <v>106</v>
      </c>
      <c r="B95" s="117" t="s">
        <v>1086</v>
      </c>
      <c r="C95" s="116">
        <f>IFERROR(VLOOKUP($A95,'งบทดลอง รพ.'!$A$2:$C$500,3,0),0)</f>
        <v>178402.95748613676</v>
      </c>
      <c r="D95" s="21"/>
      <c r="E95" s="72" t="s">
        <v>964</v>
      </c>
      <c r="F95" s="72" t="s">
        <v>10</v>
      </c>
      <c r="G95" s="114" t="s">
        <v>1045</v>
      </c>
      <c r="H95" s="15"/>
    </row>
    <row r="96" spans="1:8" ht="27.75" x14ac:dyDescent="0.65">
      <c r="A96" s="293" t="s">
        <v>107</v>
      </c>
      <c r="B96" s="117" t="s">
        <v>1087</v>
      </c>
      <c r="C96" s="116">
        <f>IFERROR(VLOOKUP($A96,'งบทดลอง รพ.'!$A$2:$C$500,3,0),0)</f>
        <v>0</v>
      </c>
      <c r="D96" s="21"/>
      <c r="E96" s="72" t="s">
        <v>961</v>
      </c>
      <c r="F96" s="72" t="s">
        <v>10</v>
      </c>
      <c r="G96" s="114" t="s">
        <v>1045</v>
      </c>
      <c r="H96" s="15"/>
    </row>
    <row r="97" spans="1:8" ht="27.75" x14ac:dyDescent="0.65">
      <c r="A97" s="293" t="s">
        <v>108</v>
      </c>
      <c r="B97" s="117" t="s">
        <v>1088</v>
      </c>
      <c r="C97" s="116">
        <f>IFERROR(VLOOKUP($A97,'งบทดลอง รพ.'!$A$2:$C$500,3,0),0)</f>
        <v>0</v>
      </c>
      <c r="D97" s="21"/>
      <c r="E97" s="72" t="s">
        <v>961</v>
      </c>
      <c r="F97" s="72" t="s">
        <v>10</v>
      </c>
      <c r="G97" s="114" t="s">
        <v>1045</v>
      </c>
      <c r="H97" s="15"/>
    </row>
    <row r="98" spans="1:8" ht="27.75" x14ac:dyDescent="0.65">
      <c r="A98" s="293" t="s">
        <v>109</v>
      </c>
      <c r="B98" s="117" t="s">
        <v>1089</v>
      </c>
      <c r="C98" s="116">
        <f>IFERROR(VLOOKUP($A98,'งบทดลอง รพ.'!$A$2:$C$500,3,0),0)</f>
        <v>0</v>
      </c>
      <c r="D98" s="21"/>
      <c r="E98" s="72" t="s">
        <v>962</v>
      </c>
      <c r="F98" s="72" t="s">
        <v>10</v>
      </c>
      <c r="G98" s="114" t="s">
        <v>1045</v>
      </c>
      <c r="H98" s="15"/>
    </row>
    <row r="99" spans="1:8" ht="27.75" x14ac:dyDescent="0.65">
      <c r="A99" s="293" t="s">
        <v>110</v>
      </c>
      <c r="B99" s="117" t="s">
        <v>1090</v>
      </c>
      <c r="C99" s="116">
        <f>IFERROR(VLOOKUP($A99,'งบทดลอง รพ.'!$A$2:$C$500,3,0),0)</f>
        <v>0</v>
      </c>
      <c r="D99" s="21"/>
      <c r="E99" s="72" t="s">
        <v>961</v>
      </c>
      <c r="F99" s="72" t="s">
        <v>10</v>
      </c>
      <c r="G99" s="114" t="s">
        <v>1045</v>
      </c>
      <c r="H99" s="15"/>
    </row>
    <row r="100" spans="1:8" ht="27.75" x14ac:dyDescent="0.65">
      <c r="A100" s="293" t="s">
        <v>111</v>
      </c>
      <c r="B100" s="117" t="s">
        <v>1091</v>
      </c>
      <c r="C100" s="116">
        <f>IFERROR(VLOOKUP($A100,'งบทดลอง รพ.'!$A$2:$C$500,3,0),0)</f>
        <v>0</v>
      </c>
      <c r="D100" s="21"/>
      <c r="E100" s="72" t="s">
        <v>961</v>
      </c>
      <c r="F100" s="72" t="s">
        <v>10</v>
      </c>
      <c r="G100" s="114" t="s">
        <v>1045</v>
      </c>
      <c r="H100" s="15"/>
    </row>
    <row r="101" spans="1:8" ht="27.75" x14ac:dyDescent="0.65">
      <c r="A101" s="293" t="s">
        <v>818</v>
      </c>
      <c r="B101" s="117" t="s">
        <v>819</v>
      </c>
      <c r="C101" s="116">
        <f>IFERROR(VLOOKUP($A101,'งบทดลอง รพ.'!$A$2:$C$500,3,0),0)</f>
        <v>0</v>
      </c>
      <c r="D101" s="21"/>
      <c r="E101" s="72" t="s">
        <v>962</v>
      </c>
      <c r="F101" s="72" t="s">
        <v>10</v>
      </c>
      <c r="G101" s="114" t="s">
        <v>1045</v>
      </c>
      <c r="H101" s="15"/>
    </row>
    <row r="102" spans="1:8" ht="27.75" x14ac:dyDescent="0.65">
      <c r="A102" s="293" t="s">
        <v>820</v>
      </c>
      <c r="B102" s="117" t="s">
        <v>821</v>
      </c>
      <c r="C102" s="116">
        <f>IFERROR(VLOOKUP($A102,'งบทดลอง รพ.'!$A$2:$C$500,3,0),0)</f>
        <v>0</v>
      </c>
      <c r="D102" s="21"/>
      <c r="E102" s="72" t="s">
        <v>964</v>
      </c>
      <c r="F102" s="72" t="s">
        <v>10</v>
      </c>
      <c r="G102" s="114" t="s">
        <v>1045</v>
      </c>
      <c r="H102" s="15"/>
    </row>
    <row r="103" spans="1:8" ht="27.75" x14ac:dyDescent="0.65">
      <c r="A103" s="293" t="s">
        <v>822</v>
      </c>
      <c r="B103" s="117" t="s">
        <v>823</v>
      </c>
      <c r="C103" s="116">
        <f>IFERROR(VLOOKUP($A103,'งบทดลอง รพ.'!$A$2:$C$500,3,0),0)</f>
        <v>0</v>
      </c>
      <c r="D103" s="21"/>
      <c r="E103" s="72" t="s">
        <v>964</v>
      </c>
      <c r="F103" s="72" t="s">
        <v>10</v>
      </c>
      <c r="G103" s="114" t="s">
        <v>1045</v>
      </c>
      <c r="H103" s="15"/>
    </row>
    <row r="104" spans="1:8" ht="27.75" x14ac:dyDescent="0.65">
      <c r="A104" s="293" t="s">
        <v>824</v>
      </c>
      <c r="B104" s="117" t="s">
        <v>825</v>
      </c>
      <c r="C104" s="116">
        <f>IFERROR(VLOOKUP($A104,'งบทดลอง รพ.'!$A$2:$C$500,3,0),0)</f>
        <v>0</v>
      </c>
      <c r="D104" s="21"/>
      <c r="E104" s="72" t="s">
        <v>961</v>
      </c>
      <c r="F104" s="72" t="s">
        <v>10</v>
      </c>
      <c r="G104" s="114" t="s">
        <v>1045</v>
      </c>
      <c r="H104" s="15"/>
    </row>
    <row r="105" spans="1:8" ht="27.75" x14ac:dyDescent="0.65">
      <c r="A105" s="293" t="s">
        <v>826</v>
      </c>
      <c r="B105" s="117" t="s">
        <v>827</v>
      </c>
      <c r="C105" s="116">
        <f>IFERROR(VLOOKUP($A105,'งบทดลอง รพ.'!$A$2:$C$500,3,0),0)</f>
        <v>694312.04839522799</v>
      </c>
      <c r="D105" s="21"/>
      <c r="E105" s="72" t="s">
        <v>966</v>
      </c>
      <c r="F105" s="72" t="s">
        <v>10</v>
      </c>
      <c r="G105" s="114" t="s">
        <v>1045</v>
      </c>
      <c r="H105" s="15"/>
    </row>
    <row r="106" spans="1:8" ht="27.75" x14ac:dyDescent="0.65">
      <c r="A106" s="293" t="s">
        <v>828</v>
      </c>
      <c r="B106" s="117" t="s">
        <v>112</v>
      </c>
      <c r="C106" s="116">
        <f>IFERROR(VLOOKUP($A106,'งบทดลอง รพ.'!$A$2:$C$500,3,0),0)</f>
        <v>0</v>
      </c>
      <c r="D106" s="21"/>
      <c r="E106" s="72" t="s">
        <v>966</v>
      </c>
      <c r="F106" s="72" t="s">
        <v>10</v>
      </c>
      <c r="G106" s="114" t="s">
        <v>1045</v>
      </c>
      <c r="H106" s="15"/>
    </row>
    <row r="107" spans="1:8" ht="27.75" x14ac:dyDescent="0.65">
      <c r="A107" s="293" t="s">
        <v>829</v>
      </c>
      <c r="B107" s="117" t="s">
        <v>830</v>
      </c>
      <c r="C107" s="116">
        <f>IFERROR(VLOOKUP($A107,'งบทดลอง รพ.'!$A$2:$C$500,3,0),0)</f>
        <v>0</v>
      </c>
      <c r="D107" s="21"/>
      <c r="E107" s="72" t="s">
        <v>966</v>
      </c>
      <c r="F107" s="72" t="s">
        <v>10</v>
      </c>
      <c r="G107" s="114" t="s">
        <v>1045</v>
      </c>
      <c r="H107" s="15"/>
    </row>
    <row r="108" spans="1:8" ht="27.75" x14ac:dyDescent="0.65">
      <c r="A108" s="293" t="s">
        <v>1330</v>
      </c>
      <c r="B108" s="117" t="s">
        <v>1335</v>
      </c>
      <c r="C108" s="116">
        <f>IFERROR(VLOOKUP($A108,'งบทดลอง รพ.'!$A$2:$C$500,3,0),0)</f>
        <v>0</v>
      </c>
      <c r="D108" s="21"/>
      <c r="E108" s="72" t="s">
        <v>961</v>
      </c>
      <c r="F108" s="72" t="s">
        <v>10</v>
      </c>
      <c r="G108" s="114" t="s">
        <v>1045</v>
      </c>
      <c r="H108" s="15"/>
    </row>
    <row r="109" spans="1:8" ht="27.75" x14ac:dyDescent="0.65">
      <c r="A109" s="293" t="s">
        <v>128</v>
      </c>
      <c r="B109" s="117" t="s">
        <v>1092</v>
      </c>
      <c r="C109" s="116">
        <f>IFERROR(VLOOKUP($A109,'งบทดลอง รพ.'!$A$2:$C$500,3,0),0)</f>
        <v>0</v>
      </c>
      <c r="D109" s="21"/>
      <c r="E109" s="72" t="s">
        <v>970</v>
      </c>
      <c r="F109" s="72" t="s">
        <v>12</v>
      </c>
      <c r="G109" s="114" t="s">
        <v>1045</v>
      </c>
      <c r="H109" s="15"/>
    </row>
    <row r="110" spans="1:8" ht="27.75" x14ac:dyDescent="0.65">
      <c r="A110" s="293" t="s">
        <v>129</v>
      </c>
      <c r="B110" s="117" t="s">
        <v>1093</v>
      </c>
      <c r="C110" s="116">
        <f>IFERROR(VLOOKUP($A110,'งบทดลอง รพ.'!$A$2:$C$500,3,0),0)</f>
        <v>85000</v>
      </c>
      <c r="D110" s="21"/>
      <c r="E110" s="72" t="s">
        <v>970</v>
      </c>
      <c r="F110" s="72" t="s">
        <v>12</v>
      </c>
      <c r="G110" s="114" t="s">
        <v>1045</v>
      </c>
      <c r="H110" s="15"/>
    </row>
    <row r="111" spans="1:8" ht="27.75" x14ac:dyDescent="0.65">
      <c r="A111" s="293" t="s">
        <v>130</v>
      </c>
      <c r="B111" s="117" t="s">
        <v>1094</v>
      </c>
      <c r="C111" s="116">
        <f>IFERROR(VLOOKUP($A111,'งบทดลอง รพ.'!$A$2:$C$500,3,0),0)</f>
        <v>0</v>
      </c>
      <c r="D111" s="21"/>
      <c r="E111" s="72" t="s">
        <v>970</v>
      </c>
      <c r="F111" s="72" t="s">
        <v>12</v>
      </c>
      <c r="G111" s="114" t="s">
        <v>1045</v>
      </c>
      <c r="H111" s="15"/>
    </row>
    <row r="112" spans="1:8" ht="27.75" x14ac:dyDescent="0.65">
      <c r="A112" s="293" t="s">
        <v>131</v>
      </c>
      <c r="B112" s="117" t="s">
        <v>132</v>
      </c>
      <c r="C112" s="116">
        <f>IFERROR(VLOOKUP($A112,'งบทดลอง รพ.'!$A$2:$C$500,3,0),0)</f>
        <v>0</v>
      </c>
      <c r="D112" s="21"/>
      <c r="E112" s="72" t="s">
        <v>968</v>
      </c>
      <c r="F112" s="72" t="s">
        <v>12</v>
      </c>
      <c r="G112" s="114" t="s">
        <v>1045</v>
      </c>
      <c r="H112" s="15"/>
    </row>
    <row r="113" spans="1:8" ht="27.75" x14ac:dyDescent="0.65">
      <c r="A113" s="293" t="s">
        <v>133</v>
      </c>
      <c r="B113" s="117" t="s">
        <v>134</v>
      </c>
      <c r="C113" s="116">
        <f>IFERROR(VLOOKUP($A113,'งบทดลอง รพ.'!$A$2:$C$500,3,0),0)</f>
        <v>0</v>
      </c>
      <c r="D113" s="21"/>
      <c r="E113" s="72" t="s">
        <v>968</v>
      </c>
      <c r="F113" s="72" t="s">
        <v>12</v>
      </c>
      <c r="G113" s="114" t="s">
        <v>1045</v>
      </c>
      <c r="H113" s="15"/>
    </row>
    <row r="114" spans="1:8" ht="27.75" x14ac:dyDescent="0.65">
      <c r="A114" s="293" t="s">
        <v>831</v>
      </c>
      <c r="B114" s="117" t="s">
        <v>832</v>
      </c>
      <c r="C114" s="116">
        <f>IFERROR(VLOOKUP($A114,'งบทดลอง รพ.'!$A$2:$C$500,3,0),0)</f>
        <v>0</v>
      </c>
      <c r="D114" s="21"/>
      <c r="E114" s="72" t="s">
        <v>970</v>
      </c>
      <c r="F114" s="72" t="s">
        <v>12</v>
      </c>
      <c r="G114" s="114" t="s">
        <v>1045</v>
      </c>
      <c r="H114" s="15"/>
    </row>
    <row r="115" spans="1:8" ht="27.75" x14ac:dyDescent="0.65">
      <c r="A115" s="293" t="s">
        <v>833</v>
      </c>
      <c r="B115" s="117" t="s">
        <v>834</v>
      </c>
      <c r="C115" s="116">
        <f>IFERROR(VLOOKUP($A115,'งบทดลอง รพ.'!$A$2:$C$500,3,0),0)</f>
        <v>52000</v>
      </c>
      <c r="D115" s="21"/>
      <c r="E115" s="72" t="s">
        <v>972</v>
      </c>
      <c r="F115" s="72" t="s">
        <v>12</v>
      </c>
      <c r="G115" s="114" t="s">
        <v>1045</v>
      </c>
      <c r="H115" s="15"/>
    </row>
    <row r="116" spans="1:8" ht="27.75" x14ac:dyDescent="0.65">
      <c r="A116" s="293" t="s">
        <v>835</v>
      </c>
      <c r="B116" s="117" t="s">
        <v>836</v>
      </c>
      <c r="C116" s="116">
        <f>IFERROR(VLOOKUP($A116,'งบทดลอง รพ.'!$A$2:$C$500,3,0),0)</f>
        <v>0</v>
      </c>
      <c r="D116" s="21"/>
      <c r="E116" s="72" t="s">
        <v>970</v>
      </c>
      <c r="F116" s="72" t="s">
        <v>12</v>
      </c>
      <c r="G116" s="114" t="s">
        <v>1045</v>
      </c>
      <c r="H116" s="15"/>
    </row>
    <row r="117" spans="1:8" ht="27.75" x14ac:dyDescent="0.65">
      <c r="A117" s="293" t="s">
        <v>837</v>
      </c>
      <c r="B117" s="117" t="s">
        <v>838</v>
      </c>
      <c r="C117" s="116">
        <f>IFERROR(VLOOKUP($A117,'งบทดลอง รพ.'!$A$2:$C$500,3,0),0)</f>
        <v>0</v>
      </c>
      <c r="D117" s="21"/>
      <c r="E117" s="72" t="s">
        <v>968</v>
      </c>
      <c r="F117" s="72" t="s">
        <v>12</v>
      </c>
      <c r="G117" s="114" t="s">
        <v>1045</v>
      </c>
      <c r="H117" s="15"/>
    </row>
    <row r="118" spans="1:8" ht="27.75" x14ac:dyDescent="0.65">
      <c r="A118" s="293" t="s">
        <v>157</v>
      </c>
      <c r="B118" s="117" t="s">
        <v>158</v>
      </c>
      <c r="C118" s="116">
        <f>IFERROR(VLOOKUP($A118,'งบทดลอง รพ.'!$A$2:$C$500,3,0),0)</f>
        <v>0</v>
      </c>
      <c r="D118" s="21"/>
      <c r="E118" s="72" t="s">
        <v>975</v>
      </c>
      <c r="F118" s="72" t="s">
        <v>16</v>
      </c>
      <c r="G118" s="114" t="s">
        <v>1045</v>
      </c>
      <c r="H118" s="15"/>
    </row>
    <row r="119" spans="1:8" ht="27.75" x14ac:dyDescent="0.65">
      <c r="A119" s="293" t="s">
        <v>159</v>
      </c>
      <c r="B119" s="117" t="s">
        <v>1095</v>
      </c>
      <c r="C119" s="116">
        <f>IFERROR(VLOOKUP($A119,'งบทดลอง รพ.'!$A$2:$C$500,3,0),0)</f>
        <v>0</v>
      </c>
      <c r="D119" s="21"/>
      <c r="E119" s="72" t="s">
        <v>975</v>
      </c>
      <c r="F119" s="72" t="s">
        <v>16</v>
      </c>
      <c r="G119" s="114" t="s">
        <v>1045</v>
      </c>
      <c r="H119" s="15"/>
    </row>
    <row r="120" spans="1:8" ht="27.75" x14ac:dyDescent="0.65">
      <c r="A120" s="293" t="s">
        <v>160</v>
      </c>
      <c r="B120" s="117" t="s">
        <v>1096</v>
      </c>
      <c r="C120" s="116">
        <f>IFERROR(VLOOKUP($A120,'งบทดลอง รพ.'!$A$2:$C$500,3,0),0)</f>
        <v>0</v>
      </c>
      <c r="D120" s="21"/>
      <c r="E120" s="72" t="s">
        <v>975</v>
      </c>
      <c r="F120" s="72" t="s">
        <v>16</v>
      </c>
      <c r="G120" s="114" t="s">
        <v>1045</v>
      </c>
      <c r="H120" s="15"/>
    </row>
    <row r="121" spans="1:8" ht="27.75" x14ac:dyDescent="0.65">
      <c r="A121" s="293" t="s">
        <v>161</v>
      </c>
      <c r="B121" s="117" t="s">
        <v>162</v>
      </c>
      <c r="C121" s="116">
        <f>IFERROR(VLOOKUP($A121,'งบทดลอง รพ.'!$A$2:$C$500,3,0),0)</f>
        <v>0</v>
      </c>
      <c r="D121" s="21"/>
      <c r="E121" s="72" t="s">
        <v>975</v>
      </c>
      <c r="F121" s="72" t="s">
        <v>16</v>
      </c>
      <c r="G121" s="114" t="s">
        <v>1045</v>
      </c>
      <c r="H121" s="15"/>
    </row>
    <row r="122" spans="1:8" ht="27.75" x14ac:dyDescent="0.65">
      <c r="A122" s="293" t="s">
        <v>163</v>
      </c>
      <c r="B122" s="117" t="s">
        <v>164</v>
      </c>
      <c r="C122" s="116">
        <f>IFERROR(VLOOKUP($A122,'งบทดลอง รพ.'!$A$2:$C$500,3,0),0)</f>
        <v>0</v>
      </c>
      <c r="D122" s="21"/>
      <c r="E122" s="72" t="s">
        <v>975</v>
      </c>
      <c r="F122" s="72" t="s">
        <v>16</v>
      </c>
      <c r="G122" s="114" t="s">
        <v>1045</v>
      </c>
      <c r="H122" s="15"/>
    </row>
    <row r="123" spans="1:8" ht="27.75" x14ac:dyDescent="0.65">
      <c r="A123" s="293" t="s">
        <v>165</v>
      </c>
      <c r="B123" s="117" t="s">
        <v>166</v>
      </c>
      <c r="C123" s="116">
        <f>IFERROR(VLOOKUP($A123,'งบทดลอง รพ.'!$A$2:$C$500,3,0),0)</f>
        <v>0</v>
      </c>
      <c r="D123" s="21"/>
      <c r="E123" s="72" t="s">
        <v>976</v>
      </c>
      <c r="F123" s="72" t="s">
        <v>18</v>
      </c>
      <c r="G123" s="114" t="s">
        <v>1045</v>
      </c>
      <c r="H123" s="15"/>
    </row>
    <row r="124" spans="1:8" ht="27.75" x14ac:dyDescent="0.65">
      <c r="A124" s="293" t="s">
        <v>167</v>
      </c>
      <c r="B124" s="117" t="s">
        <v>168</v>
      </c>
      <c r="C124" s="116">
        <f>IFERROR(VLOOKUP($A124,'งบทดลอง รพ.'!$A$2:$C$500,3,0),0)</f>
        <v>0</v>
      </c>
      <c r="D124" s="21"/>
      <c r="E124" s="72" t="s">
        <v>976</v>
      </c>
      <c r="F124" s="72" t="s">
        <v>18</v>
      </c>
      <c r="G124" s="114" t="s">
        <v>1045</v>
      </c>
      <c r="H124" s="15"/>
    </row>
    <row r="125" spans="1:8" ht="27.75" x14ac:dyDescent="0.65">
      <c r="A125" s="293" t="s">
        <v>169</v>
      </c>
      <c r="B125" s="117" t="s">
        <v>1097</v>
      </c>
      <c r="C125" s="116">
        <f>IFERROR(VLOOKUP($A125,'งบทดลอง รพ.'!$A$2:$C$500,3,0),0)</f>
        <v>11200</v>
      </c>
      <c r="D125" s="21"/>
      <c r="E125" s="72" t="s">
        <v>975</v>
      </c>
      <c r="F125" s="72" t="s">
        <v>16</v>
      </c>
      <c r="G125" s="114" t="s">
        <v>1045</v>
      </c>
      <c r="H125" s="15"/>
    </row>
    <row r="126" spans="1:8" ht="27.75" x14ac:dyDescent="0.65">
      <c r="A126" s="293" t="s">
        <v>839</v>
      </c>
      <c r="B126" s="117" t="s">
        <v>840</v>
      </c>
      <c r="C126" s="116">
        <f>IFERROR(VLOOKUP($A126,'งบทดลอง รพ.'!$A$2:$C$500,3,0),0)</f>
        <v>1989600</v>
      </c>
      <c r="D126" s="21"/>
      <c r="E126" s="72" t="s">
        <v>975</v>
      </c>
      <c r="F126" s="72" t="s">
        <v>16</v>
      </c>
      <c r="G126" s="114" t="s">
        <v>1045</v>
      </c>
      <c r="H126" s="15"/>
    </row>
    <row r="127" spans="1:8" ht="27.75" x14ac:dyDescent="0.65">
      <c r="A127" s="293" t="s">
        <v>841</v>
      </c>
      <c r="B127" s="117" t="s">
        <v>842</v>
      </c>
      <c r="C127" s="116">
        <f>IFERROR(VLOOKUP($A127,'งบทดลอง รพ.'!$A$2:$C$500,3,0),0)</f>
        <v>0</v>
      </c>
      <c r="D127" s="21"/>
      <c r="E127" s="72" t="s">
        <v>975</v>
      </c>
      <c r="F127" s="72" t="s">
        <v>1373</v>
      </c>
      <c r="G127" s="114" t="s">
        <v>1045</v>
      </c>
      <c r="H127" s="15"/>
    </row>
    <row r="128" spans="1:8" ht="27.75" x14ac:dyDescent="0.65">
      <c r="A128" s="293" t="s">
        <v>170</v>
      </c>
      <c r="B128" s="117" t="s">
        <v>1098</v>
      </c>
      <c r="C128" s="116">
        <f>IFERROR(VLOOKUP($A128,'งบทดลอง รพ.'!$A$2:$C$500,3,0),0)</f>
        <v>73335.53</v>
      </c>
      <c r="D128" s="21"/>
      <c r="E128" s="72" t="s">
        <v>975</v>
      </c>
      <c r="F128" s="72" t="s">
        <v>16</v>
      </c>
      <c r="G128" s="114" t="s">
        <v>1045</v>
      </c>
      <c r="H128" s="15"/>
    </row>
    <row r="129" spans="1:8" ht="27.75" x14ac:dyDescent="0.65">
      <c r="A129" s="293" t="s">
        <v>171</v>
      </c>
      <c r="B129" s="117" t="s">
        <v>172</v>
      </c>
      <c r="C129" s="116">
        <f>IFERROR(VLOOKUP($A129,'งบทดลอง รพ.'!$A$2:$C$500,3,0),0)</f>
        <v>0</v>
      </c>
      <c r="D129" s="21"/>
      <c r="E129" s="72" t="s">
        <v>975</v>
      </c>
      <c r="F129" s="72" t="s">
        <v>16</v>
      </c>
      <c r="G129" s="114" t="s">
        <v>1045</v>
      </c>
      <c r="H129" s="15"/>
    </row>
    <row r="130" spans="1:8" ht="27.75" x14ac:dyDescent="0.65">
      <c r="A130" s="293" t="s">
        <v>173</v>
      </c>
      <c r="B130" s="117" t="s">
        <v>174</v>
      </c>
      <c r="C130" s="116">
        <f>IFERROR(VLOOKUP($A130,'งบทดลอง รพ.'!$A$2:$C$500,3,0),0)</f>
        <v>29300</v>
      </c>
      <c r="D130" s="21"/>
      <c r="E130" s="72" t="s">
        <v>975</v>
      </c>
      <c r="F130" s="72" t="s">
        <v>16</v>
      </c>
      <c r="G130" s="114" t="s">
        <v>1045</v>
      </c>
      <c r="H130" s="15"/>
    </row>
    <row r="131" spans="1:8" ht="27.75" x14ac:dyDescent="0.65">
      <c r="A131" s="293" t="s">
        <v>843</v>
      </c>
      <c r="B131" s="117" t="s">
        <v>844</v>
      </c>
      <c r="C131" s="116">
        <f>IFERROR(VLOOKUP($A131,'งบทดลอง รพ.'!$A$2:$C$500,3,0),0)</f>
        <v>0</v>
      </c>
      <c r="D131" s="21"/>
      <c r="E131" s="72" t="s">
        <v>975</v>
      </c>
      <c r="F131" s="72" t="s">
        <v>16</v>
      </c>
      <c r="G131" s="114" t="s">
        <v>1045</v>
      </c>
      <c r="H131" s="15"/>
    </row>
    <row r="132" spans="1:8" ht="27.75" x14ac:dyDescent="0.65">
      <c r="A132" s="294" t="s">
        <v>139</v>
      </c>
      <c r="B132" s="118" t="s">
        <v>1099</v>
      </c>
      <c r="C132" s="116">
        <f>IFERROR(VLOOKUP($A132,'งบทดลอง รพ.'!$A$2:$C$500,3,0),0)</f>
        <v>28378920</v>
      </c>
      <c r="D132" s="21"/>
      <c r="E132" s="72" t="s">
        <v>974</v>
      </c>
      <c r="F132" s="72" t="s">
        <v>14</v>
      </c>
      <c r="G132" s="114" t="s">
        <v>1045</v>
      </c>
      <c r="H132" s="15"/>
    </row>
    <row r="133" spans="1:8" ht="27.75" x14ac:dyDescent="0.65">
      <c r="A133" s="294" t="s">
        <v>212</v>
      </c>
      <c r="B133" s="118" t="s">
        <v>1100</v>
      </c>
      <c r="C133" s="116">
        <f>IFERROR(VLOOKUP($A133,'งบทดลอง รพ.'!$A$2:$C$500,3,0),0)</f>
        <v>0</v>
      </c>
      <c r="D133" s="21"/>
      <c r="E133" s="72" t="s">
        <v>977</v>
      </c>
      <c r="F133" s="72" t="s">
        <v>18</v>
      </c>
      <c r="G133" s="114" t="s">
        <v>1045</v>
      </c>
      <c r="H133" s="15"/>
    </row>
    <row r="134" spans="1:8" ht="27.75" x14ac:dyDescent="0.65">
      <c r="A134" s="293" t="s">
        <v>175</v>
      </c>
      <c r="B134" s="117" t="s">
        <v>1101</v>
      </c>
      <c r="C134" s="116">
        <f>IFERROR(VLOOKUP($A134,'งบทดลอง รพ.'!$A$2:$C$500,3,0),0)</f>
        <v>0</v>
      </c>
      <c r="D134" s="21"/>
      <c r="E134" s="72" t="s">
        <v>975</v>
      </c>
      <c r="F134" s="72" t="s">
        <v>16</v>
      </c>
      <c r="G134" s="114" t="s">
        <v>1045</v>
      </c>
      <c r="H134" s="15"/>
    </row>
    <row r="135" spans="1:8" ht="27.75" x14ac:dyDescent="0.65">
      <c r="A135" s="293" t="s">
        <v>176</v>
      </c>
      <c r="B135" s="117" t="s">
        <v>1102</v>
      </c>
      <c r="C135" s="116">
        <f>IFERROR(VLOOKUP($A135,'งบทดลอง รพ.'!$A$2:$C$500,3,0),0)</f>
        <v>0</v>
      </c>
      <c r="D135" s="21"/>
      <c r="E135" s="72" t="s">
        <v>975</v>
      </c>
      <c r="F135" s="72" t="s">
        <v>16</v>
      </c>
      <c r="G135" s="114" t="s">
        <v>1045</v>
      </c>
      <c r="H135" s="15"/>
    </row>
    <row r="136" spans="1:8" ht="27.75" x14ac:dyDescent="0.65">
      <c r="A136" s="293" t="s">
        <v>177</v>
      </c>
      <c r="B136" s="117" t="s">
        <v>1103</v>
      </c>
      <c r="C136" s="116">
        <f>IFERROR(VLOOKUP($A136,'งบทดลอง รพ.'!$A$2:$C$500,3,0),0)</f>
        <v>0</v>
      </c>
      <c r="D136" s="21"/>
      <c r="E136" s="72" t="s">
        <v>975</v>
      </c>
      <c r="F136" s="72" t="s">
        <v>16</v>
      </c>
      <c r="G136" s="114" t="s">
        <v>1045</v>
      </c>
      <c r="H136" s="15"/>
    </row>
    <row r="137" spans="1:8" ht="27.75" x14ac:dyDescent="0.65">
      <c r="A137" s="293" t="s">
        <v>178</v>
      </c>
      <c r="B137" s="117" t="s">
        <v>1104</v>
      </c>
      <c r="C137" s="116">
        <f>IFERROR(VLOOKUP($A137,'งบทดลอง รพ.'!$A$2:$C$500,3,0),0)</f>
        <v>849718.51</v>
      </c>
      <c r="D137" s="21"/>
      <c r="E137" s="72" t="s">
        <v>975</v>
      </c>
      <c r="F137" s="72" t="s">
        <v>16</v>
      </c>
      <c r="G137" s="114" t="s">
        <v>1045</v>
      </c>
      <c r="H137" s="15"/>
    </row>
    <row r="138" spans="1:8" ht="27.75" x14ac:dyDescent="0.65">
      <c r="A138" s="293" t="s">
        <v>179</v>
      </c>
      <c r="B138" s="117" t="s">
        <v>1105</v>
      </c>
      <c r="C138" s="116">
        <f>IFERROR(VLOOKUP($A138,'งบทดลอง รพ.'!$A$2:$C$500,3,0),0)</f>
        <v>0</v>
      </c>
      <c r="D138" s="21"/>
      <c r="E138" s="72" t="s">
        <v>975</v>
      </c>
      <c r="F138" s="72" t="s">
        <v>16</v>
      </c>
      <c r="G138" s="114" t="s">
        <v>1045</v>
      </c>
      <c r="H138" s="15"/>
    </row>
    <row r="139" spans="1:8" ht="27.75" x14ac:dyDescent="0.65">
      <c r="A139" s="293" t="s">
        <v>845</v>
      </c>
      <c r="B139" s="117" t="s">
        <v>846</v>
      </c>
      <c r="C139" s="116">
        <f>IFERROR(VLOOKUP($A139,'งบทดลอง รพ.'!$A$2:$C$500,3,0),0)</f>
        <v>0</v>
      </c>
      <c r="D139" s="21"/>
      <c r="E139" s="72" t="s">
        <v>975</v>
      </c>
      <c r="F139" s="72" t="s">
        <v>1373</v>
      </c>
      <c r="G139" s="114" t="s">
        <v>1045</v>
      </c>
      <c r="H139" s="15"/>
    </row>
    <row r="140" spans="1:8" ht="27.75" x14ac:dyDescent="0.65">
      <c r="A140" s="293" t="s">
        <v>847</v>
      </c>
      <c r="B140" s="117" t="s">
        <v>848</v>
      </c>
      <c r="C140" s="116">
        <f>IFERROR(VLOOKUP($A140,'งบทดลอง รพ.'!$A$2:$C$500,3,0),0)</f>
        <v>0</v>
      </c>
      <c r="D140" s="21"/>
      <c r="E140" s="72" t="s">
        <v>975</v>
      </c>
      <c r="F140" s="72" t="s">
        <v>1373</v>
      </c>
      <c r="G140" s="114" t="s">
        <v>1045</v>
      </c>
      <c r="H140" s="15"/>
    </row>
    <row r="141" spans="1:8" ht="27.75" x14ac:dyDescent="0.65">
      <c r="A141" s="293" t="s">
        <v>849</v>
      </c>
      <c r="B141" s="117" t="s">
        <v>850</v>
      </c>
      <c r="C141" s="116">
        <f>IFERROR(VLOOKUP($A141,'งบทดลอง รพ.'!$A$2:$C$500,3,0),0)</f>
        <v>0</v>
      </c>
      <c r="D141" s="21"/>
      <c r="E141" s="72" t="s">
        <v>975</v>
      </c>
      <c r="F141" s="72" t="s">
        <v>1373</v>
      </c>
      <c r="G141" s="114" t="s">
        <v>1045</v>
      </c>
      <c r="H141" s="15"/>
    </row>
    <row r="142" spans="1:8" ht="27.75" x14ac:dyDescent="0.65">
      <c r="A142" s="293" t="s">
        <v>180</v>
      </c>
      <c r="B142" s="117" t="s">
        <v>1106</v>
      </c>
      <c r="C142" s="116">
        <f>IFERROR(VLOOKUP($A142,'งบทดลอง รพ.'!$A$2:$C$500,3,0),0)</f>
        <v>0</v>
      </c>
      <c r="D142" s="21"/>
      <c r="E142" s="72" t="s">
        <v>975</v>
      </c>
      <c r="F142" s="72" t="s">
        <v>1373</v>
      </c>
      <c r="G142" s="114" t="s">
        <v>1045</v>
      </c>
      <c r="H142" s="15"/>
    </row>
    <row r="143" spans="1:8" ht="27.75" x14ac:dyDescent="0.65">
      <c r="A143" s="294" t="s">
        <v>851</v>
      </c>
      <c r="B143" s="118" t="s">
        <v>852</v>
      </c>
      <c r="C143" s="116">
        <f>IFERROR(VLOOKUP($A143,'งบทดลอง รพ.'!$A$2:$C$500,3,0),0)</f>
        <v>0</v>
      </c>
      <c r="D143" s="21"/>
      <c r="E143" s="72" t="s">
        <v>975</v>
      </c>
      <c r="F143" s="72" t="s">
        <v>1373</v>
      </c>
      <c r="G143" s="114" t="s">
        <v>1045</v>
      </c>
      <c r="H143" s="15"/>
    </row>
    <row r="144" spans="1:8" ht="27.75" x14ac:dyDescent="0.65">
      <c r="A144" s="293" t="s">
        <v>181</v>
      </c>
      <c r="B144" s="117" t="s">
        <v>1107</v>
      </c>
      <c r="C144" s="116">
        <f>IFERROR(VLOOKUP($A144,'งบทดลอง รพ.'!$A$2:$C$500,3,0),0)</f>
        <v>0</v>
      </c>
      <c r="D144" s="21"/>
      <c r="E144" s="72" t="s">
        <v>975</v>
      </c>
      <c r="F144" s="72" t="s">
        <v>1373</v>
      </c>
      <c r="G144" s="114" t="s">
        <v>1045</v>
      </c>
      <c r="H144" s="15"/>
    </row>
    <row r="145" spans="1:8" ht="27.75" x14ac:dyDescent="0.65">
      <c r="A145" s="293" t="s">
        <v>182</v>
      </c>
      <c r="B145" s="117" t="s">
        <v>183</v>
      </c>
      <c r="C145" s="116">
        <f>IFERROR(VLOOKUP($A145,'งบทดลอง รพ.'!$A$2:$C$500,3,0),0)</f>
        <v>75000</v>
      </c>
      <c r="D145" s="21"/>
      <c r="E145" s="72" t="s">
        <v>975</v>
      </c>
      <c r="F145" s="72" t="s">
        <v>16</v>
      </c>
      <c r="G145" s="114" t="s">
        <v>1045</v>
      </c>
      <c r="H145" s="15"/>
    </row>
    <row r="146" spans="1:8" ht="27.75" x14ac:dyDescent="0.65">
      <c r="A146" s="293" t="s">
        <v>184</v>
      </c>
      <c r="B146" s="117" t="s">
        <v>185</v>
      </c>
      <c r="C146" s="116">
        <f>IFERROR(VLOOKUP($A146,'งบทดลอง รพ.'!$A$2:$C$500,3,0),0)</f>
        <v>0</v>
      </c>
      <c r="D146" s="21"/>
      <c r="E146" s="72" t="s">
        <v>975</v>
      </c>
      <c r="F146" s="72" t="s">
        <v>16</v>
      </c>
      <c r="G146" s="114" t="s">
        <v>1045</v>
      </c>
      <c r="H146" s="15"/>
    </row>
    <row r="147" spans="1:8" ht="27.75" x14ac:dyDescent="0.65">
      <c r="A147" s="293" t="s">
        <v>135</v>
      </c>
      <c r="B147" s="117" t="s">
        <v>136</v>
      </c>
      <c r="C147" s="116">
        <f>IFERROR(VLOOKUP($A147,'งบทดลอง รพ.'!$A$2:$C$500,3,0),0)</f>
        <v>0</v>
      </c>
      <c r="D147" s="21"/>
      <c r="E147" s="72" t="s">
        <v>968</v>
      </c>
      <c r="F147" s="72" t="s">
        <v>12</v>
      </c>
      <c r="G147" s="114" t="s">
        <v>1045</v>
      </c>
      <c r="H147" s="15"/>
    </row>
    <row r="148" spans="1:8" ht="27.75" x14ac:dyDescent="0.65">
      <c r="A148" s="293" t="s">
        <v>137</v>
      </c>
      <c r="B148" s="117" t="s">
        <v>138</v>
      </c>
      <c r="C148" s="116">
        <f>IFERROR(VLOOKUP($A148,'งบทดลอง รพ.'!$A$2:$C$500,3,0),0)</f>
        <v>0</v>
      </c>
      <c r="D148" s="21"/>
      <c r="E148" s="72" t="s">
        <v>968</v>
      </c>
      <c r="F148" s="72" t="s">
        <v>12</v>
      </c>
      <c r="G148" s="114" t="s">
        <v>1045</v>
      </c>
      <c r="H148" s="15"/>
    </row>
    <row r="149" spans="1:8" ht="27.75" x14ac:dyDescent="0.65">
      <c r="A149" s="293" t="s">
        <v>186</v>
      </c>
      <c r="B149" s="117" t="s">
        <v>187</v>
      </c>
      <c r="C149" s="116">
        <f>IFERROR(VLOOKUP($A149,'งบทดลอง รพ.'!$A$2:$C$500,3,0),0)</f>
        <v>0</v>
      </c>
      <c r="D149" s="21"/>
      <c r="E149" s="72" t="s">
        <v>975</v>
      </c>
      <c r="F149" s="72" t="s">
        <v>16</v>
      </c>
      <c r="G149" s="114" t="s">
        <v>1045</v>
      </c>
      <c r="H149" s="15"/>
    </row>
    <row r="150" spans="1:8" ht="27.75" x14ac:dyDescent="0.65">
      <c r="A150" s="293" t="s">
        <v>188</v>
      </c>
      <c r="B150" s="117" t="s">
        <v>189</v>
      </c>
      <c r="C150" s="116">
        <f>IFERROR(VLOOKUP($A150,'งบทดลอง รพ.'!$A$2:$C$500,3,0),0)</f>
        <v>0</v>
      </c>
      <c r="D150" s="21"/>
      <c r="E150" s="72" t="s">
        <v>975</v>
      </c>
      <c r="F150" s="72" t="s">
        <v>16</v>
      </c>
      <c r="G150" s="114" t="s">
        <v>1045</v>
      </c>
      <c r="H150" s="15"/>
    </row>
    <row r="151" spans="1:8" ht="27.75" x14ac:dyDescent="0.65">
      <c r="A151" s="293" t="s">
        <v>190</v>
      </c>
      <c r="B151" s="117" t="s">
        <v>191</v>
      </c>
      <c r="C151" s="116">
        <f>IFERROR(VLOOKUP($A151,'งบทดลอง รพ.'!$A$2:$C$500,3,0),0)</f>
        <v>0</v>
      </c>
      <c r="D151" s="21"/>
      <c r="E151" s="72" t="s">
        <v>975</v>
      </c>
      <c r="F151" s="72" t="s">
        <v>16</v>
      </c>
      <c r="G151" s="114" t="s">
        <v>1045</v>
      </c>
      <c r="H151" s="15"/>
    </row>
    <row r="152" spans="1:8" ht="27.75" x14ac:dyDescent="0.65">
      <c r="A152" s="293" t="s">
        <v>192</v>
      </c>
      <c r="B152" s="117" t="s">
        <v>193</v>
      </c>
      <c r="C152" s="116">
        <f>IFERROR(VLOOKUP($A152,'งบทดลอง รพ.'!$A$2:$C$500,3,0),0)</f>
        <v>30000</v>
      </c>
      <c r="D152" s="21"/>
      <c r="E152" s="72" t="s">
        <v>975</v>
      </c>
      <c r="F152" s="72" t="s">
        <v>16</v>
      </c>
      <c r="G152" s="114" t="s">
        <v>1045</v>
      </c>
      <c r="H152" s="15"/>
    </row>
    <row r="153" spans="1:8" ht="27.75" x14ac:dyDescent="0.65">
      <c r="A153" s="293" t="s">
        <v>194</v>
      </c>
      <c r="B153" s="117" t="s">
        <v>195</v>
      </c>
      <c r="C153" s="116">
        <f>IFERROR(VLOOKUP($A153,'งบทดลอง รพ.'!$A$2:$C$500,3,0),0)</f>
        <v>16500</v>
      </c>
      <c r="D153" s="21"/>
      <c r="E153" s="72" t="s">
        <v>975</v>
      </c>
      <c r="F153" s="72" t="s">
        <v>16</v>
      </c>
      <c r="G153" s="114" t="s">
        <v>1045</v>
      </c>
      <c r="H153" s="15"/>
    </row>
    <row r="154" spans="1:8" ht="27.75" x14ac:dyDescent="0.65">
      <c r="A154" s="293" t="s">
        <v>196</v>
      </c>
      <c r="B154" s="117" t="s">
        <v>1108</v>
      </c>
      <c r="C154" s="116">
        <f>IFERROR(VLOOKUP($A154,'งบทดลอง รพ.'!$A$2:$C$500,3,0),0)</f>
        <v>0</v>
      </c>
      <c r="D154" s="21"/>
      <c r="E154" s="72" t="s">
        <v>975</v>
      </c>
      <c r="F154" s="72" t="s">
        <v>16</v>
      </c>
      <c r="G154" s="114" t="s">
        <v>1045</v>
      </c>
      <c r="H154" s="15"/>
    </row>
    <row r="155" spans="1:8" ht="27.75" x14ac:dyDescent="0.65">
      <c r="A155" s="293" t="s">
        <v>197</v>
      </c>
      <c r="B155" s="117" t="s">
        <v>1109</v>
      </c>
      <c r="C155" s="116">
        <f>IFERROR(VLOOKUP($A155,'งบทดลอง รพ.'!$A$2:$C$500,3,0),0)</f>
        <v>0</v>
      </c>
      <c r="D155" s="21"/>
      <c r="E155" s="72" t="s">
        <v>975</v>
      </c>
      <c r="F155" s="72" t="s">
        <v>16</v>
      </c>
      <c r="G155" s="114" t="s">
        <v>1045</v>
      </c>
      <c r="H155" s="15"/>
    </row>
    <row r="156" spans="1:8" ht="27.75" x14ac:dyDescent="0.65">
      <c r="A156" s="293" t="s">
        <v>198</v>
      </c>
      <c r="B156" s="117" t="s">
        <v>199</v>
      </c>
      <c r="C156" s="116">
        <f>IFERROR(VLOOKUP($A156,'งบทดลอง รพ.'!$A$2:$C$500,3,0),0)</f>
        <v>0</v>
      </c>
      <c r="D156" s="21"/>
      <c r="E156" s="72" t="s">
        <v>975</v>
      </c>
      <c r="F156" s="72" t="s">
        <v>16</v>
      </c>
      <c r="G156" s="114" t="s">
        <v>1045</v>
      </c>
      <c r="H156" s="15"/>
    </row>
    <row r="157" spans="1:8" ht="27.75" x14ac:dyDescent="0.65">
      <c r="A157" s="293" t="s">
        <v>200</v>
      </c>
      <c r="B157" s="117" t="s">
        <v>201</v>
      </c>
      <c r="C157" s="116">
        <f>IFERROR(VLOOKUP($A157,'งบทดลอง รพ.'!$A$2:$C$500,3,0),0)</f>
        <v>13120</v>
      </c>
      <c r="D157" s="21"/>
      <c r="E157" s="72" t="s">
        <v>975</v>
      </c>
      <c r="F157" s="72" t="s">
        <v>16</v>
      </c>
      <c r="G157" s="114" t="s">
        <v>1045</v>
      </c>
      <c r="H157" s="15"/>
    </row>
    <row r="158" spans="1:8" ht="27.75" x14ac:dyDescent="0.65">
      <c r="A158" s="293" t="s">
        <v>213</v>
      </c>
      <c r="B158" s="117" t="s">
        <v>214</v>
      </c>
      <c r="C158" s="116">
        <f>IFERROR(VLOOKUP($A158,'งบทดลอง รพ.'!$A$2:$C$500,3,0),0)</f>
        <v>0</v>
      </c>
      <c r="D158" s="21"/>
      <c r="E158" s="72" t="s">
        <v>977</v>
      </c>
      <c r="F158" s="72" t="s">
        <v>18</v>
      </c>
      <c r="G158" s="114" t="s">
        <v>1045</v>
      </c>
      <c r="H158" s="15"/>
    </row>
    <row r="159" spans="1:8" ht="27.75" x14ac:dyDescent="0.65">
      <c r="A159" s="293" t="s">
        <v>202</v>
      </c>
      <c r="B159" s="117" t="s">
        <v>1110</v>
      </c>
      <c r="C159" s="116">
        <f>IFERROR(VLOOKUP($A159,'งบทดลอง รพ.'!$A$2:$C$500,3,0),0)</f>
        <v>2942800</v>
      </c>
      <c r="D159" s="21"/>
      <c r="E159" s="72" t="s">
        <v>975</v>
      </c>
      <c r="F159" s="72" t="s">
        <v>16</v>
      </c>
      <c r="G159" s="114" t="s">
        <v>1045</v>
      </c>
      <c r="H159" s="15"/>
    </row>
    <row r="160" spans="1:8" ht="27.75" x14ac:dyDescent="0.65">
      <c r="A160" s="293" t="s">
        <v>203</v>
      </c>
      <c r="B160" s="117" t="s">
        <v>204</v>
      </c>
      <c r="C160" s="116">
        <f>IFERROR(VLOOKUP($A160,'งบทดลอง รพ.'!$A$2:$C$500,3,0),0)</f>
        <v>0</v>
      </c>
      <c r="D160" s="21"/>
      <c r="E160" s="72" t="s">
        <v>975</v>
      </c>
      <c r="F160" s="72" t="s">
        <v>16</v>
      </c>
      <c r="G160" s="114" t="s">
        <v>1045</v>
      </c>
      <c r="H160" s="15"/>
    </row>
    <row r="161" spans="1:8" ht="27.75" x14ac:dyDescent="0.65">
      <c r="A161" s="293" t="s">
        <v>205</v>
      </c>
      <c r="B161" s="117" t="s">
        <v>1111</v>
      </c>
      <c r="C161" s="116">
        <f>IFERROR(VLOOKUP($A161,'งบทดลอง รพ.'!$A$2:$C$500,3,0),0)</f>
        <v>0</v>
      </c>
      <c r="D161" s="21"/>
      <c r="E161" s="72" t="s">
        <v>975</v>
      </c>
      <c r="F161" s="72" t="s">
        <v>16</v>
      </c>
      <c r="G161" s="114" t="s">
        <v>1045</v>
      </c>
      <c r="H161" s="15"/>
    </row>
    <row r="162" spans="1:8" ht="27.75" x14ac:dyDescent="0.65">
      <c r="A162" s="293" t="s">
        <v>206</v>
      </c>
      <c r="B162" s="117" t="s">
        <v>207</v>
      </c>
      <c r="C162" s="116">
        <f>IFERROR(VLOOKUP($A162,'งบทดลอง รพ.'!$A$2:$C$500,3,0),0)</f>
        <v>210000</v>
      </c>
      <c r="D162" s="21"/>
      <c r="E162" s="72" t="s">
        <v>975</v>
      </c>
      <c r="F162" s="72" t="s">
        <v>16</v>
      </c>
      <c r="G162" s="114" t="s">
        <v>1045</v>
      </c>
      <c r="H162" s="15"/>
    </row>
    <row r="163" spans="1:8" ht="27.75" x14ac:dyDescent="0.65">
      <c r="A163" s="293" t="s">
        <v>208</v>
      </c>
      <c r="B163" s="117" t="s">
        <v>209</v>
      </c>
      <c r="C163" s="116">
        <f>IFERROR(VLOOKUP($A163,'งบทดลอง รพ.'!$A$2:$C$500,3,0),0)</f>
        <v>538050</v>
      </c>
      <c r="D163" s="21"/>
      <c r="E163" s="72" t="s">
        <v>975</v>
      </c>
      <c r="F163" s="72" t="s">
        <v>16</v>
      </c>
      <c r="G163" s="114" t="s">
        <v>1045</v>
      </c>
      <c r="H163" s="15"/>
    </row>
    <row r="164" spans="1:8" ht="27.75" x14ac:dyDescent="0.65">
      <c r="A164" s="293" t="s">
        <v>224</v>
      </c>
      <c r="B164" s="117" t="s">
        <v>225</v>
      </c>
      <c r="C164" s="116">
        <f>IFERROR(VLOOKUP($A164,'งบทดลอง รพ.'!$A$2:$C$500,3,0),0)</f>
        <v>11677560</v>
      </c>
      <c r="D164" s="21"/>
      <c r="E164" s="72" t="s">
        <v>989</v>
      </c>
      <c r="F164" s="72" t="s">
        <v>25</v>
      </c>
      <c r="G164" s="114" t="s">
        <v>1045</v>
      </c>
      <c r="H164" s="15"/>
    </row>
    <row r="165" spans="1:8" ht="27.75" x14ac:dyDescent="0.65">
      <c r="A165" s="293" t="s">
        <v>226</v>
      </c>
      <c r="B165" s="117" t="s">
        <v>227</v>
      </c>
      <c r="C165" s="116">
        <f>IFERROR(VLOOKUP($A165,'งบทดลอง รพ.'!$A$2:$C$500,3,0),0)</f>
        <v>11950260</v>
      </c>
      <c r="D165" s="21"/>
      <c r="E165" s="72" t="s">
        <v>989</v>
      </c>
      <c r="F165" s="72" t="s">
        <v>25</v>
      </c>
      <c r="G165" s="114" t="s">
        <v>1045</v>
      </c>
      <c r="H165" s="15"/>
    </row>
    <row r="166" spans="1:8" ht="27.75" x14ac:dyDescent="0.65">
      <c r="A166" s="293" t="s">
        <v>228</v>
      </c>
      <c r="B166" s="117" t="s">
        <v>229</v>
      </c>
      <c r="C166" s="116">
        <f>IFERROR(VLOOKUP($A166,'งบทดลอง รพ.'!$A$2:$C$500,3,0),0)</f>
        <v>0</v>
      </c>
      <c r="D166" s="21"/>
      <c r="E166" s="72" t="s">
        <v>989</v>
      </c>
      <c r="F166" s="72" t="s">
        <v>25</v>
      </c>
      <c r="G166" s="114" t="s">
        <v>1045</v>
      </c>
      <c r="H166" s="15"/>
    </row>
    <row r="167" spans="1:8" ht="27.75" x14ac:dyDescent="0.65">
      <c r="A167" s="293" t="s">
        <v>230</v>
      </c>
      <c r="B167" s="117" t="s">
        <v>231</v>
      </c>
      <c r="C167" s="116">
        <f>IFERROR(VLOOKUP($A167,'งบทดลอง รพ.'!$A$2:$C$500,3,0),0)</f>
        <v>1083600</v>
      </c>
      <c r="D167" s="21"/>
      <c r="E167" s="72" t="s">
        <v>989</v>
      </c>
      <c r="F167" s="72" t="s">
        <v>25</v>
      </c>
      <c r="G167" s="114" t="s">
        <v>1045</v>
      </c>
      <c r="H167" s="15"/>
    </row>
    <row r="168" spans="1:8" ht="27.75" x14ac:dyDescent="0.65">
      <c r="A168" s="294" t="s">
        <v>232</v>
      </c>
      <c r="B168" s="118" t="s">
        <v>233</v>
      </c>
      <c r="C168" s="116">
        <f>IFERROR(VLOOKUP($A168,'งบทดลอง รพ.'!$A$2:$C$500,3,0),0)</f>
        <v>0</v>
      </c>
      <c r="D168" s="21"/>
      <c r="E168" s="72" t="s">
        <v>989</v>
      </c>
      <c r="F168" s="72" t="s">
        <v>25</v>
      </c>
      <c r="G168" s="114" t="s">
        <v>1045</v>
      </c>
      <c r="H168" s="15"/>
    </row>
    <row r="169" spans="1:8" ht="27.75" x14ac:dyDescent="0.65">
      <c r="A169" s="293" t="s">
        <v>234</v>
      </c>
      <c r="B169" s="117" t="s">
        <v>235</v>
      </c>
      <c r="C169" s="116">
        <f>IFERROR(VLOOKUP($A169,'งบทดลอง รพ.'!$A$2:$C$500,3,0),0)</f>
        <v>0</v>
      </c>
      <c r="D169" s="21"/>
      <c r="E169" s="72" t="s">
        <v>991</v>
      </c>
      <c r="F169" s="72" t="s">
        <v>29</v>
      </c>
      <c r="G169" s="114" t="s">
        <v>1045</v>
      </c>
      <c r="H169" s="15"/>
    </row>
    <row r="170" spans="1:8" ht="27.75" x14ac:dyDescent="0.65">
      <c r="A170" s="293" t="s">
        <v>236</v>
      </c>
      <c r="B170" s="117" t="s">
        <v>237</v>
      </c>
      <c r="C170" s="116">
        <f>IFERROR(VLOOKUP($A170,'งบทดลอง รพ.'!$A$2:$C$500,3,0),0)</f>
        <v>0</v>
      </c>
      <c r="D170" s="21"/>
      <c r="E170" s="72" t="s">
        <v>989</v>
      </c>
      <c r="F170" s="72" t="s">
        <v>25</v>
      </c>
      <c r="G170" s="114" t="s">
        <v>1045</v>
      </c>
      <c r="H170" s="15"/>
    </row>
    <row r="171" spans="1:8" ht="27.75" x14ac:dyDescent="0.65">
      <c r="A171" s="293" t="s">
        <v>238</v>
      </c>
      <c r="B171" s="117" t="s">
        <v>239</v>
      </c>
      <c r="C171" s="116">
        <f>IFERROR(VLOOKUP($A171,'งบทดลอง รพ.'!$A$2:$C$500,3,0),0)</f>
        <v>0</v>
      </c>
      <c r="D171" s="21"/>
      <c r="E171" s="72" t="s">
        <v>989</v>
      </c>
      <c r="F171" s="72" t="s">
        <v>25</v>
      </c>
      <c r="G171" s="114" t="s">
        <v>1045</v>
      </c>
      <c r="H171" s="15"/>
    </row>
    <row r="172" spans="1:8" ht="27.75" x14ac:dyDescent="0.65">
      <c r="A172" s="293" t="s">
        <v>240</v>
      </c>
      <c r="B172" s="117" t="s">
        <v>241</v>
      </c>
      <c r="C172" s="116">
        <f>IFERROR(VLOOKUP($A172,'งบทดลอง รพ.'!$A$2:$C$500,3,0),0)</f>
        <v>0</v>
      </c>
      <c r="D172" s="21"/>
      <c r="E172" s="72" t="s">
        <v>989</v>
      </c>
      <c r="F172" s="72" t="s">
        <v>25</v>
      </c>
      <c r="G172" s="114" t="s">
        <v>1045</v>
      </c>
      <c r="H172" s="15"/>
    </row>
    <row r="173" spans="1:8" ht="27.75" x14ac:dyDescent="0.65">
      <c r="A173" s="293" t="s">
        <v>242</v>
      </c>
      <c r="B173" s="117" t="s">
        <v>243</v>
      </c>
      <c r="C173" s="116">
        <f>IFERROR(VLOOKUP($A173,'งบทดลอง รพ.'!$A$2:$C$500,3,0),0)</f>
        <v>0</v>
      </c>
      <c r="D173" s="21"/>
      <c r="E173" s="72" t="s">
        <v>989</v>
      </c>
      <c r="F173" s="72" t="s">
        <v>25</v>
      </c>
      <c r="G173" s="114" t="s">
        <v>1045</v>
      </c>
      <c r="H173" s="15"/>
    </row>
    <row r="174" spans="1:8" ht="27.75" x14ac:dyDescent="0.65">
      <c r="A174" s="293" t="s">
        <v>244</v>
      </c>
      <c r="B174" s="117" t="s">
        <v>245</v>
      </c>
      <c r="C174" s="116">
        <f>IFERROR(VLOOKUP($A174,'งบทดลอง รพ.'!$A$2:$C$500,3,0),0)</f>
        <v>1456920</v>
      </c>
      <c r="D174" s="21"/>
      <c r="E174" s="72" t="s">
        <v>989</v>
      </c>
      <c r="F174" s="72" t="s">
        <v>25</v>
      </c>
      <c r="G174" s="114" t="s">
        <v>1045</v>
      </c>
      <c r="H174" s="15"/>
    </row>
    <row r="175" spans="1:8" ht="27.75" x14ac:dyDescent="0.65">
      <c r="A175" s="293" t="s">
        <v>246</v>
      </c>
      <c r="B175" s="117" t="s">
        <v>247</v>
      </c>
      <c r="C175" s="116">
        <f>IFERROR(VLOOKUP($A175,'งบทดลอง รพ.'!$A$2:$C$500,3,0),0)</f>
        <v>1484580</v>
      </c>
      <c r="D175" s="21"/>
      <c r="E175" s="72" t="s">
        <v>989</v>
      </c>
      <c r="F175" s="72" t="s">
        <v>25</v>
      </c>
      <c r="G175" s="114" t="s">
        <v>1045</v>
      </c>
      <c r="H175" s="15"/>
    </row>
    <row r="176" spans="1:8" ht="27.75" x14ac:dyDescent="0.65">
      <c r="A176" s="293" t="s">
        <v>256</v>
      </c>
      <c r="B176" s="117" t="s">
        <v>257</v>
      </c>
      <c r="C176" s="116">
        <f>IFERROR(VLOOKUP($A176,'งบทดลอง รพ.'!$A$2:$C$500,3,0),0)</f>
        <v>2726400</v>
      </c>
      <c r="D176" s="21"/>
      <c r="E176" s="72" t="s">
        <v>993</v>
      </c>
      <c r="F176" s="72" t="s">
        <v>27</v>
      </c>
      <c r="G176" s="114" t="s">
        <v>1045</v>
      </c>
      <c r="H176" s="15"/>
    </row>
    <row r="177" spans="1:8" ht="27.75" x14ac:dyDescent="0.65">
      <c r="A177" s="293" t="s">
        <v>258</v>
      </c>
      <c r="B177" s="117" t="s">
        <v>259</v>
      </c>
      <c r="C177" s="116">
        <f>IFERROR(VLOOKUP($A177,'งบทดลอง รพ.'!$A$2:$C$500,3,0),0)</f>
        <v>2950240</v>
      </c>
      <c r="D177" s="21"/>
      <c r="E177" s="72" t="s">
        <v>993</v>
      </c>
      <c r="F177" s="72" t="s">
        <v>27</v>
      </c>
      <c r="G177" s="114" t="s">
        <v>1045</v>
      </c>
      <c r="H177" s="15"/>
    </row>
    <row r="178" spans="1:8" ht="27.75" x14ac:dyDescent="0.65">
      <c r="A178" s="293" t="s">
        <v>260</v>
      </c>
      <c r="B178" s="117" t="s">
        <v>1112</v>
      </c>
      <c r="C178" s="116">
        <f>IFERROR(VLOOKUP($A178,'งบทดลอง รพ.'!$A$2:$C$500,3,0),0)</f>
        <v>2121360</v>
      </c>
      <c r="D178" s="21"/>
      <c r="E178" s="72" t="s">
        <v>995</v>
      </c>
      <c r="F178" s="72" t="s">
        <v>27</v>
      </c>
      <c r="G178" s="114" t="s">
        <v>1045</v>
      </c>
      <c r="H178" s="15"/>
    </row>
    <row r="179" spans="1:8" ht="27.75" x14ac:dyDescent="0.65">
      <c r="A179" s="293" t="s">
        <v>261</v>
      </c>
      <c r="B179" s="117" t="s">
        <v>262</v>
      </c>
      <c r="C179" s="116">
        <f>IFERROR(VLOOKUP($A179,'งบทดลอง รพ.'!$A$2:$C$500,3,0),0)</f>
        <v>1524400</v>
      </c>
      <c r="D179" s="21"/>
      <c r="E179" s="72" t="s">
        <v>995</v>
      </c>
      <c r="F179" s="72" t="s">
        <v>27</v>
      </c>
      <c r="G179" s="114" t="s">
        <v>1045</v>
      </c>
      <c r="H179" s="15"/>
    </row>
    <row r="180" spans="1:8" ht="27.75" x14ac:dyDescent="0.65">
      <c r="A180" s="293" t="s">
        <v>263</v>
      </c>
      <c r="B180" s="117" t="s">
        <v>264</v>
      </c>
      <c r="C180" s="116">
        <f>IFERROR(VLOOKUP($A180,'งบทดลอง รพ.'!$A$2:$C$500,3,0),0)</f>
        <v>0</v>
      </c>
      <c r="D180" s="21"/>
      <c r="E180" s="72" t="s">
        <v>997</v>
      </c>
      <c r="F180" s="72" t="s">
        <v>27</v>
      </c>
      <c r="G180" s="114" t="s">
        <v>1045</v>
      </c>
      <c r="H180" s="15"/>
    </row>
    <row r="181" spans="1:8" ht="27.75" x14ac:dyDescent="0.65">
      <c r="A181" s="293" t="s">
        <v>265</v>
      </c>
      <c r="B181" s="117" t="s">
        <v>607</v>
      </c>
      <c r="C181" s="116">
        <f>IFERROR(VLOOKUP($A181,'งบทดลอง รพ.'!$A$2:$C$500,3,0),0)</f>
        <v>0</v>
      </c>
      <c r="D181" s="21"/>
      <c r="E181" s="72" t="s">
        <v>997</v>
      </c>
      <c r="F181" s="72" t="s">
        <v>27</v>
      </c>
      <c r="G181" s="114" t="s">
        <v>1045</v>
      </c>
      <c r="H181" s="15"/>
    </row>
    <row r="182" spans="1:8" ht="27.75" x14ac:dyDescent="0.65">
      <c r="A182" s="293" t="s">
        <v>248</v>
      </c>
      <c r="B182" s="117" t="s">
        <v>1113</v>
      </c>
      <c r="C182" s="116">
        <f>IFERROR(VLOOKUP($A182,'งบทดลอง รพ.'!$A$2:$C$500,3,0),0)</f>
        <v>0</v>
      </c>
      <c r="D182" s="21"/>
      <c r="E182" s="72" t="s">
        <v>989</v>
      </c>
      <c r="F182" s="72" t="s">
        <v>25</v>
      </c>
      <c r="G182" s="114" t="s">
        <v>1045</v>
      </c>
      <c r="H182" s="15"/>
    </row>
    <row r="183" spans="1:8" ht="27.75" x14ac:dyDescent="0.65">
      <c r="A183" s="293" t="s">
        <v>249</v>
      </c>
      <c r="B183" s="117" t="s">
        <v>1114</v>
      </c>
      <c r="C183" s="116">
        <f>IFERROR(VLOOKUP($A183,'งบทดลอง รพ.'!$A$2:$C$500,3,0),0)</f>
        <v>0</v>
      </c>
      <c r="D183" s="21"/>
      <c r="E183" s="72" t="s">
        <v>989</v>
      </c>
      <c r="F183" s="72" t="s">
        <v>25</v>
      </c>
      <c r="G183" s="114" t="s">
        <v>1045</v>
      </c>
      <c r="H183" s="15"/>
    </row>
    <row r="184" spans="1:8" ht="27.75" x14ac:dyDescent="0.65">
      <c r="A184" s="293" t="s">
        <v>250</v>
      </c>
      <c r="B184" s="117" t="s">
        <v>1115</v>
      </c>
      <c r="C184" s="116">
        <f>IFERROR(VLOOKUP($A184,'งบทดลอง รพ.'!$A$2:$C$500,3,0),0)</f>
        <v>0</v>
      </c>
      <c r="D184" s="21"/>
      <c r="E184" s="72" t="s">
        <v>989</v>
      </c>
      <c r="F184" s="72" t="s">
        <v>25</v>
      </c>
      <c r="G184" s="114" t="s">
        <v>1045</v>
      </c>
      <c r="H184" s="15"/>
    </row>
    <row r="185" spans="1:8" ht="27.75" x14ac:dyDescent="0.65">
      <c r="A185" s="293" t="s">
        <v>251</v>
      </c>
      <c r="B185" s="117" t="s">
        <v>1116</v>
      </c>
      <c r="C185" s="116">
        <f>IFERROR(VLOOKUP($A185,'งบทดลอง รพ.'!$A$2:$C$500,3,0),0)</f>
        <v>0</v>
      </c>
      <c r="D185" s="21"/>
      <c r="E185" s="72" t="s">
        <v>989</v>
      </c>
      <c r="F185" s="72" t="s">
        <v>25</v>
      </c>
      <c r="G185" s="114" t="s">
        <v>1045</v>
      </c>
      <c r="H185" s="15"/>
    </row>
    <row r="186" spans="1:8" ht="27.75" x14ac:dyDescent="0.65">
      <c r="A186" s="293" t="s">
        <v>252</v>
      </c>
      <c r="B186" s="117" t="s">
        <v>1117</v>
      </c>
      <c r="C186" s="116">
        <f>IFERROR(VLOOKUP($A186,'งบทดลอง รพ.'!$A$2:$C$500,3,0),0)</f>
        <v>0</v>
      </c>
      <c r="D186" s="21"/>
      <c r="E186" s="72" t="s">
        <v>989</v>
      </c>
      <c r="F186" s="72" t="s">
        <v>25</v>
      </c>
      <c r="G186" s="114" t="s">
        <v>1045</v>
      </c>
      <c r="H186" s="15"/>
    </row>
    <row r="187" spans="1:8" ht="27.75" x14ac:dyDescent="0.65">
      <c r="A187" s="293" t="s">
        <v>253</v>
      </c>
      <c r="B187" s="117" t="s">
        <v>1118</v>
      </c>
      <c r="C187" s="116">
        <f>IFERROR(VLOOKUP($A187,'งบทดลอง รพ.'!$A$2:$C$500,3,0),0)</f>
        <v>0</v>
      </c>
      <c r="D187" s="21"/>
      <c r="E187" s="72" t="s">
        <v>989</v>
      </c>
      <c r="F187" s="72" t="s">
        <v>25</v>
      </c>
      <c r="G187" s="114" t="s">
        <v>1045</v>
      </c>
      <c r="H187" s="15"/>
    </row>
    <row r="188" spans="1:8" ht="27.75" x14ac:dyDescent="0.65">
      <c r="A188" s="293" t="s">
        <v>254</v>
      </c>
      <c r="B188" s="117" t="s">
        <v>1119</v>
      </c>
      <c r="C188" s="116">
        <f>IFERROR(VLOOKUP($A188,'งบทดลอง รพ.'!$A$2:$C$500,3,0),0)</f>
        <v>0</v>
      </c>
      <c r="D188" s="21"/>
      <c r="E188" s="72" t="s">
        <v>989</v>
      </c>
      <c r="F188" s="72" t="s">
        <v>25</v>
      </c>
      <c r="G188" s="114" t="s">
        <v>1045</v>
      </c>
      <c r="H188" s="15"/>
    </row>
    <row r="189" spans="1:8" ht="27.75" x14ac:dyDescent="0.65">
      <c r="A189" s="293" t="s">
        <v>255</v>
      </c>
      <c r="B189" s="117" t="s">
        <v>1120</v>
      </c>
      <c r="C189" s="116">
        <f>IFERROR(VLOOKUP($A189,'งบทดลอง รพ.'!$A$2:$C$500,3,0),0)</f>
        <v>0</v>
      </c>
      <c r="D189" s="21"/>
      <c r="E189" s="72" t="s">
        <v>989</v>
      </c>
      <c r="F189" s="72" t="s">
        <v>25</v>
      </c>
      <c r="G189" s="114" t="s">
        <v>1045</v>
      </c>
      <c r="H189" s="15"/>
    </row>
    <row r="190" spans="1:8" ht="27.75" x14ac:dyDescent="0.65">
      <c r="A190" s="293" t="s">
        <v>853</v>
      </c>
      <c r="B190" s="117" t="s">
        <v>854</v>
      </c>
      <c r="C190" s="116">
        <f>IFERROR(VLOOKUP($A190,'งบทดลอง รพ.'!$A$2:$C$500,3,0),0)</f>
        <v>201600</v>
      </c>
      <c r="D190" s="21"/>
      <c r="E190" s="72" t="s">
        <v>989</v>
      </c>
      <c r="F190" s="72" t="s">
        <v>25</v>
      </c>
      <c r="G190" s="114" t="s">
        <v>1045</v>
      </c>
      <c r="H190" s="15"/>
    </row>
    <row r="191" spans="1:8" ht="27.75" x14ac:dyDescent="0.65">
      <c r="A191" s="293" t="s">
        <v>855</v>
      </c>
      <c r="B191" s="117" t="s">
        <v>856</v>
      </c>
      <c r="C191" s="116">
        <f>IFERROR(VLOOKUP($A191,'งบทดลอง รพ.'!$A$2:$C$500,3,0),0)</f>
        <v>0</v>
      </c>
      <c r="D191" s="21"/>
      <c r="E191" s="72" t="s">
        <v>989</v>
      </c>
      <c r="F191" s="72" t="s">
        <v>25</v>
      </c>
      <c r="G191" s="114" t="s">
        <v>1045</v>
      </c>
      <c r="H191" s="15"/>
    </row>
    <row r="192" spans="1:8" ht="27.75" x14ac:dyDescent="0.65">
      <c r="A192" s="293" t="s">
        <v>857</v>
      </c>
      <c r="B192" s="117" t="s">
        <v>1149</v>
      </c>
      <c r="C192" s="116">
        <f>IFERROR(VLOOKUP($A192,'งบทดลอง รพ.'!$A$2:$C$500,3,0),0)</f>
        <v>780160</v>
      </c>
      <c r="D192" s="21"/>
      <c r="E192" s="72" t="s">
        <v>991</v>
      </c>
      <c r="F192" s="72" t="s">
        <v>29</v>
      </c>
      <c r="G192" s="114" t="s">
        <v>1045</v>
      </c>
      <c r="H192" s="15"/>
    </row>
    <row r="193" spans="1:8" ht="27.75" x14ac:dyDescent="0.65">
      <c r="A193" s="293" t="s">
        <v>276</v>
      </c>
      <c r="B193" s="117" t="s">
        <v>277</v>
      </c>
      <c r="C193" s="116">
        <f>IFERROR(VLOOKUP($A193,'งบทดลอง รพ.'!$A$2:$C$500,3,0),0)</f>
        <v>0</v>
      </c>
      <c r="D193" s="21"/>
      <c r="E193" s="72" t="s">
        <v>999</v>
      </c>
      <c r="F193" s="72" t="s">
        <v>31</v>
      </c>
      <c r="G193" s="114" t="s">
        <v>1045</v>
      </c>
      <c r="H193" s="15"/>
    </row>
    <row r="194" spans="1:8" ht="27.75" x14ac:dyDescent="0.65">
      <c r="A194" s="293" t="s">
        <v>278</v>
      </c>
      <c r="B194" s="117" t="s">
        <v>279</v>
      </c>
      <c r="C194" s="116">
        <f>IFERROR(VLOOKUP($A194,'งบทดลอง รพ.'!$A$2:$C$500,3,0),0)</f>
        <v>0</v>
      </c>
      <c r="D194" s="21"/>
      <c r="E194" s="72" t="s">
        <v>999</v>
      </c>
      <c r="F194" s="72" t="s">
        <v>31</v>
      </c>
      <c r="G194" s="114" t="s">
        <v>1045</v>
      </c>
      <c r="H194" s="15"/>
    </row>
    <row r="195" spans="1:8" ht="27.75" x14ac:dyDescent="0.65">
      <c r="A195" s="293" t="s">
        <v>280</v>
      </c>
      <c r="B195" s="117" t="s">
        <v>281</v>
      </c>
      <c r="C195" s="116">
        <f>IFERROR(VLOOKUP($A195,'งบทดลอง รพ.'!$A$2:$C$500,3,0),0)</f>
        <v>308880.83</v>
      </c>
      <c r="D195" s="21"/>
      <c r="E195" s="72" t="s">
        <v>999</v>
      </c>
      <c r="F195" s="72" t="s">
        <v>31</v>
      </c>
      <c r="G195" s="114" t="s">
        <v>1045</v>
      </c>
      <c r="H195" s="15"/>
    </row>
    <row r="196" spans="1:8" ht="27.75" x14ac:dyDescent="0.65">
      <c r="A196" s="293" t="s">
        <v>282</v>
      </c>
      <c r="B196" s="117" t="s">
        <v>283</v>
      </c>
      <c r="C196" s="116">
        <f>IFERROR(VLOOKUP($A196,'งบทดลอง รพ.'!$A$2:$C$500,3,0),0)</f>
        <v>463321.25</v>
      </c>
      <c r="D196" s="21"/>
      <c r="E196" s="72" t="s">
        <v>999</v>
      </c>
      <c r="F196" s="72" t="s">
        <v>31</v>
      </c>
      <c r="G196" s="114" t="s">
        <v>1045</v>
      </c>
      <c r="H196" s="15"/>
    </row>
    <row r="197" spans="1:8" ht="27.75" x14ac:dyDescent="0.65">
      <c r="A197" s="293" t="s">
        <v>284</v>
      </c>
      <c r="B197" s="117" t="s">
        <v>285</v>
      </c>
      <c r="C197" s="116">
        <f>IFERROR(VLOOKUP($A197,'งบทดลอง รพ.'!$A$2:$C$500,3,0),0)</f>
        <v>77516.429999999993</v>
      </c>
      <c r="D197" s="21"/>
      <c r="E197" s="72" t="s">
        <v>999</v>
      </c>
      <c r="F197" s="72" t="s">
        <v>31</v>
      </c>
      <c r="G197" s="114" t="s">
        <v>1045</v>
      </c>
      <c r="H197" s="15"/>
    </row>
    <row r="198" spans="1:8" ht="27.75" x14ac:dyDescent="0.65">
      <c r="A198" s="293" t="s">
        <v>1331</v>
      </c>
      <c r="B198" s="117" t="s">
        <v>1289</v>
      </c>
      <c r="C198" s="116">
        <f>IFERROR(VLOOKUP($A198,'งบทดลอง รพ.'!$A$2:$C$500,3,0),0)</f>
        <v>0</v>
      </c>
      <c r="D198" s="21"/>
      <c r="E198" s="72" t="s">
        <v>999</v>
      </c>
      <c r="F198" s="72" t="s">
        <v>31</v>
      </c>
      <c r="G198" s="114" t="s">
        <v>1045</v>
      </c>
      <c r="H198" s="15"/>
    </row>
    <row r="199" spans="1:8" ht="27.75" x14ac:dyDescent="0.65">
      <c r="A199" s="293" t="s">
        <v>1332</v>
      </c>
      <c r="B199" s="117" t="s">
        <v>1290</v>
      </c>
      <c r="C199" s="116">
        <f>IFERROR(VLOOKUP($A199,'งบทดลอง รพ.'!$A$2:$C$500,3,0),0)</f>
        <v>0</v>
      </c>
      <c r="D199" s="21"/>
      <c r="E199" s="72" t="s">
        <v>999</v>
      </c>
      <c r="F199" s="72" t="s">
        <v>31</v>
      </c>
      <c r="G199" s="114" t="s">
        <v>1045</v>
      </c>
      <c r="H199" s="15"/>
    </row>
    <row r="200" spans="1:8" ht="27.75" x14ac:dyDescent="0.65">
      <c r="A200" s="293" t="s">
        <v>286</v>
      </c>
      <c r="B200" s="117" t="s">
        <v>287</v>
      </c>
      <c r="C200" s="116">
        <f>IFERROR(VLOOKUP($A200,'งบทดลอง รพ.'!$A$2:$C$500,3,0),0)</f>
        <v>0</v>
      </c>
      <c r="D200" s="21"/>
      <c r="E200" s="72" t="s">
        <v>999</v>
      </c>
      <c r="F200" s="72" t="s">
        <v>31</v>
      </c>
      <c r="G200" s="114" t="s">
        <v>1045</v>
      </c>
      <c r="H200" s="15"/>
    </row>
    <row r="201" spans="1:8" ht="27.75" x14ac:dyDescent="0.65">
      <c r="A201" s="293" t="s">
        <v>288</v>
      </c>
      <c r="B201" s="117" t="s">
        <v>289</v>
      </c>
      <c r="C201" s="116">
        <f>IFERROR(VLOOKUP($A201,'งบทดลอง รพ.'!$A$2:$C$500,3,0),0)</f>
        <v>18258.400000000001</v>
      </c>
      <c r="D201" s="21"/>
      <c r="E201" s="72" t="s">
        <v>999</v>
      </c>
      <c r="F201" s="72" t="s">
        <v>31</v>
      </c>
      <c r="G201" s="114" t="s">
        <v>1045</v>
      </c>
      <c r="H201" s="15"/>
    </row>
    <row r="202" spans="1:8" ht="27.75" x14ac:dyDescent="0.65">
      <c r="A202" s="293" t="s">
        <v>269</v>
      </c>
      <c r="B202" s="117" t="s">
        <v>270</v>
      </c>
      <c r="C202" s="116">
        <f>IFERROR(VLOOKUP($A202,'งบทดลอง รพ.'!$A$2:$C$500,3,0),0)</f>
        <v>1386000</v>
      </c>
      <c r="D202" s="21"/>
      <c r="E202" s="72" t="s">
        <v>1003</v>
      </c>
      <c r="F202" s="72" t="s">
        <v>29</v>
      </c>
      <c r="G202" s="114" t="s">
        <v>1045</v>
      </c>
      <c r="H202" s="15"/>
    </row>
    <row r="203" spans="1:8" ht="27.75" x14ac:dyDescent="0.65">
      <c r="A203" s="293" t="s">
        <v>272</v>
      </c>
      <c r="B203" s="117" t="s">
        <v>273</v>
      </c>
      <c r="C203" s="116">
        <f>IFERROR(VLOOKUP($A203,'งบทดลอง รพ.'!$A$2:$C$500,3,0),0)</f>
        <v>66000</v>
      </c>
      <c r="D203" s="21"/>
      <c r="E203" s="72" t="s">
        <v>1003</v>
      </c>
      <c r="F203" s="72" t="s">
        <v>29</v>
      </c>
      <c r="G203" s="114" t="s">
        <v>1045</v>
      </c>
      <c r="H203" s="15"/>
    </row>
    <row r="204" spans="1:8" ht="27.75" x14ac:dyDescent="0.65">
      <c r="A204" s="293" t="s">
        <v>274</v>
      </c>
      <c r="B204" s="117" t="s">
        <v>1336</v>
      </c>
      <c r="C204" s="116">
        <f>IFERROR(VLOOKUP($A204,'งบทดลอง รพ.'!$A$2:$C$500,3,0),0)</f>
        <v>0</v>
      </c>
      <c r="D204" s="21"/>
      <c r="E204" s="72" t="s">
        <v>1005</v>
      </c>
      <c r="F204" s="72" t="s">
        <v>29</v>
      </c>
      <c r="G204" s="114" t="s">
        <v>1045</v>
      </c>
      <c r="H204" s="15"/>
    </row>
    <row r="205" spans="1:8" ht="27.75" x14ac:dyDescent="0.65">
      <c r="A205" s="293" t="s">
        <v>275</v>
      </c>
      <c r="B205" s="117" t="s">
        <v>1337</v>
      </c>
      <c r="C205" s="116">
        <f>IFERROR(VLOOKUP($A205,'งบทดลอง รพ.'!$A$2:$C$500,3,0),0)</f>
        <v>0</v>
      </c>
      <c r="D205" s="21"/>
      <c r="E205" s="72" t="s">
        <v>1005</v>
      </c>
      <c r="F205" s="72" t="s">
        <v>29</v>
      </c>
      <c r="G205" s="114" t="s">
        <v>1045</v>
      </c>
      <c r="H205" s="15"/>
    </row>
    <row r="206" spans="1:8" ht="27.75" x14ac:dyDescent="0.65">
      <c r="A206" s="293" t="s">
        <v>858</v>
      </c>
      <c r="B206" s="117" t="s">
        <v>1338</v>
      </c>
      <c r="C206" s="116">
        <f>IFERROR(VLOOKUP($A206,'งบทดลอง รพ.'!$A$2:$C$500,3,0),0)</f>
        <v>5137200</v>
      </c>
      <c r="D206" s="21"/>
      <c r="E206" s="72" t="s">
        <v>1001</v>
      </c>
      <c r="F206" s="72" t="s">
        <v>29</v>
      </c>
      <c r="G206" s="114" t="s">
        <v>1045</v>
      </c>
      <c r="H206" s="15"/>
    </row>
    <row r="207" spans="1:8" ht="27.75" x14ac:dyDescent="0.65">
      <c r="A207" s="293" t="s">
        <v>859</v>
      </c>
      <c r="B207" s="117" t="s">
        <v>1339</v>
      </c>
      <c r="C207" s="116">
        <f>IFERROR(VLOOKUP($A207,'งบทดลอง รพ.'!$A$2:$C$500,3,0),0)</f>
        <v>0</v>
      </c>
      <c r="D207" s="21"/>
      <c r="E207" s="72" t="s">
        <v>1001</v>
      </c>
      <c r="F207" s="72" t="s">
        <v>29</v>
      </c>
      <c r="G207" s="114" t="s">
        <v>1045</v>
      </c>
      <c r="H207" s="15"/>
    </row>
    <row r="208" spans="1:8" ht="27.75" x14ac:dyDescent="0.65">
      <c r="A208" s="293" t="s">
        <v>1295</v>
      </c>
      <c r="B208" s="117" t="s">
        <v>1340</v>
      </c>
      <c r="C208" s="116">
        <f>IFERROR(VLOOKUP($A208,'งบทดลอง รพ.'!$A$2:$C$500,3,0),0)</f>
        <v>0</v>
      </c>
      <c r="D208" s="21"/>
      <c r="E208" s="72" t="s">
        <v>1005</v>
      </c>
      <c r="F208" s="72" t="s">
        <v>29</v>
      </c>
      <c r="G208" s="114" t="s">
        <v>1045</v>
      </c>
      <c r="H208" s="15"/>
    </row>
    <row r="209" spans="1:8" ht="27.75" x14ac:dyDescent="0.65">
      <c r="A209" s="293" t="s">
        <v>1296</v>
      </c>
      <c r="B209" s="117" t="s">
        <v>1341</v>
      </c>
      <c r="C209" s="116">
        <f>IFERROR(VLOOKUP($A209,'งบทดลอง รพ.'!$A$2:$C$500,3,0),0)</f>
        <v>0</v>
      </c>
      <c r="D209" s="21"/>
      <c r="E209" s="72" t="s">
        <v>1005</v>
      </c>
      <c r="F209" s="72" t="s">
        <v>29</v>
      </c>
      <c r="G209" s="114" t="s">
        <v>1045</v>
      </c>
      <c r="H209" s="15"/>
    </row>
    <row r="210" spans="1:8" ht="27.75" x14ac:dyDescent="0.65">
      <c r="A210" s="293" t="s">
        <v>1297</v>
      </c>
      <c r="B210" s="117" t="s">
        <v>1342</v>
      </c>
      <c r="C210" s="116">
        <f>IFERROR(VLOOKUP($A210,'งบทดลอง รพ.'!$A$2:$C$500,3,0),0)</f>
        <v>0</v>
      </c>
      <c r="D210" s="21"/>
      <c r="E210" s="72" t="s">
        <v>1001</v>
      </c>
      <c r="F210" s="72" t="s">
        <v>29</v>
      </c>
      <c r="G210" s="114" t="s">
        <v>1045</v>
      </c>
      <c r="H210" s="15"/>
    </row>
    <row r="211" spans="1:8" ht="27.75" x14ac:dyDescent="0.65">
      <c r="A211" s="293" t="s">
        <v>1300</v>
      </c>
      <c r="B211" s="117" t="s">
        <v>1343</v>
      </c>
      <c r="C211" s="116">
        <f>IFERROR(VLOOKUP($A211,'งบทดลอง รพ.'!$A$2:$C$500,3,0),0)</f>
        <v>0</v>
      </c>
      <c r="D211" s="21"/>
      <c r="E211" s="72" t="s">
        <v>1001</v>
      </c>
      <c r="F211" s="72" t="s">
        <v>29</v>
      </c>
      <c r="G211" s="114" t="s">
        <v>1045</v>
      </c>
      <c r="H211" s="15"/>
    </row>
    <row r="212" spans="1:8" ht="27.75" x14ac:dyDescent="0.65">
      <c r="A212" s="293" t="s">
        <v>860</v>
      </c>
      <c r="B212" s="117" t="s">
        <v>861</v>
      </c>
      <c r="C212" s="116">
        <f>IFERROR(VLOOKUP($A212,'งบทดลอง รพ.'!$A$2:$C$500,3,0),0)</f>
        <v>0</v>
      </c>
      <c r="D212" s="21"/>
      <c r="E212" s="72" t="s">
        <v>1005</v>
      </c>
      <c r="F212" s="72" t="s">
        <v>29</v>
      </c>
      <c r="G212" s="114" t="s">
        <v>1045</v>
      </c>
      <c r="H212" s="15"/>
    </row>
    <row r="213" spans="1:8" ht="27.75" x14ac:dyDescent="0.65">
      <c r="A213" s="295" t="s">
        <v>1367</v>
      </c>
      <c r="B213" s="117" t="s">
        <v>1368</v>
      </c>
      <c r="C213" s="116">
        <f>IFERROR(VLOOKUP($A213,'งบทดลอง รพ.'!$A$2:$C$500,3,0),0)</f>
        <v>0</v>
      </c>
      <c r="D213" s="21"/>
      <c r="E213" s="72" t="s">
        <v>999</v>
      </c>
      <c r="F213" s="72" t="s">
        <v>31</v>
      </c>
      <c r="G213" s="114" t="s">
        <v>1045</v>
      </c>
      <c r="H213" s="15"/>
    </row>
    <row r="214" spans="1:8" ht="27.75" x14ac:dyDescent="0.65">
      <c r="A214" s="295" t="s">
        <v>1369</v>
      </c>
      <c r="B214" s="117" t="s">
        <v>1370</v>
      </c>
      <c r="C214" s="116">
        <f>IFERROR(VLOOKUP($A214,'งบทดลอง รพ.'!$A$2:$C$500,3,0),0)</f>
        <v>0</v>
      </c>
      <c r="D214" s="21"/>
      <c r="E214" s="72" t="s">
        <v>999</v>
      </c>
      <c r="F214" s="72" t="s">
        <v>31</v>
      </c>
      <c r="G214" s="114" t="s">
        <v>1045</v>
      </c>
      <c r="H214" s="15"/>
    </row>
    <row r="215" spans="1:8" ht="27.75" x14ac:dyDescent="0.65">
      <c r="A215" s="293" t="s">
        <v>862</v>
      </c>
      <c r="B215" s="117" t="s">
        <v>863</v>
      </c>
      <c r="C215" s="116">
        <f>IFERROR(VLOOKUP($A215,'งบทดลอง รพ.'!$A$2:$C$500,3,0),0)</f>
        <v>0</v>
      </c>
      <c r="D215" s="21"/>
      <c r="E215" s="72" t="s">
        <v>1005</v>
      </c>
      <c r="F215" s="72" t="s">
        <v>29</v>
      </c>
      <c r="G215" s="114" t="s">
        <v>1045</v>
      </c>
      <c r="H215" s="15"/>
    </row>
    <row r="216" spans="1:8" ht="27.75" x14ac:dyDescent="0.65">
      <c r="A216" s="293" t="s">
        <v>864</v>
      </c>
      <c r="B216" s="117" t="s">
        <v>865</v>
      </c>
      <c r="C216" s="116">
        <f>IFERROR(VLOOKUP($A216,'งบทดลอง รพ.'!$A$2:$C$500,3,0),0)</f>
        <v>0</v>
      </c>
      <c r="D216" s="21"/>
      <c r="E216" s="72" t="s">
        <v>1005</v>
      </c>
      <c r="F216" s="72" t="s">
        <v>29</v>
      </c>
      <c r="G216" s="114" t="s">
        <v>1045</v>
      </c>
      <c r="H216" s="15"/>
    </row>
    <row r="217" spans="1:8" ht="27.75" x14ac:dyDescent="0.65">
      <c r="A217" s="293" t="s">
        <v>290</v>
      </c>
      <c r="B217" s="117" t="s">
        <v>291</v>
      </c>
      <c r="C217" s="116">
        <f>IFERROR(VLOOKUP($A217,'งบทดลอง รพ.'!$A$2:$C$500,3,0),0)</f>
        <v>150000</v>
      </c>
      <c r="D217" s="21"/>
      <c r="E217" s="72" t="s">
        <v>999</v>
      </c>
      <c r="F217" s="72" t="s">
        <v>31</v>
      </c>
      <c r="G217" s="114" t="s">
        <v>1045</v>
      </c>
      <c r="H217" s="15"/>
    </row>
    <row r="218" spans="1:8" ht="27.75" x14ac:dyDescent="0.65">
      <c r="A218" s="293" t="s">
        <v>292</v>
      </c>
      <c r="B218" s="117" t="s">
        <v>293</v>
      </c>
      <c r="C218" s="116">
        <f>IFERROR(VLOOKUP($A218,'งบทดลอง รพ.'!$A$2:$C$500,3,0),0)</f>
        <v>60000</v>
      </c>
      <c r="D218" s="21"/>
      <c r="E218" s="72" t="s">
        <v>999</v>
      </c>
      <c r="F218" s="72" t="s">
        <v>31</v>
      </c>
      <c r="G218" s="114" t="s">
        <v>1045</v>
      </c>
      <c r="H218" s="15"/>
    </row>
    <row r="219" spans="1:8" ht="27.75" x14ac:dyDescent="0.65">
      <c r="A219" s="293" t="s">
        <v>866</v>
      </c>
      <c r="B219" s="117" t="s">
        <v>867</v>
      </c>
      <c r="C219" s="116">
        <f>IFERROR(VLOOKUP($A219,'งบทดลอง รพ.'!$A$2:$C$500,3,0),0)</f>
        <v>0</v>
      </c>
      <c r="D219" s="21"/>
      <c r="E219" s="72" t="s">
        <v>999</v>
      </c>
      <c r="F219" s="72" t="s">
        <v>31</v>
      </c>
      <c r="G219" s="114" t="s">
        <v>1045</v>
      </c>
      <c r="H219" s="15"/>
    </row>
    <row r="220" spans="1:8" ht="27.75" x14ac:dyDescent="0.65">
      <c r="A220" s="293" t="s">
        <v>294</v>
      </c>
      <c r="B220" s="117" t="s">
        <v>295</v>
      </c>
      <c r="C220" s="116">
        <f>IFERROR(VLOOKUP($A220,'งบทดลอง รพ.'!$A$2:$C$500,3,0),0)</f>
        <v>0</v>
      </c>
      <c r="D220" s="21"/>
      <c r="E220" s="72" t="s">
        <v>999</v>
      </c>
      <c r="F220" s="72" t="s">
        <v>31</v>
      </c>
      <c r="G220" s="114" t="s">
        <v>1045</v>
      </c>
      <c r="H220" s="15"/>
    </row>
    <row r="221" spans="1:8" ht="27.75" x14ac:dyDescent="0.65">
      <c r="A221" s="293" t="s">
        <v>296</v>
      </c>
      <c r="B221" s="117" t="s">
        <v>297</v>
      </c>
      <c r="C221" s="116">
        <f>IFERROR(VLOOKUP($A221,'งบทดลอง รพ.'!$A$2:$C$500,3,0),0)</f>
        <v>0</v>
      </c>
      <c r="D221" s="21"/>
      <c r="E221" s="72" t="s">
        <v>999</v>
      </c>
      <c r="F221" s="72" t="s">
        <v>31</v>
      </c>
      <c r="G221" s="114" t="s">
        <v>1045</v>
      </c>
      <c r="H221" s="15"/>
    </row>
    <row r="222" spans="1:8" ht="27.75" x14ac:dyDescent="0.65">
      <c r="A222" s="293" t="s">
        <v>298</v>
      </c>
      <c r="B222" s="117" t="s">
        <v>1121</v>
      </c>
      <c r="C222" s="116">
        <f>IFERROR(VLOOKUP($A222,'งบทดลอง รพ.'!$A$2:$C$500,3,0),0)</f>
        <v>0</v>
      </c>
      <c r="D222" s="21"/>
      <c r="E222" s="72" t="s">
        <v>999</v>
      </c>
      <c r="F222" s="72" t="s">
        <v>31</v>
      </c>
      <c r="G222" s="114" t="s">
        <v>1045</v>
      </c>
      <c r="H222" s="15"/>
    </row>
    <row r="223" spans="1:8" ht="27.75" x14ac:dyDescent="0.65">
      <c r="A223" s="293" t="s">
        <v>299</v>
      </c>
      <c r="B223" s="117" t="s">
        <v>300</v>
      </c>
      <c r="C223" s="116">
        <f>IFERROR(VLOOKUP($A223,'งบทดลอง รพ.'!$A$2:$C$500,3,0),0)</f>
        <v>0</v>
      </c>
      <c r="D223" s="21"/>
      <c r="E223" s="72" t="s">
        <v>999</v>
      </c>
      <c r="F223" s="72" t="s">
        <v>31</v>
      </c>
      <c r="G223" s="114" t="s">
        <v>1045</v>
      </c>
      <c r="H223" s="15"/>
    </row>
    <row r="224" spans="1:8" ht="27.75" x14ac:dyDescent="0.65">
      <c r="A224" s="293" t="s">
        <v>301</v>
      </c>
      <c r="B224" s="117" t="s">
        <v>302</v>
      </c>
      <c r="C224" s="116">
        <f>IFERROR(VLOOKUP($A224,'งบทดลอง รพ.'!$A$2:$C$500,3,0),0)</f>
        <v>0</v>
      </c>
      <c r="D224" s="21"/>
      <c r="E224" s="72" t="s">
        <v>999</v>
      </c>
      <c r="F224" s="72" t="s">
        <v>31</v>
      </c>
      <c r="G224" s="114" t="s">
        <v>1045</v>
      </c>
      <c r="H224" s="15"/>
    </row>
    <row r="225" spans="1:8" ht="27.75" x14ac:dyDescent="0.65">
      <c r="A225" s="293" t="s">
        <v>303</v>
      </c>
      <c r="B225" s="117" t="s">
        <v>304</v>
      </c>
      <c r="C225" s="116">
        <f>IFERROR(VLOOKUP($A225,'งบทดลอง รพ.'!$A$2:$C$500,3,0),0)</f>
        <v>0</v>
      </c>
      <c r="D225" s="21"/>
      <c r="E225" s="72" t="s">
        <v>999</v>
      </c>
      <c r="F225" s="72" t="s">
        <v>31</v>
      </c>
      <c r="G225" s="114" t="s">
        <v>1045</v>
      </c>
      <c r="H225" s="15"/>
    </row>
    <row r="226" spans="1:8" ht="27.75" x14ac:dyDescent="0.65">
      <c r="A226" s="293" t="s">
        <v>305</v>
      </c>
      <c r="B226" s="117" t="s">
        <v>291</v>
      </c>
      <c r="C226" s="116">
        <f>IFERROR(VLOOKUP($A226,'งบทดลอง รพ.'!$A$2:$C$500,3,0),0)</f>
        <v>0</v>
      </c>
      <c r="D226" s="21"/>
      <c r="E226" s="72" t="s">
        <v>999</v>
      </c>
      <c r="F226" s="72" t="s">
        <v>31</v>
      </c>
      <c r="G226" s="114" t="s">
        <v>1045</v>
      </c>
      <c r="H226" s="15"/>
    </row>
    <row r="227" spans="1:8" ht="27.75" x14ac:dyDescent="0.65">
      <c r="A227" s="293" t="s">
        <v>306</v>
      </c>
      <c r="B227" s="117" t="s">
        <v>307</v>
      </c>
      <c r="C227" s="116">
        <f>IFERROR(VLOOKUP($A227,'งบทดลอง รพ.'!$A$2:$C$500,3,0),0)</f>
        <v>0</v>
      </c>
      <c r="D227" s="21"/>
      <c r="E227" s="72" t="s">
        <v>999</v>
      </c>
      <c r="F227" s="72" t="s">
        <v>31</v>
      </c>
      <c r="G227" s="114" t="s">
        <v>1045</v>
      </c>
      <c r="H227" s="15"/>
    </row>
    <row r="228" spans="1:8" ht="27.75" x14ac:dyDescent="0.65">
      <c r="A228" s="293" t="s">
        <v>868</v>
      </c>
      <c r="B228" s="117" t="s">
        <v>869</v>
      </c>
      <c r="C228" s="116">
        <f>IFERROR(VLOOKUP($A228,'งบทดลอง รพ.'!$A$2:$C$500,3,0),0)</f>
        <v>0</v>
      </c>
      <c r="D228" s="21"/>
      <c r="E228" s="72" t="s">
        <v>999</v>
      </c>
      <c r="F228" s="72" t="s">
        <v>31</v>
      </c>
      <c r="G228" s="114" t="s">
        <v>1045</v>
      </c>
      <c r="H228" s="15"/>
    </row>
    <row r="229" spans="1:8" ht="27.75" x14ac:dyDescent="0.65">
      <c r="A229" s="293" t="s">
        <v>308</v>
      </c>
      <c r="B229" s="117" t="s">
        <v>309</v>
      </c>
      <c r="C229" s="116">
        <f>IFERROR(VLOOKUP($A229,'งบทดลอง รพ.'!$A$2:$C$500,3,0),0)</f>
        <v>0</v>
      </c>
      <c r="D229" s="21"/>
      <c r="E229" s="72" t="s">
        <v>999</v>
      </c>
      <c r="F229" s="72" t="s">
        <v>31</v>
      </c>
      <c r="G229" s="114" t="s">
        <v>1045</v>
      </c>
      <c r="H229" s="15"/>
    </row>
    <row r="230" spans="1:8" ht="27.75" x14ac:dyDescent="0.65">
      <c r="A230" s="293" t="s">
        <v>310</v>
      </c>
      <c r="B230" s="117" t="s">
        <v>311</v>
      </c>
      <c r="C230" s="116">
        <f>IFERROR(VLOOKUP($A230,'งบทดลอง รพ.'!$A$2:$C$500,3,0),0)</f>
        <v>0</v>
      </c>
      <c r="D230" s="21"/>
      <c r="E230" s="72" t="s">
        <v>999</v>
      </c>
      <c r="F230" s="72" t="s">
        <v>31</v>
      </c>
      <c r="G230" s="114" t="s">
        <v>1045</v>
      </c>
      <c r="H230" s="15"/>
    </row>
    <row r="231" spans="1:8" ht="27.75" x14ac:dyDescent="0.65">
      <c r="A231" s="293" t="s">
        <v>312</v>
      </c>
      <c r="B231" s="117" t="s">
        <v>313</v>
      </c>
      <c r="C231" s="116">
        <f>IFERROR(VLOOKUP($A231,'งบทดลอง รพ.'!$A$2:$C$500,3,0),0)</f>
        <v>0</v>
      </c>
      <c r="D231" s="21"/>
      <c r="E231" s="72" t="s">
        <v>999</v>
      </c>
      <c r="F231" s="72" t="s">
        <v>31</v>
      </c>
      <c r="G231" s="114" t="s">
        <v>1045</v>
      </c>
      <c r="H231" s="15"/>
    </row>
    <row r="232" spans="1:8" ht="27.75" x14ac:dyDescent="0.65">
      <c r="A232" s="293" t="s">
        <v>314</v>
      </c>
      <c r="B232" s="117" t="s">
        <v>1308</v>
      </c>
      <c r="C232" s="116">
        <f>IFERROR(VLOOKUP($A232,'งบทดลอง รพ.'!$A$2:$C$500,3,0),0)</f>
        <v>400000</v>
      </c>
      <c r="D232" s="21"/>
      <c r="E232" s="72" t="s">
        <v>999</v>
      </c>
      <c r="F232" s="72" t="s">
        <v>31</v>
      </c>
      <c r="G232" s="114" t="s">
        <v>1045</v>
      </c>
      <c r="H232" s="15"/>
    </row>
    <row r="233" spans="1:8" ht="27.75" x14ac:dyDescent="0.65">
      <c r="A233" s="293" t="s">
        <v>1303</v>
      </c>
      <c r="B233" s="117" t="s">
        <v>1306</v>
      </c>
      <c r="C233" s="116">
        <f>IFERROR(VLOOKUP($A233,'งบทดลอง รพ.'!$A$2:$C$500,3,0),0)</f>
        <v>0</v>
      </c>
      <c r="D233" s="21"/>
      <c r="E233" s="72" t="s">
        <v>999</v>
      </c>
      <c r="F233" s="72" t="s">
        <v>31</v>
      </c>
      <c r="G233" s="114" t="s">
        <v>1045</v>
      </c>
      <c r="H233" s="15"/>
    </row>
    <row r="234" spans="1:8" ht="27.75" x14ac:dyDescent="0.65">
      <c r="A234" s="293" t="s">
        <v>315</v>
      </c>
      <c r="B234" s="117" t="s">
        <v>1307</v>
      </c>
      <c r="C234" s="116">
        <f>IFERROR(VLOOKUP($A234,'งบทดลอง รพ.'!$A$2:$C$500,3,0),0)</f>
        <v>0</v>
      </c>
      <c r="D234" s="21"/>
      <c r="E234" s="72" t="s">
        <v>999</v>
      </c>
      <c r="F234" s="72" t="s">
        <v>31</v>
      </c>
      <c r="G234" s="114" t="s">
        <v>1045</v>
      </c>
      <c r="H234" s="15"/>
    </row>
    <row r="235" spans="1:8" ht="27.75" x14ac:dyDescent="0.65">
      <c r="A235" s="293" t="s">
        <v>1304</v>
      </c>
      <c r="B235" s="117" t="s">
        <v>1309</v>
      </c>
      <c r="C235" s="116">
        <f>IFERROR(VLOOKUP($A235,'งบทดลอง รพ.'!$A$2:$C$500,3,0),0)</f>
        <v>0</v>
      </c>
      <c r="D235" s="21"/>
      <c r="E235" s="72" t="s">
        <v>999</v>
      </c>
      <c r="F235" s="72" t="s">
        <v>31</v>
      </c>
      <c r="G235" s="114" t="s">
        <v>1045</v>
      </c>
      <c r="H235" s="15"/>
    </row>
    <row r="236" spans="1:8" ht="27.75" x14ac:dyDescent="0.65">
      <c r="A236" s="293" t="s">
        <v>316</v>
      </c>
      <c r="B236" s="117" t="s">
        <v>1312</v>
      </c>
      <c r="C236" s="116">
        <f>IFERROR(VLOOKUP($A236,'งบทดลอง รพ.'!$A$2:$C$500,3,0),0)</f>
        <v>50000</v>
      </c>
      <c r="D236" s="21"/>
      <c r="E236" s="72" t="s">
        <v>1007</v>
      </c>
      <c r="F236" s="72" t="s">
        <v>33</v>
      </c>
      <c r="G236" s="114" t="s">
        <v>1045</v>
      </c>
      <c r="H236" s="15"/>
    </row>
    <row r="237" spans="1:8" ht="27.75" x14ac:dyDescent="0.65">
      <c r="A237" s="293" t="s">
        <v>1305</v>
      </c>
      <c r="B237" s="117" t="s">
        <v>1313</v>
      </c>
      <c r="C237" s="116">
        <f>IFERROR(VLOOKUP($A237,'งบทดลอง รพ.'!$A$2:$C$500,3,0),0)</f>
        <v>0</v>
      </c>
      <c r="D237" s="21"/>
      <c r="E237" s="72" t="s">
        <v>1007</v>
      </c>
      <c r="F237" s="72" t="s">
        <v>33</v>
      </c>
      <c r="G237" s="114" t="s">
        <v>1045</v>
      </c>
      <c r="H237" s="15"/>
    </row>
    <row r="238" spans="1:8" ht="27.75" x14ac:dyDescent="0.65">
      <c r="A238" s="293" t="s">
        <v>317</v>
      </c>
      <c r="B238" s="117" t="s">
        <v>1314</v>
      </c>
      <c r="C238" s="116">
        <f>IFERROR(VLOOKUP($A238,'งบทดลอง รพ.'!$A$2:$C$500,3,0),0)</f>
        <v>200000</v>
      </c>
      <c r="D238" s="21"/>
      <c r="E238" s="72" t="s">
        <v>1007</v>
      </c>
      <c r="F238" s="72" t="s">
        <v>33</v>
      </c>
      <c r="G238" s="114" t="s">
        <v>1045</v>
      </c>
      <c r="H238" s="15"/>
    </row>
    <row r="239" spans="1:8" ht="27.75" x14ac:dyDescent="0.65">
      <c r="A239" s="293" t="s">
        <v>1310</v>
      </c>
      <c r="B239" s="117" t="s">
        <v>1315</v>
      </c>
      <c r="C239" s="116">
        <f>IFERROR(VLOOKUP($A239,'งบทดลอง รพ.'!$A$2:$C$500,3,0),0)</f>
        <v>0</v>
      </c>
      <c r="D239" s="21"/>
      <c r="E239" s="72" t="s">
        <v>1007</v>
      </c>
      <c r="F239" s="72" t="s">
        <v>33</v>
      </c>
      <c r="G239" s="114" t="s">
        <v>1045</v>
      </c>
      <c r="H239" s="15"/>
    </row>
    <row r="240" spans="1:8" ht="27.75" x14ac:dyDescent="0.65">
      <c r="A240" s="293" t="s">
        <v>318</v>
      </c>
      <c r="B240" s="117" t="s">
        <v>1316</v>
      </c>
      <c r="C240" s="116">
        <f>IFERROR(VLOOKUP($A240,'งบทดลอง รพ.'!$A$2:$C$500,3,0),0)</f>
        <v>150000</v>
      </c>
      <c r="D240" s="21"/>
      <c r="E240" s="72" t="s">
        <v>1007</v>
      </c>
      <c r="F240" s="72" t="s">
        <v>33</v>
      </c>
      <c r="G240" s="114" t="s">
        <v>1045</v>
      </c>
      <c r="H240" s="15"/>
    </row>
    <row r="241" spans="1:8" ht="27.75" x14ac:dyDescent="0.65">
      <c r="A241" s="293" t="s">
        <v>1311</v>
      </c>
      <c r="B241" s="117" t="s">
        <v>1317</v>
      </c>
      <c r="C241" s="116">
        <f>IFERROR(VLOOKUP($A241,'งบทดลอง รพ.'!$A$2:$C$500,3,0),0)</f>
        <v>0</v>
      </c>
      <c r="D241" s="21"/>
      <c r="E241" s="72" t="s">
        <v>1007</v>
      </c>
      <c r="F241" s="72" t="s">
        <v>33</v>
      </c>
      <c r="G241" s="114" t="s">
        <v>1045</v>
      </c>
      <c r="H241" s="15"/>
    </row>
    <row r="242" spans="1:8" ht="27.75" x14ac:dyDescent="0.65">
      <c r="A242" s="293" t="s">
        <v>870</v>
      </c>
      <c r="B242" s="117" t="s">
        <v>384</v>
      </c>
      <c r="C242" s="116">
        <f>IFERROR(VLOOKUP($A242,'งบทดลอง รพ.'!$A$2:$C$500,3,0),0)</f>
        <v>261628.80000000002</v>
      </c>
      <c r="D242" s="21"/>
      <c r="E242" s="72" t="s">
        <v>1019</v>
      </c>
      <c r="F242" s="72" t="s">
        <v>37</v>
      </c>
      <c r="G242" s="114" t="s">
        <v>1045</v>
      </c>
      <c r="H242" s="15"/>
    </row>
    <row r="243" spans="1:8" ht="27.75" x14ac:dyDescent="0.65">
      <c r="A243" s="293" t="s">
        <v>871</v>
      </c>
      <c r="B243" s="117" t="s">
        <v>385</v>
      </c>
      <c r="C243" s="116">
        <f>IFERROR(VLOOKUP($A243,'งบทดลอง รพ.'!$A$2:$C$500,3,0),0)</f>
        <v>0</v>
      </c>
      <c r="D243" s="21"/>
      <c r="E243" s="72" t="s">
        <v>1019</v>
      </c>
      <c r="F243" s="72" t="s">
        <v>37</v>
      </c>
      <c r="G243" s="114" t="s">
        <v>1045</v>
      </c>
      <c r="H243" s="15"/>
    </row>
    <row r="244" spans="1:8" ht="27.75" x14ac:dyDescent="0.65">
      <c r="A244" s="293" t="s">
        <v>872</v>
      </c>
      <c r="B244" s="117" t="s">
        <v>386</v>
      </c>
      <c r="C244" s="116">
        <f>IFERROR(VLOOKUP($A244,'งบทดลอง รพ.'!$A$2:$C$500,3,0),0)</f>
        <v>66400</v>
      </c>
      <c r="D244" s="21"/>
      <c r="E244" s="72" t="s">
        <v>1019</v>
      </c>
      <c r="F244" s="72" t="s">
        <v>37</v>
      </c>
      <c r="G244" s="114" t="s">
        <v>1045</v>
      </c>
      <c r="H244" s="15"/>
    </row>
    <row r="245" spans="1:8" ht="27.75" x14ac:dyDescent="0.65">
      <c r="A245" s="293" t="s">
        <v>873</v>
      </c>
      <c r="B245" s="117" t="s">
        <v>387</v>
      </c>
      <c r="C245" s="116">
        <f>IFERROR(VLOOKUP($A245,'งบทดลอง รพ.'!$A$2:$C$500,3,0),0)</f>
        <v>0</v>
      </c>
      <c r="D245" s="21"/>
      <c r="E245" s="72" t="s">
        <v>1019</v>
      </c>
      <c r="F245" s="72" t="s">
        <v>37</v>
      </c>
      <c r="G245" s="114" t="s">
        <v>1045</v>
      </c>
      <c r="H245" s="15"/>
    </row>
    <row r="246" spans="1:8" ht="27.75" x14ac:dyDescent="0.65">
      <c r="A246" s="293" t="s">
        <v>874</v>
      </c>
      <c r="B246" s="117" t="s">
        <v>388</v>
      </c>
      <c r="C246" s="116">
        <f>IFERROR(VLOOKUP($A246,'งบทดลอง รพ.'!$A$2:$C$500,3,0),0)</f>
        <v>235104</v>
      </c>
      <c r="D246" s="21"/>
      <c r="E246" s="72" t="s">
        <v>1019</v>
      </c>
      <c r="F246" s="72" t="s">
        <v>37</v>
      </c>
      <c r="G246" s="114" t="s">
        <v>1045</v>
      </c>
      <c r="H246" s="15"/>
    </row>
    <row r="247" spans="1:8" ht="27.75" x14ac:dyDescent="0.65">
      <c r="A247" s="293" t="s">
        <v>875</v>
      </c>
      <c r="B247" s="117" t="s">
        <v>389</v>
      </c>
      <c r="C247" s="116">
        <f>IFERROR(VLOOKUP($A247,'งบทดลอง รพ.'!$A$2:$C$500,3,0),0)</f>
        <v>417571.07200000004</v>
      </c>
      <c r="D247" s="21"/>
      <c r="E247" s="72" t="s">
        <v>1019</v>
      </c>
      <c r="F247" s="72" t="s">
        <v>37</v>
      </c>
      <c r="G247" s="114" t="s">
        <v>1045</v>
      </c>
      <c r="H247" s="15"/>
    </row>
    <row r="248" spans="1:8" ht="27.75" x14ac:dyDescent="0.65">
      <c r="A248" s="293" t="s">
        <v>876</v>
      </c>
      <c r="B248" s="117" t="s">
        <v>394</v>
      </c>
      <c r="C248" s="116">
        <f>IFERROR(VLOOKUP($A248,'งบทดลอง รพ.'!$A$2:$C$500,3,0),0)</f>
        <v>214611.20000000001</v>
      </c>
      <c r="D248" s="21"/>
      <c r="E248" s="72" t="s">
        <v>1019</v>
      </c>
      <c r="F248" s="72" t="s">
        <v>37</v>
      </c>
      <c r="G248" s="114" t="s">
        <v>1045</v>
      </c>
      <c r="H248" s="15"/>
    </row>
    <row r="249" spans="1:8" ht="27.75" x14ac:dyDescent="0.65">
      <c r="A249" s="293" t="s">
        <v>877</v>
      </c>
      <c r="B249" s="117" t="s">
        <v>395</v>
      </c>
      <c r="C249" s="116">
        <f>IFERROR(VLOOKUP($A249,'งบทดลอง รพ.'!$A$2:$C$500,3,0),0)</f>
        <v>27728</v>
      </c>
      <c r="D249" s="21"/>
      <c r="E249" s="72" t="s">
        <v>1019</v>
      </c>
      <c r="F249" s="72" t="s">
        <v>37</v>
      </c>
      <c r="G249" s="114" t="s">
        <v>1045</v>
      </c>
      <c r="H249" s="15"/>
    </row>
    <row r="250" spans="1:8" ht="27.75" x14ac:dyDescent="0.65">
      <c r="A250" s="293" t="s">
        <v>878</v>
      </c>
      <c r="B250" s="117" t="s">
        <v>396</v>
      </c>
      <c r="C250" s="116">
        <f>IFERROR(VLOOKUP($A250,'งบทดลอง รพ.'!$A$2:$C$500,3,0),0)</f>
        <v>0</v>
      </c>
      <c r="D250" s="21"/>
      <c r="E250" s="72" t="s">
        <v>1019</v>
      </c>
      <c r="F250" s="72" t="s">
        <v>37</v>
      </c>
      <c r="G250" s="114" t="s">
        <v>1045</v>
      </c>
      <c r="H250" s="15"/>
    </row>
    <row r="251" spans="1:8" ht="27.75" x14ac:dyDescent="0.65">
      <c r="A251" s="293" t="s">
        <v>319</v>
      </c>
      <c r="B251" s="117" t="s">
        <v>320</v>
      </c>
      <c r="C251" s="116">
        <f>IFERROR(VLOOKUP($A251,'งบทดลอง รพ.'!$A$2:$C$500,3,0),0)</f>
        <v>0</v>
      </c>
      <c r="D251" s="21"/>
      <c r="E251" s="72" t="s">
        <v>1009</v>
      </c>
      <c r="F251" s="72" t="s">
        <v>33</v>
      </c>
      <c r="G251" s="114" t="s">
        <v>1045</v>
      </c>
      <c r="H251" s="15"/>
    </row>
    <row r="252" spans="1:8" ht="27.75" x14ac:dyDescent="0.65">
      <c r="A252" s="293" t="s">
        <v>321</v>
      </c>
      <c r="B252" s="117" t="s">
        <v>322</v>
      </c>
      <c r="C252" s="116">
        <f>IFERROR(VLOOKUP($A252,'งบทดลอง รพ.'!$A$2:$C$500,3,0),0)</f>
        <v>0</v>
      </c>
      <c r="D252" s="21"/>
      <c r="E252" s="72" t="s">
        <v>1009</v>
      </c>
      <c r="F252" s="72" t="s">
        <v>33</v>
      </c>
      <c r="G252" s="114" t="s">
        <v>1045</v>
      </c>
      <c r="H252" s="15"/>
    </row>
    <row r="253" spans="1:8" ht="27.75" x14ac:dyDescent="0.65">
      <c r="A253" s="293" t="s">
        <v>323</v>
      </c>
      <c r="B253" s="117" t="s">
        <v>324</v>
      </c>
      <c r="C253" s="116">
        <f>IFERROR(VLOOKUP($A253,'งบทดลอง รพ.'!$A$2:$C$500,3,0),0)</f>
        <v>601766</v>
      </c>
      <c r="D253" s="21"/>
      <c r="E253" s="72" t="s">
        <v>1009</v>
      </c>
      <c r="F253" s="72" t="s">
        <v>33</v>
      </c>
      <c r="G253" s="114" t="s">
        <v>1045</v>
      </c>
      <c r="H253" s="15"/>
    </row>
    <row r="254" spans="1:8" ht="27.75" x14ac:dyDescent="0.65">
      <c r="A254" s="293" t="s">
        <v>325</v>
      </c>
      <c r="B254" s="117" t="s">
        <v>326</v>
      </c>
      <c r="C254" s="116">
        <f>IFERROR(VLOOKUP($A254,'งบทดลอง รพ.'!$A$2:$C$500,3,0),0)</f>
        <v>0</v>
      </c>
      <c r="D254" s="21"/>
      <c r="E254" s="72" t="s">
        <v>1009</v>
      </c>
      <c r="F254" s="72" t="s">
        <v>33</v>
      </c>
      <c r="G254" s="114" t="s">
        <v>1045</v>
      </c>
      <c r="H254" s="15"/>
    </row>
    <row r="255" spans="1:8" ht="27.75" x14ac:dyDescent="0.65">
      <c r="A255" s="293" t="s">
        <v>327</v>
      </c>
      <c r="B255" s="117" t="s">
        <v>328</v>
      </c>
      <c r="C255" s="116">
        <f>IFERROR(VLOOKUP($A255,'งบทดลอง รพ.'!$A$2:$C$500,3,0),0)</f>
        <v>0</v>
      </c>
      <c r="D255" s="21"/>
      <c r="E255" s="72" t="s">
        <v>1009</v>
      </c>
      <c r="F255" s="72" t="s">
        <v>33</v>
      </c>
      <c r="G255" s="114" t="s">
        <v>1045</v>
      </c>
      <c r="H255" s="15"/>
    </row>
    <row r="256" spans="1:8" ht="27.75" x14ac:dyDescent="0.65">
      <c r="A256" s="293" t="s">
        <v>329</v>
      </c>
      <c r="B256" s="117" t="s">
        <v>330</v>
      </c>
      <c r="C256" s="116">
        <f>IFERROR(VLOOKUP($A256,'งบทดลอง รพ.'!$A$2:$C$500,3,0),0)</f>
        <v>608000</v>
      </c>
      <c r="D256" s="21"/>
      <c r="E256" s="72" t="s">
        <v>1009</v>
      </c>
      <c r="F256" s="72" t="s">
        <v>33</v>
      </c>
      <c r="G256" s="114" t="s">
        <v>1045</v>
      </c>
      <c r="H256" s="15"/>
    </row>
    <row r="257" spans="1:8" ht="27.75" x14ac:dyDescent="0.65">
      <c r="A257" s="293" t="s">
        <v>331</v>
      </c>
      <c r="B257" s="117" t="s">
        <v>332</v>
      </c>
      <c r="C257" s="116">
        <f>IFERROR(VLOOKUP($A257,'งบทดลอง รพ.'!$A$2:$C$500,3,0),0)</f>
        <v>35000</v>
      </c>
      <c r="D257" s="21"/>
      <c r="E257" s="72" t="s">
        <v>1009</v>
      </c>
      <c r="F257" s="72" t="s">
        <v>33</v>
      </c>
      <c r="G257" s="114" t="s">
        <v>1045</v>
      </c>
      <c r="H257" s="15"/>
    </row>
    <row r="258" spans="1:8" ht="27.75" x14ac:dyDescent="0.65">
      <c r="A258" s="293" t="s">
        <v>333</v>
      </c>
      <c r="B258" s="117" t="s">
        <v>334</v>
      </c>
      <c r="C258" s="116">
        <f>IFERROR(VLOOKUP($A258,'งบทดลอง รพ.'!$A$2:$C$500,3,0),0)</f>
        <v>0</v>
      </c>
      <c r="D258" s="21"/>
      <c r="E258" s="72" t="s">
        <v>1009</v>
      </c>
      <c r="F258" s="72" t="s">
        <v>33</v>
      </c>
      <c r="G258" s="114" t="s">
        <v>1045</v>
      </c>
      <c r="H258" s="15"/>
    </row>
    <row r="259" spans="1:8" ht="27.75" x14ac:dyDescent="0.65">
      <c r="A259" s="293" t="s">
        <v>335</v>
      </c>
      <c r="B259" s="117" t="s">
        <v>336</v>
      </c>
      <c r="C259" s="116">
        <f>IFERROR(VLOOKUP($A259,'งบทดลอง รพ.'!$A$2:$C$500,3,0),0)</f>
        <v>0</v>
      </c>
      <c r="D259" s="21"/>
      <c r="E259" s="72" t="s">
        <v>1011</v>
      </c>
      <c r="F259" s="72" t="s">
        <v>33</v>
      </c>
      <c r="G259" s="114" t="s">
        <v>1045</v>
      </c>
      <c r="H259" s="15"/>
    </row>
    <row r="260" spans="1:8" ht="27.75" x14ac:dyDescent="0.65">
      <c r="A260" s="293" t="s">
        <v>337</v>
      </c>
      <c r="B260" s="117" t="s">
        <v>338</v>
      </c>
      <c r="C260" s="116">
        <f>IFERROR(VLOOKUP($A260,'งบทดลอง รพ.'!$A$2:$C$500,3,0),0)</f>
        <v>0</v>
      </c>
      <c r="D260" s="21"/>
      <c r="E260" s="72" t="s">
        <v>1011</v>
      </c>
      <c r="F260" s="72" t="s">
        <v>33</v>
      </c>
      <c r="G260" s="114" t="s">
        <v>1045</v>
      </c>
      <c r="H260" s="15"/>
    </row>
    <row r="261" spans="1:8" ht="27.75" x14ac:dyDescent="0.65">
      <c r="A261" s="293" t="s">
        <v>339</v>
      </c>
      <c r="B261" s="117" t="s">
        <v>1122</v>
      </c>
      <c r="C261" s="116">
        <f>IFERROR(VLOOKUP($A261,'งบทดลอง รพ.'!$A$2:$C$500,3,0),0)</f>
        <v>422900</v>
      </c>
      <c r="D261" s="21"/>
      <c r="E261" s="72" t="s">
        <v>1011</v>
      </c>
      <c r="F261" s="72" t="s">
        <v>33</v>
      </c>
      <c r="G261" s="114" t="s">
        <v>1045</v>
      </c>
      <c r="H261" s="15"/>
    </row>
    <row r="262" spans="1:8" ht="27.75" x14ac:dyDescent="0.65">
      <c r="A262" s="293" t="s">
        <v>340</v>
      </c>
      <c r="B262" s="117" t="s">
        <v>341</v>
      </c>
      <c r="C262" s="116">
        <f>IFERROR(VLOOKUP($A262,'งบทดลอง รพ.'!$A$2:$C$500,3,0),0)</f>
        <v>153960</v>
      </c>
      <c r="D262" s="21"/>
      <c r="E262" s="72" t="s">
        <v>1011</v>
      </c>
      <c r="F262" s="72" t="s">
        <v>33</v>
      </c>
      <c r="G262" s="114" t="s">
        <v>1045</v>
      </c>
      <c r="H262" s="15"/>
    </row>
    <row r="263" spans="1:8" ht="27.75" x14ac:dyDescent="0.65">
      <c r="A263" s="293" t="s">
        <v>342</v>
      </c>
      <c r="B263" s="117" t="s">
        <v>343</v>
      </c>
      <c r="C263" s="116">
        <f>IFERROR(VLOOKUP($A263,'งบทดลอง รพ.'!$A$2:$C$500,3,0),0)</f>
        <v>0</v>
      </c>
      <c r="D263" s="21"/>
      <c r="E263" s="72" t="s">
        <v>1011</v>
      </c>
      <c r="F263" s="72" t="s">
        <v>33</v>
      </c>
      <c r="G263" s="114" t="s">
        <v>1045</v>
      </c>
      <c r="H263" s="15"/>
    </row>
    <row r="264" spans="1:8" ht="27.75" x14ac:dyDescent="0.65">
      <c r="A264" s="293" t="s">
        <v>879</v>
      </c>
      <c r="B264" s="117" t="s">
        <v>880</v>
      </c>
      <c r="C264" s="116">
        <f>IFERROR(VLOOKUP($A264,'งบทดลอง รพ.'!$A$2:$C$500,3,0),0)</f>
        <v>603849.40800000005</v>
      </c>
      <c r="D264" s="21"/>
      <c r="E264" s="72" t="s">
        <v>1019</v>
      </c>
      <c r="F264" s="72" t="s">
        <v>37</v>
      </c>
      <c r="G264" s="114" t="s">
        <v>1045</v>
      </c>
      <c r="H264" s="15"/>
    </row>
    <row r="265" spans="1:8" ht="27.75" x14ac:dyDescent="0.65">
      <c r="A265" s="293" t="s">
        <v>344</v>
      </c>
      <c r="B265" s="117" t="s">
        <v>345</v>
      </c>
      <c r="C265" s="116">
        <f>IFERROR(VLOOKUP($A265,'งบทดลอง รพ.'!$A$2:$C$500,3,0),0)</f>
        <v>0</v>
      </c>
      <c r="D265" s="21"/>
      <c r="E265" s="72" t="s">
        <v>1013</v>
      </c>
      <c r="F265" s="72" t="s">
        <v>33</v>
      </c>
      <c r="G265" s="114" t="s">
        <v>1045</v>
      </c>
      <c r="H265" s="15"/>
    </row>
    <row r="266" spans="1:8" ht="27.75" x14ac:dyDescent="0.65">
      <c r="A266" s="293" t="s">
        <v>346</v>
      </c>
      <c r="B266" s="117" t="s">
        <v>347</v>
      </c>
      <c r="C266" s="116">
        <f>IFERROR(VLOOKUP($A266,'งบทดลอง รพ.'!$A$2:$C$500,3,0),0)</f>
        <v>0</v>
      </c>
      <c r="D266" s="21"/>
      <c r="E266" s="72" t="s">
        <v>1013</v>
      </c>
      <c r="F266" s="72" t="s">
        <v>33</v>
      </c>
      <c r="G266" s="114" t="s">
        <v>1045</v>
      </c>
      <c r="H266" s="15"/>
    </row>
    <row r="267" spans="1:8" ht="27.75" x14ac:dyDescent="0.65">
      <c r="A267" s="293" t="s">
        <v>348</v>
      </c>
      <c r="B267" s="117" t="s">
        <v>349</v>
      </c>
      <c r="C267" s="116">
        <f>IFERROR(VLOOKUP($A267,'งบทดลอง รพ.'!$A$2:$C$500,3,0),0)</f>
        <v>0</v>
      </c>
      <c r="D267" s="21"/>
      <c r="E267" s="72" t="s">
        <v>1013</v>
      </c>
      <c r="F267" s="72" t="s">
        <v>33</v>
      </c>
      <c r="G267" s="114" t="s">
        <v>1045</v>
      </c>
      <c r="H267" s="15"/>
    </row>
    <row r="268" spans="1:8" ht="27.75" x14ac:dyDescent="0.65">
      <c r="A268" s="293" t="s">
        <v>350</v>
      </c>
      <c r="B268" s="117" t="s">
        <v>351</v>
      </c>
      <c r="C268" s="116">
        <f>IFERROR(VLOOKUP($A268,'งบทดลอง รพ.'!$A$2:$C$500,3,0),0)</f>
        <v>0</v>
      </c>
      <c r="D268" s="21"/>
      <c r="E268" s="72" t="s">
        <v>1013</v>
      </c>
      <c r="F268" s="72" t="s">
        <v>33</v>
      </c>
      <c r="G268" s="114" t="s">
        <v>1045</v>
      </c>
      <c r="H268" s="15"/>
    </row>
    <row r="269" spans="1:8" ht="27.75" x14ac:dyDescent="0.65">
      <c r="A269" s="293" t="s">
        <v>352</v>
      </c>
      <c r="B269" s="117" t="s">
        <v>353</v>
      </c>
      <c r="C269" s="116">
        <f>IFERROR(VLOOKUP($A269,'งบทดลอง รพ.'!$A$2:$C$500,3,0),0)</f>
        <v>0</v>
      </c>
      <c r="D269" s="21"/>
      <c r="E269" s="72" t="s">
        <v>1013</v>
      </c>
      <c r="F269" s="72" t="s">
        <v>33</v>
      </c>
      <c r="G269" s="114" t="s">
        <v>1045</v>
      </c>
      <c r="H269" s="15"/>
    </row>
    <row r="270" spans="1:8" ht="27.75" x14ac:dyDescent="0.65">
      <c r="A270" s="293" t="s">
        <v>354</v>
      </c>
      <c r="B270" s="117" t="s">
        <v>355</v>
      </c>
      <c r="C270" s="116">
        <f>IFERROR(VLOOKUP($A270,'งบทดลอง รพ.'!$A$2:$C$500,3,0),0)</f>
        <v>113410</v>
      </c>
      <c r="D270" s="21"/>
      <c r="E270" s="72" t="s">
        <v>1013</v>
      </c>
      <c r="F270" s="72" t="s">
        <v>33</v>
      </c>
      <c r="G270" s="114" t="s">
        <v>1045</v>
      </c>
      <c r="H270" s="15"/>
    </row>
    <row r="271" spans="1:8" ht="27.75" x14ac:dyDescent="0.65">
      <c r="A271" s="293" t="s">
        <v>356</v>
      </c>
      <c r="B271" s="117" t="s">
        <v>1123</v>
      </c>
      <c r="C271" s="116">
        <f>IFERROR(VLOOKUP($A271,'งบทดลอง รพ.'!$A$2:$C$500,3,0),0)</f>
        <v>209000</v>
      </c>
      <c r="D271" s="21"/>
      <c r="E271" s="72" t="s">
        <v>1015</v>
      </c>
      <c r="F271" s="72" t="s">
        <v>33</v>
      </c>
      <c r="G271" s="114" t="s">
        <v>1045</v>
      </c>
      <c r="H271" s="15"/>
    </row>
    <row r="272" spans="1:8" ht="27.75" x14ac:dyDescent="0.65">
      <c r="A272" s="293" t="s">
        <v>358</v>
      </c>
      <c r="B272" s="117" t="s">
        <v>1124</v>
      </c>
      <c r="C272" s="116">
        <f>IFERROR(VLOOKUP($A272,'งบทดลอง รพ.'!$A$2:$C$500,3,0),0)</f>
        <v>1349780.4</v>
      </c>
      <c r="D272" s="21"/>
      <c r="E272" s="72" t="s">
        <v>1013</v>
      </c>
      <c r="F272" s="72" t="s">
        <v>33</v>
      </c>
      <c r="G272" s="114" t="s">
        <v>1045</v>
      </c>
      <c r="H272" s="15"/>
    </row>
    <row r="273" spans="1:8" ht="27.75" x14ac:dyDescent="0.65">
      <c r="A273" s="293" t="s">
        <v>359</v>
      </c>
      <c r="B273" s="117" t="s">
        <v>360</v>
      </c>
      <c r="C273" s="116">
        <f>IFERROR(VLOOKUP($A273,'งบทดลอง รพ.'!$A$2:$C$500,3,0),0)</f>
        <v>836500</v>
      </c>
      <c r="D273" s="21"/>
      <c r="E273" s="72" t="s">
        <v>1015</v>
      </c>
      <c r="F273" s="72" t="s">
        <v>33</v>
      </c>
      <c r="G273" s="114" t="s">
        <v>1045</v>
      </c>
      <c r="H273" s="15"/>
    </row>
    <row r="274" spans="1:8" ht="27.75" x14ac:dyDescent="0.65">
      <c r="A274" s="293" t="s">
        <v>361</v>
      </c>
      <c r="B274" s="117" t="s">
        <v>362</v>
      </c>
      <c r="C274" s="116">
        <f>IFERROR(VLOOKUP($A274,'งบทดลอง รพ.'!$A$2:$C$500,3,0),0)</f>
        <v>572500</v>
      </c>
      <c r="D274" s="21"/>
      <c r="E274" s="72" t="s">
        <v>1015</v>
      </c>
      <c r="F274" s="72" t="s">
        <v>33</v>
      </c>
      <c r="G274" s="114" t="s">
        <v>1045</v>
      </c>
      <c r="H274" s="15"/>
    </row>
    <row r="275" spans="1:8" ht="27.75" x14ac:dyDescent="0.65">
      <c r="A275" s="293" t="s">
        <v>363</v>
      </c>
      <c r="B275" s="117" t="s">
        <v>364</v>
      </c>
      <c r="C275" s="116">
        <f>IFERROR(VLOOKUP($A275,'งบทดลอง รพ.'!$A$2:$C$500,3,0),0)</f>
        <v>0</v>
      </c>
      <c r="D275" s="21"/>
      <c r="E275" s="72" t="s">
        <v>1007</v>
      </c>
      <c r="F275" s="72" t="s">
        <v>33</v>
      </c>
      <c r="G275" s="114" t="s">
        <v>1045</v>
      </c>
      <c r="H275" s="15"/>
    </row>
    <row r="276" spans="1:8" ht="27.75" x14ac:dyDescent="0.65">
      <c r="A276" s="293" t="s">
        <v>365</v>
      </c>
      <c r="B276" s="117" t="s">
        <v>366</v>
      </c>
      <c r="C276" s="116">
        <f>IFERROR(VLOOKUP($A276,'งบทดลอง รพ.'!$A$2:$C$500,3,0),0)</f>
        <v>0</v>
      </c>
      <c r="D276" s="21"/>
      <c r="E276" s="72" t="s">
        <v>1007</v>
      </c>
      <c r="F276" s="72" t="s">
        <v>33</v>
      </c>
      <c r="G276" s="114" t="s">
        <v>1045</v>
      </c>
      <c r="H276" s="15"/>
    </row>
    <row r="277" spans="1:8" ht="27.75" x14ac:dyDescent="0.65">
      <c r="A277" s="293" t="s">
        <v>375</v>
      </c>
      <c r="B277" s="117" t="s">
        <v>376</v>
      </c>
      <c r="C277" s="116">
        <f>IFERROR(VLOOKUP($A277,'งบทดลอง รพ.'!$A$2:$C$500,3,0),0)</f>
        <v>1845998.4983999999</v>
      </c>
      <c r="D277" s="21"/>
      <c r="E277" s="72" t="s">
        <v>1017</v>
      </c>
      <c r="F277" s="72" t="s">
        <v>35</v>
      </c>
      <c r="G277" s="114" t="s">
        <v>1045</v>
      </c>
      <c r="H277" s="15"/>
    </row>
    <row r="278" spans="1:8" ht="27.75" x14ac:dyDescent="0.65">
      <c r="A278" s="293" t="s">
        <v>377</v>
      </c>
      <c r="B278" s="117" t="s">
        <v>1125</v>
      </c>
      <c r="C278" s="116">
        <f>IFERROR(VLOOKUP($A278,'งบทดลอง รพ.'!$A$2:$C$500,3,0),0)</f>
        <v>5000</v>
      </c>
      <c r="D278" s="21"/>
      <c r="E278" s="72" t="s">
        <v>1017</v>
      </c>
      <c r="F278" s="72" t="s">
        <v>35</v>
      </c>
      <c r="G278" s="114" t="s">
        <v>1045</v>
      </c>
      <c r="H278" s="15"/>
    </row>
    <row r="279" spans="1:8" ht="27.75" x14ac:dyDescent="0.65">
      <c r="A279" s="293" t="s">
        <v>378</v>
      </c>
      <c r="B279" s="117" t="s">
        <v>379</v>
      </c>
      <c r="C279" s="116">
        <f>IFERROR(VLOOKUP($A279,'งบทดลอง รพ.'!$A$2:$C$500,3,0),0)</f>
        <v>107790</v>
      </c>
      <c r="D279" s="21"/>
      <c r="E279" s="72" t="s">
        <v>1017</v>
      </c>
      <c r="F279" s="72" t="s">
        <v>35</v>
      </c>
      <c r="G279" s="114" t="s">
        <v>1045</v>
      </c>
      <c r="H279" s="15"/>
    </row>
    <row r="280" spans="1:8" ht="27.75" x14ac:dyDescent="0.65">
      <c r="A280" s="293" t="s">
        <v>380</v>
      </c>
      <c r="B280" s="117" t="s">
        <v>381</v>
      </c>
      <c r="C280" s="116">
        <f>IFERROR(VLOOKUP($A280,'งบทดลอง รพ.'!$A$2:$C$500,3,0),0)</f>
        <v>88596</v>
      </c>
      <c r="D280" s="21"/>
      <c r="E280" s="72" t="s">
        <v>1017</v>
      </c>
      <c r="F280" s="72" t="s">
        <v>35</v>
      </c>
      <c r="G280" s="114" t="s">
        <v>1045</v>
      </c>
      <c r="H280" s="15"/>
    </row>
    <row r="281" spans="1:8" ht="27.75" x14ac:dyDescent="0.65">
      <c r="A281" s="293" t="s">
        <v>382</v>
      </c>
      <c r="B281" s="117" t="s">
        <v>383</v>
      </c>
      <c r="C281" s="116">
        <f>IFERROR(VLOOKUP($A281,'งบทดลอง รพ.'!$A$2:$C$500,3,0),0)</f>
        <v>18000</v>
      </c>
      <c r="D281" s="21"/>
      <c r="E281" s="72" t="s">
        <v>1017</v>
      </c>
      <c r="F281" s="72" t="s">
        <v>35</v>
      </c>
      <c r="G281" s="114" t="s">
        <v>1045</v>
      </c>
      <c r="H281" s="15"/>
    </row>
    <row r="282" spans="1:8" ht="27.75" x14ac:dyDescent="0.65">
      <c r="A282" s="293" t="s">
        <v>367</v>
      </c>
      <c r="B282" s="117" t="s">
        <v>368</v>
      </c>
      <c r="C282" s="116">
        <f>IFERROR(VLOOKUP($A282,'งบทดลอง รพ.'!$A$2:$C$500,3,0),0)</f>
        <v>0</v>
      </c>
      <c r="D282" s="21"/>
      <c r="E282" s="72" t="s">
        <v>1007</v>
      </c>
      <c r="F282" s="72" t="s">
        <v>33</v>
      </c>
      <c r="G282" s="114" t="s">
        <v>1045</v>
      </c>
      <c r="H282" s="15"/>
    </row>
    <row r="283" spans="1:8" ht="27.75" x14ac:dyDescent="0.65">
      <c r="A283" s="293" t="s">
        <v>369</v>
      </c>
      <c r="B283" s="117" t="s">
        <v>370</v>
      </c>
      <c r="C283" s="116">
        <f>IFERROR(VLOOKUP($A283,'งบทดลอง รพ.'!$A$2:$C$500,3,0),0)</f>
        <v>147580.48000000001</v>
      </c>
      <c r="D283" s="21"/>
      <c r="E283" s="72" t="s">
        <v>1007</v>
      </c>
      <c r="F283" s="72" t="s">
        <v>33</v>
      </c>
      <c r="G283" s="114" t="s">
        <v>1045</v>
      </c>
      <c r="H283" s="15"/>
    </row>
    <row r="284" spans="1:8" ht="27.75" x14ac:dyDescent="0.65">
      <c r="A284" s="293" t="s">
        <v>215</v>
      </c>
      <c r="B284" s="117" t="s">
        <v>216</v>
      </c>
      <c r="C284" s="116">
        <f>IFERROR(VLOOKUP($A284,'งบทดลอง รพ.'!$A$2:$C$500,3,0),0)</f>
        <v>8252608.1900000004</v>
      </c>
      <c r="D284" s="21"/>
      <c r="E284" s="72" t="s">
        <v>979</v>
      </c>
      <c r="F284" s="72" t="s">
        <v>19</v>
      </c>
      <c r="G284" s="114" t="s">
        <v>1045</v>
      </c>
      <c r="H284" s="15"/>
    </row>
    <row r="285" spans="1:8" ht="27.75" x14ac:dyDescent="0.65">
      <c r="A285" s="293" t="s">
        <v>217</v>
      </c>
      <c r="B285" s="117" t="s">
        <v>1126</v>
      </c>
      <c r="C285" s="116">
        <f>IFERROR(VLOOKUP($A285,'งบทดลอง รพ.'!$A$2:$C$500,3,0),0)</f>
        <v>119000</v>
      </c>
      <c r="D285" s="21"/>
      <c r="E285" s="72" t="s">
        <v>981</v>
      </c>
      <c r="F285" s="72" t="s">
        <v>21</v>
      </c>
      <c r="G285" s="114" t="s">
        <v>1045</v>
      </c>
      <c r="H285" s="15"/>
    </row>
    <row r="286" spans="1:8" ht="27.75" x14ac:dyDescent="0.65">
      <c r="A286" s="293" t="s">
        <v>219</v>
      </c>
      <c r="B286" s="117" t="s">
        <v>1127</v>
      </c>
      <c r="C286" s="116">
        <f>IFERROR(VLOOKUP($A286,'งบทดลอง รพ.'!$A$2:$C$500,3,0),0)</f>
        <v>2191000</v>
      </c>
      <c r="D286" s="21"/>
      <c r="E286" s="72" t="s">
        <v>983</v>
      </c>
      <c r="F286" s="72" t="s">
        <v>21</v>
      </c>
      <c r="G286" s="114" t="s">
        <v>1045</v>
      </c>
      <c r="H286" s="15"/>
    </row>
    <row r="287" spans="1:8" ht="27.75" x14ac:dyDescent="0.65">
      <c r="A287" s="293" t="s">
        <v>222</v>
      </c>
      <c r="B287" s="117" t="s">
        <v>223</v>
      </c>
      <c r="C287" s="116">
        <f>IFERROR(VLOOKUP($A287,'งบทดลอง รพ.'!$A$2:$C$500,3,0),0)</f>
        <v>1066488.8999999999</v>
      </c>
      <c r="D287" s="21"/>
      <c r="E287" s="72" t="s">
        <v>987</v>
      </c>
      <c r="F287" s="72" t="s">
        <v>23</v>
      </c>
      <c r="G287" s="114" t="s">
        <v>1045</v>
      </c>
      <c r="H287" s="15"/>
    </row>
    <row r="288" spans="1:8" ht="27.75" x14ac:dyDescent="0.65">
      <c r="A288" s="293" t="s">
        <v>390</v>
      </c>
      <c r="B288" s="117" t="s">
        <v>391</v>
      </c>
      <c r="C288" s="116">
        <f>IFERROR(VLOOKUP($A288,'งบทดลอง รพ.'!$A$2:$C$500,3,0),0)</f>
        <v>750000</v>
      </c>
      <c r="D288" s="21"/>
      <c r="E288" s="72" t="s">
        <v>1019</v>
      </c>
      <c r="F288" s="72" t="s">
        <v>37</v>
      </c>
      <c r="G288" s="114" t="s">
        <v>1045</v>
      </c>
      <c r="H288" s="15"/>
    </row>
    <row r="289" spans="1:8" ht="27.75" x14ac:dyDescent="0.65">
      <c r="A289" s="293" t="s">
        <v>392</v>
      </c>
      <c r="B289" s="117" t="s">
        <v>393</v>
      </c>
      <c r="C289" s="116">
        <f>IFERROR(VLOOKUP($A289,'งบทดลอง รพ.'!$A$2:$C$500,3,0),0)</f>
        <v>174000</v>
      </c>
      <c r="D289" s="21"/>
      <c r="E289" s="72" t="s">
        <v>1019</v>
      </c>
      <c r="F289" s="72" t="s">
        <v>37</v>
      </c>
      <c r="G289" s="114" t="s">
        <v>1045</v>
      </c>
      <c r="H289" s="15"/>
    </row>
    <row r="290" spans="1:8" ht="27.75" x14ac:dyDescent="0.65">
      <c r="A290" s="293" t="s">
        <v>220</v>
      </c>
      <c r="B290" s="117" t="s">
        <v>221</v>
      </c>
      <c r="C290" s="116">
        <f>IFERROR(VLOOKUP($A290,'งบทดลอง รพ.'!$A$2:$C$500,3,0),0)</f>
        <v>597644.38399999996</v>
      </c>
      <c r="D290" s="21"/>
      <c r="E290" s="72" t="s">
        <v>985</v>
      </c>
      <c r="F290" s="72" t="s">
        <v>703</v>
      </c>
      <c r="G290" s="114" t="s">
        <v>1045</v>
      </c>
      <c r="H290" s="15"/>
    </row>
    <row r="291" spans="1:8" ht="27.75" x14ac:dyDescent="0.65">
      <c r="A291" s="293" t="s">
        <v>881</v>
      </c>
      <c r="B291" s="117" t="s">
        <v>882</v>
      </c>
      <c r="C291" s="116">
        <f>IFERROR(VLOOKUP($A291,'งบทดลอง รพ.'!$A$2:$C$500,3,0),0)</f>
        <v>0</v>
      </c>
      <c r="D291" s="21"/>
      <c r="E291" s="72" t="s">
        <v>981</v>
      </c>
      <c r="F291" s="72" t="s">
        <v>21</v>
      </c>
      <c r="G291" s="114" t="s">
        <v>1045</v>
      </c>
      <c r="H291" s="15"/>
    </row>
    <row r="292" spans="1:8" ht="27.75" x14ac:dyDescent="0.65">
      <c r="A292" s="294" t="s">
        <v>397</v>
      </c>
      <c r="B292" s="118" t="s">
        <v>1128</v>
      </c>
      <c r="C292" s="116">
        <f>IFERROR(VLOOKUP($A292,'งบทดลอง รพ.'!$A$2:$C$500,3,0),0)</f>
        <v>95900</v>
      </c>
      <c r="D292" s="21"/>
      <c r="E292" s="72" t="s">
        <v>1019</v>
      </c>
      <c r="F292" s="72" t="s">
        <v>37</v>
      </c>
      <c r="G292" s="114" t="s">
        <v>1045</v>
      </c>
      <c r="H292" s="15"/>
    </row>
    <row r="293" spans="1:8" ht="27.75" x14ac:dyDescent="0.65">
      <c r="A293" s="293" t="s">
        <v>371</v>
      </c>
      <c r="B293" s="117" t="s">
        <v>372</v>
      </c>
      <c r="C293" s="116">
        <f>IFERROR(VLOOKUP($A293,'งบทดลอง รพ.'!$A$2:$C$500,3,0),0)</f>
        <v>0</v>
      </c>
      <c r="D293" s="21"/>
      <c r="E293" s="72" t="s">
        <v>1007</v>
      </c>
      <c r="F293" s="72" t="s">
        <v>33</v>
      </c>
      <c r="G293" s="114" t="s">
        <v>1045</v>
      </c>
      <c r="H293" s="15"/>
    </row>
    <row r="294" spans="1:8" ht="27.75" x14ac:dyDescent="0.65">
      <c r="A294" s="293" t="s">
        <v>373</v>
      </c>
      <c r="B294" s="117" t="s">
        <v>374</v>
      </c>
      <c r="C294" s="116">
        <f>IFERROR(VLOOKUP($A294,'งบทดลอง รพ.'!$A$2:$C$500,3,0),0)</f>
        <v>0</v>
      </c>
      <c r="D294" s="21"/>
      <c r="E294" s="72" t="s">
        <v>1007</v>
      </c>
      <c r="F294" s="72" t="s">
        <v>33</v>
      </c>
      <c r="G294" s="114" t="s">
        <v>1045</v>
      </c>
      <c r="H294" s="15"/>
    </row>
    <row r="295" spans="1:8" ht="27.75" x14ac:dyDescent="0.65">
      <c r="A295" s="293" t="s">
        <v>488</v>
      </c>
      <c r="B295" s="117" t="s">
        <v>1129</v>
      </c>
      <c r="C295" s="116">
        <f>IFERROR(VLOOKUP($A295,'งบทดลอง รพ.'!$A$2:$C$500,3,0),0)</f>
        <v>0</v>
      </c>
      <c r="D295" s="21"/>
      <c r="E295" s="72" t="s">
        <v>1007</v>
      </c>
      <c r="F295" s="72" t="s">
        <v>33</v>
      </c>
      <c r="G295" s="114" t="s">
        <v>1045</v>
      </c>
      <c r="H295" s="15"/>
    </row>
    <row r="296" spans="1:8" ht="27.75" x14ac:dyDescent="0.65">
      <c r="A296" s="293" t="s">
        <v>883</v>
      </c>
      <c r="B296" s="117" t="s">
        <v>884</v>
      </c>
      <c r="C296" s="116">
        <f>IFERROR(VLOOKUP($A296,'งบทดลอง รพ.'!$A$2:$C$500,3,0),0)</f>
        <v>0</v>
      </c>
      <c r="D296" s="21"/>
      <c r="E296" s="72" t="s">
        <v>1007</v>
      </c>
      <c r="F296" s="72" t="s">
        <v>33</v>
      </c>
      <c r="G296" s="114" t="s">
        <v>1045</v>
      </c>
      <c r="H296" s="15"/>
    </row>
    <row r="297" spans="1:8" ht="27.75" x14ac:dyDescent="0.65">
      <c r="A297" s="293" t="s">
        <v>489</v>
      </c>
      <c r="B297" s="117" t="s">
        <v>490</v>
      </c>
      <c r="C297" s="116">
        <f>IFERROR(VLOOKUP($A297,'งบทดลอง รพ.'!$A$2:$C$500,3,0),0)</f>
        <v>0</v>
      </c>
      <c r="D297" s="21"/>
      <c r="E297" s="72" t="s">
        <v>1007</v>
      </c>
      <c r="F297" s="72" t="s">
        <v>33</v>
      </c>
      <c r="G297" s="114" t="s">
        <v>1045</v>
      </c>
      <c r="H297" s="15"/>
    </row>
    <row r="298" spans="1:8" ht="27.75" x14ac:dyDescent="0.65">
      <c r="A298" s="293" t="s">
        <v>885</v>
      </c>
      <c r="B298" s="117" t="s">
        <v>886</v>
      </c>
      <c r="C298" s="116">
        <f>IFERROR(VLOOKUP($A298,'งบทดลอง รพ.'!$A$2:$C$500,3,0),0)</f>
        <v>0</v>
      </c>
      <c r="D298" s="21"/>
      <c r="E298" s="72" t="s">
        <v>1033</v>
      </c>
      <c r="F298" s="72" t="s">
        <v>41</v>
      </c>
      <c r="G298" s="114" t="s">
        <v>1045</v>
      </c>
      <c r="H298" s="15"/>
    </row>
    <row r="299" spans="1:8" ht="27.75" x14ac:dyDescent="0.65">
      <c r="A299" s="293" t="s">
        <v>491</v>
      </c>
      <c r="B299" s="117" t="s">
        <v>492</v>
      </c>
      <c r="C299" s="116">
        <f>IFERROR(VLOOKUP($A299,'งบทดลอง รพ.'!$A$2:$C$500,3,0),0)</f>
        <v>0</v>
      </c>
      <c r="D299" s="21"/>
      <c r="E299" s="72" t="s">
        <v>1007</v>
      </c>
      <c r="F299" s="72" t="s">
        <v>33</v>
      </c>
      <c r="G299" s="114" t="s">
        <v>1045</v>
      </c>
      <c r="H299" s="15"/>
    </row>
    <row r="300" spans="1:8" ht="27.75" x14ac:dyDescent="0.65">
      <c r="A300" s="294" t="s">
        <v>493</v>
      </c>
      <c r="B300" s="118" t="s">
        <v>494</v>
      </c>
      <c r="C300" s="116">
        <f>IFERROR(VLOOKUP($A300,'งบทดลอง รพ.'!$A$2:$C$500,3,0),0)</f>
        <v>0</v>
      </c>
      <c r="D300" s="21"/>
      <c r="E300" s="72" t="s">
        <v>1007</v>
      </c>
      <c r="F300" s="72" t="s">
        <v>33</v>
      </c>
      <c r="G300" s="114" t="s">
        <v>1045</v>
      </c>
      <c r="H300" s="15"/>
    </row>
    <row r="301" spans="1:8" ht="27.75" x14ac:dyDescent="0.65">
      <c r="A301" s="293" t="s">
        <v>495</v>
      </c>
      <c r="B301" s="117" t="s">
        <v>1318</v>
      </c>
      <c r="C301" s="116">
        <f>IFERROR(VLOOKUP($A301,'งบทดลอง รพ.'!$A$2:$C$500,3,0),0)</f>
        <v>722000</v>
      </c>
      <c r="D301" s="21"/>
      <c r="E301" s="72" t="s">
        <v>1027</v>
      </c>
      <c r="F301" s="72" t="s">
        <v>41</v>
      </c>
      <c r="G301" s="114" t="s">
        <v>1045</v>
      </c>
      <c r="H301" s="15"/>
    </row>
    <row r="302" spans="1:8" ht="27.75" x14ac:dyDescent="0.65">
      <c r="A302" s="293" t="s">
        <v>496</v>
      </c>
      <c r="B302" s="117" t="s">
        <v>1319</v>
      </c>
      <c r="C302" s="116">
        <f>IFERROR(VLOOKUP($A302,'งบทดลอง รพ.'!$A$2:$C$500,3,0),0)</f>
        <v>268000</v>
      </c>
      <c r="D302" s="21"/>
      <c r="E302" s="72" t="s">
        <v>1029</v>
      </c>
      <c r="F302" s="72" t="s">
        <v>41</v>
      </c>
      <c r="G302" s="114" t="s">
        <v>1045</v>
      </c>
      <c r="H302" s="15"/>
    </row>
    <row r="303" spans="1:8" ht="27.75" x14ac:dyDescent="0.65">
      <c r="A303" s="293" t="s">
        <v>887</v>
      </c>
      <c r="B303" s="117" t="s">
        <v>888</v>
      </c>
      <c r="C303" s="116">
        <f>IFERROR(VLOOKUP($A303,'งบทดลอง รพ.'!$A$2:$C$500,3,0),0)</f>
        <v>0</v>
      </c>
      <c r="D303" s="21"/>
      <c r="E303" s="72" t="s">
        <v>1007</v>
      </c>
      <c r="F303" s="72" t="s">
        <v>33</v>
      </c>
      <c r="G303" s="114" t="s">
        <v>1045</v>
      </c>
      <c r="H303" s="15"/>
    </row>
    <row r="304" spans="1:8" ht="27.75" x14ac:dyDescent="0.65">
      <c r="A304" s="294" t="s">
        <v>1320</v>
      </c>
      <c r="B304" s="118" t="s">
        <v>1321</v>
      </c>
      <c r="C304" s="116">
        <f>IFERROR(VLOOKUP($A304,'งบทดลอง รพ.'!$A$2:$C$500,3,0),0)</f>
        <v>0</v>
      </c>
      <c r="D304" s="21"/>
      <c r="E304" s="72" t="s">
        <v>1029</v>
      </c>
      <c r="F304" s="72" t="s">
        <v>41</v>
      </c>
      <c r="G304" s="114" t="s">
        <v>1045</v>
      </c>
      <c r="H304" s="15"/>
    </row>
    <row r="305" spans="1:8" ht="27.75" x14ac:dyDescent="0.65">
      <c r="A305" s="294" t="s">
        <v>497</v>
      </c>
      <c r="B305" s="118" t="s">
        <v>1130</v>
      </c>
      <c r="C305" s="116">
        <f>IFERROR(VLOOKUP($A305,'งบทดลอง รพ.'!$A$2:$C$500,3,0),0)</f>
        <v>4000000</v>
      </c>
      <c r="D305" s="21"/>
      <c r="E305" s="72" t="s">
        <v>1031</v>
      </c>
      <c r="F305" s="72" t="s">
        <v>41</v>
      </c>
      <c r="G305" s="114" t="s">
        <v>1045</v>
      </c>
      <c r="H305" s="15"/>
    </row>
    <row r="306" spans="1:8" ht="27.75" x14ac:dyDescent="0.65">
      <c r="A306" s="293" t="s">
        <v>498</v>
      </c>
      <c r="B306" s="117" t="s">
        <v>1131</v>
      </c>
      <c r="C306" s="116">
        <f>IFERROR(VLOOKUP($A306,'งบทดลอง รพ.'!$A$2:$C$500,3,0),0)</f>
        <v>100000</v>
      </c>
      <c r="D306" s="21"/>
      <c r="E306" s="72" t="s">
        <v>1031</v>
      </c>
      <c r="F306" s="72" t="s">
        <v>41</v>
      </c>
      <c r="G306" s="114" t="s">
        <v>1045</v>
      </c>
      <c r="H306" s="15"/>
    </row>
    <row r="307" spans="1:8" ht="27.75" x14ac:dyDescent="0.65">
      <c r="A307" s="294" t="s">
        <v>889</v>
      </c>
      <c r="B307" s="118" t="s">
        <v>890</v>
      </c>
      <c r="C307" s="116">
        <f>IFERROR(VLOOKUP($A307,'งบทดลอง รพ.'!$A$2:$C$500,3,0),0)</f>
        <v>0</v>
      </c>
      <c r="D307" s="21"/>
      <c r="E307" s="72" t="s">
        <v>1031</v>
      </c>
      <c r="F307" s="72" t="s">
        <v>41</v>
      </c>
      <c r="G307" s="114" t="s">
        <v>1045</v>
      </c>
      <c r="H307" s="15"/>
    </row>
    <row r="308" spans="1:8" ht="27.75" x14ac:dyDescent="0.65">
      <c r="A308" s="294" t="s">
        <v>499</v>
      </c>
      <c r="B308" s="118" t="s">
        <v>500</v>
      </c>
      <c r="C308" s="116">
        <f>IFERROR(VLOOKUP($A308,'งบทดลอง รพ.'!$A$2:$C$500,3,0),0)</f>
        <v>0</v>
      </c>
      <c r="D308" s="21"/>
      <c r="E308" s="72" t="s">
        <v>1027</v>
      </c>
      <c r="F308" s="72" t="s">
        <v>41</v>
      </c>
      <c r="G308" s="114" t="s">
        <v>1045</v>
      </c>
      <c r="H308" s="15"/>
    </row>
    <row r="309" spans="1:8" ht="27.75" x14ac:dyDescent="0.65">
      <c r="A309" s="294" t="s">
        <v>501</v>
      </c>
      <c r="B309" s="118" t="s">
        <v>502</v>
      </c>
      <c r="C309" s="116">
        <f>IFERROR(VLOOKUP($A309,'งบทดลอง รพ.'!$A$2:$C$500,3,0),0)</f>
        <v>0</v>
      </c>
      <c r="D309" s="21"/>
      <c r="E309" s="72" t="s">
        <v>1031</v>
      </c>
      <c r="F309" s="72" t="s">
        <v>41</v>
      </c>
      <c r="G309" s="114" t="s">
        <v>1045</v>
      </c>
      <c r="H309" s="15"/>
    </row>
    <row r="310" spans="1:8" ht="27.75" x14ac:dyDescent="0.65">
      <c r="A310" s="294" t="s">
        <v>891</v>
      </c>
      <c r="B310" s="118" t="s">
        <v>892</v>
      </c>
      <c r="C310" s="116">
        <f>IFERROR(VLOOKUP($A310,'งบทดลอง รพ.'!$A$2:$C$500,3,0),0)</f>
        <v>6120000</v>
      </c>
      <c r="D310" s="21"/>
      <c r="E310" s="72" t="s">
        <v>991</v>
      </c>
      <c r="F310" s="72" t="s">
        <v>29</v>
      </c>
      <c r="G310" s="114" t="s">
        <v>1045</v>
      </c>
      <c r="H310" s="15"/>
    </row>
    <row r="311" spans="1:8" ht="27.75" x14ac:dyDescent="0.65">
      <c r="A311" s="294" t="s">
        <v>893</v>
      </c>
      <c r="B311" s="118" t="s">
        <v>894</v>
      </c>
      <c r="C311" s="116">
        <f>IFERROR(VLOOKUP($A311,'งบทดลอง รพ.'!$A$2:$C$500,3,0),0)</f>
        <v>1440000</v>
      </c>
      <c r="D311" s="21"/>
      <c r="E311" s="72" t="s">
        <v>991</v>
      </c>
      <c r="F311" s="72" t="s">
        <v>29</v>
      </c>
      <c r="G311" s="114" t="s">
        <v>1045</v>
      </c>
      <c r="H311" s="15"/>
    </row>
    <row r="312" spans="1:8" ht="27.75" x14ac:dyDescent="0.65">
      <c r="A312" s="293" t="s">
        <v>895</v>
      </c>
      <c r="B312" s="117" t="s">
        <v>896</v>
      </c>
      <c r="C312" s="116">
        <f>IFERROR(VLOOKUP($A312,'งบทดลอง รพ.'!$A$2:$C$500,3,0),0)</f>
        <v>0</v>
      </c>
      <c r="D312" s="21"/>
      <c r="E312" s="72" t="s">
        <v>991</v>
      </c>
      <c r="F312" s="72" t="s">
        <v>29</v>
      </c>
      <c r="G312" s="114" t="s">
        <v>1045</v>
      </c>
      <c r="H312" s="15"/>
    </row>
    <row r="313" spans="1:8" ht="27.75" x14ac:dyDescent="0.65">
      <c r="A313" s="293" t="s">
        <v>897</v>
      </c>
      <c r="B313" s="117" t="s">
        <v>1322</v>
      </c>
      <c r="C313" s="116">
        <f>IFERROR(VLOOKUP($A313,'งบทดลอง รพ.'!$A$2:$C$500,3,0),0)</f>
        <v>30000</v>
      </c>
      <c r="D313" s="21"/>
      <c r="E313" s="72" t="s">
        <v>991</v>
      </c>
      <c r="F313" s="72" t="s">
        <v>29</v>
      </c>
      <c r="G313" s="114" t="s">
        <v>1045</v>
      </c>
      <c r="H313" s="15"/>
    </row>
    <row r="314" spans="1:8" ht="27.75" x14ac:dyDescent="0.65">
      <c r="A314" s="293" t="s">
        <v>898</v>
      </c>
      <c r="B314" s="117" t="s">
        <v>899</v>
      </c>
      <c r="C314" s="116">
        <f>IFERROR(VLOOKUP($A314,'งบทดลอง รพ.'!$A$2:$C$500,3,0),0)</f>
        <v>0</v>
      </c>
      <c r="D314" s="21"/>
      <c r="E314" s="72" t="s">
        <v>991</v>
      </c>
      <c r="F314" s="72" t="s">
        <v>29</v>
      </c>
      <c r="G314" s="114" t="s">
        <v>1045</v>
      </c>
      <c r="H314" s="15"/>
    </row>
    <row r="315" spans="1:8" ht="27.75" x14ac:dyDescent="0.65">
      <c r="A315" s="293" t="s">
        <v>900</v>
      </c>
      <c r="B315" s="117" t="s">
        <v>266</v>
      </c>
      <c r="C315" s="116">
        <f>IFERROR(VLOOKUP($A315,'งบทดลอง รพ.'!$A$2:$C$500,3,0),0)</f>
        <v>480000</v>
      </c>
      <c r="D315" s="21"/>
      <c r="E315" s="72" t="s">
        <v>991</v>
      </c>
      <c r="F315" s="72" t="s">
        <v>29</v>
      </c>
      <c r="G315" s="114" t="s">
        <v>1045</v>
      </c>
      <c r="H315" s="15"/>
    </row>
    <row r="316" spans="1:8" ht="27.75" x14ac:dyDescent="0.65">
      <c r="A316" s="293" t="s">
        <v>901</v>
      </c>
      <c r="B316" s="117" t="s">
        <v>267</v>
      </c>
      <c r="C316" s="116">
        <f>IFERROR(VLOOKUP($A316,'งบทดลอง รพ.'!$A$2:$C$500,3,0),0)</f>
        <v>480000</v>
      </c>
      <c r="D316" s="21"/>
      <c r="E316" s="72" t="s">
        <v>991</v>
      </c>
      <c r="F316" s="72" t="s">
        <v>29</v>
      </c>
      <c r="G316" s="114" t="s">
        <v>1045</v>
      </c>
      <c r="H316" s="15"/>
    </row>
    <row r="317" spans="1:8" ht="27.75" x14ac:dyDescent="0.65">
      <c r="A317" s="293" t="s">
        <v>902</v>
      </c>
      <c r="B317" s="117" t="s">
        <v>268</v>
      </c>
      <c r="C317" s="116">
        <f>IFERROR(VLOOKUP($A317,'งบทดลอง รพ.'!$A$2:$C$500,3,0),0)</f>
        <v>240000</v>
      </c>
      <c r="D317" s="21"/>
      <c r="E317" s="72" t="s">
        <v>991</v>
      </c>
      <c r="F317" s="72" t="s">
        <v>29</v>
      </c>
      <c r="G317" s="114" t="s">
        <v>1045</v>
      </c>
      <c r="H317" s="15"/>
    </row>
    <row r="318" spans="1:8" ht="27.75" x14ac:dyDescent="0.65">
      <c r="A318" s="293" t="s">
        <v>903</v>
      </c>
      <c r="B318" s="117" t="s">
        <v>904</v>
      </c>
      <c r="C318" s="116">
        <f>IFERROR(VLOOKUP($A318,'งบทดลอง รพ.'!$A$2:$C$500,3,0),0)</f>
        <v>0</v>
      </c>
      <c r="D318" s="21"/>
      <c r="E318" s="72" t="s">
        <v>991</v>
      </c>
      <c r="F318" s="72" t="s">
        <v>29</v>
      </c>
      <c r="G318" s="114" t="s">
        <v>1045</v>
      </c>
      <c r="H318" s="15"/>
    </row>
    <row r="319" spans="1:8" ht="27.75" x14ac:dyDescent="0.65">
      <c r="A319" s="293" t="s">
        <v>905</v>
      </c>
      <c r="B319" s="117" t="s">
        <v>271</v>
      </c>
      <c r="C319" s="116">
        <f>IFERROR(VLOOKUP($A319,'งบทดลอง รพ.'!$A$2:$C$500,3,0),0)</f>
        <v>0</v>
      </c>
      <c r="D319" s="21"/>
      <c r="E319" s="72" t="s">
        <v>991</v>
      </c>
      <c r="F319" s="72" t="s">
        <v>29</v>
      </c>
      <c r="G319" s="114" t="s">
        <v>1045</v>
      </c>
      <c r="H319" s="15"/>
    </row>
    <row r="320" spans="1:8" ht="27.75" x14ac:dyDescent="0.65">
      <c r="A320" s="293" t="s">
        <v>1323</v>
      </c>
      <c r="B320" s="117" t="s">
        <v>1324</v>
      </c>
      <c r="C320" s="116">
        <f>IFERROR(VLOOKUP($A320,'งบทดลอง รพ.'!$A$2:$C$500,3,0),0)</f>
        <v>0</v>
      </c>
      <c r="D320" s="21"/>
      <c r="E320" s="72" t="s">
        <v>991</v>
      </c>
      <c r="F320" s="72" t="s">
        <v>29</v>
      </c>
      <c r="G320" s="114" t="s">
        <v>1045</v>
      </c>
      <c r="H320" s="15"/>
    </row>
    <row r="321" spans="1:8" ht="27.75" x14ac:dyDescent="0.65">
      <c r="A321" s="293" t="s">
        <v>398</v>
      </c>
      <c r="B321" s="117" t="s">
        <v>399</v>
      </c>
      <c r="C321" s="116">
        <f>IFERROR(VLOOKUP($A321,'งบทดลอง รพ.'!$A$2:$C$500,3,0),0)</f>
        <v>450000</v>
      </c>
      <c r="D321" s="21"/>
      <c r="E321" s="72" t="s">
        <v>1021</v>
      </c>
      <c r="F321" s="72" t="s">
        <v>39</v>
      </c>
      <c r="G321" s="114" t="s">
        <v>1045</v>
      </c>
      <c r="H321" s="15"/>
    </row>
    <row r="322" spans="1:8" ht="27.75" x14ac:dyDescent="0.65">
      <c r="A322" s="293" t="s">
        <v>400</v>
      </c>
      <c r="B322" s="117" t="s">
        <v>401</v>
      </c>
      <c r="C322" s="116">
        <f>IFERROR(VLOOKUP($A322,'งบทดลอง รพ.'!$A$2:$C$500,3,0),0)</f>
        <v>52000</v>
      </c>
      <c r="D322" s="21"/>
      <c r="E322" s="72" t="s">
        <v>1021</v>
      </c>
      <c r="F322" s="72" t="s">
        <v>39</v>
      </c>
      <c r="G322" s="114" t="s">
        <v>1045</v>
      </c>
      <c r="H322" s="15"/>
    </row>
    <row r="323" spans="1:8" ht="27.75" x14ac:dyDescent="0.65">
      <c r="A323" s="293" t="s">
        <v>402</v>
      </c>
      <c r="B323" s="117" t="s">
        <v>403</v>
      </c>
      <c r="C323" s="116">
        <f>IFERROR(VLOOKUP($A323,'งบทดลอง รพ.'!$A$2:$C$500,3,0),0)</f>
        <v>110000</v>
      </c>
      <c r="D323" s="21"/>
      <c r="E323" s="72" t="s">
        <v>1021</v>
      </c>
      <c r="F323" s="72" t="s">
        <v>39</v>
      </c>
      <c r="G323" s="114" t="s">
        <v>1045</v>
      </c>
      <c r="H323" s="15"/>
    </row>
    <row r="324" spans="1:8" ht="27.75" x14ac:dyDescent="0.65">
      <c r="A324" s="293" t="s">
        <v>404</v>
      </c>
      <c r="B324" s="117" t="s">
        <v>405</v>
      </c>
      <c r="C324" s="116">
        <f>IFERROR(VLOOKUP($A324,'งบทดลอง รพ.'!$A$2:$C$500,3,0),0)</f>
        <v>33000</v>
      </c>
      <c r="D324" s="21"/>
      <c r="E324" s="72" t="s">
        <v>1021</v>
      </c>
      <c r="F324" s="72" t="s">
        <v>39</v>
      </c>
      <c r="G324" s="114" t="s">
        <v>1045</v>
      </c>
      <c r="H324" s="15"/>
    </row>
    <row r="325" spans="1:8" ht="27.75" x14ac:dyDescent="0.65">
      <c r="A325" s="293" t="s">
        <v>406</v>
      </c>
      <c r="B325" s="117" t="s">
        <v>407</v>
      </c>
      <c r="C325" s="116">
        <f>IFERROR(VLOOKUP($A325,'งบทดลอง รพ.'!$A$2:$C$500,3,0),0)</f>
        <v>119000</v>
      </c>
      <c r="D325" s="21"/>
      <c r="E325" s="72" t="s">
        <v>1021</v>
      </c>
      <c r="F325" s="72" t="s">
        <v>39</v>
      </c>
      <c r="G325" s="114" t="s">
        <v>1045</v>
      </c>
      <c r="H325" s="15"/>
    </row>
    <row r="326" spans="1:8" ht="27.75" x14ac:dyDescent="0.65">
      <c r="A326" s="293" t="s">
        <v>408</v>
      </c>
      <c r="B326" s="117" t="s">
        <v>409</v>
      </c>
      <c r="C326" s="116">
        <f>IFERROR(VLOOKUP($A326,'งบทดลอง รพ.'!$A$2:$C$500,3,0),0)</f>
        <v>378000</v>
      </c>
      <c r="D326" s="21"/>
      <c r="E326" s="72" t="s">
        <v>1021</v>
      </c>
      <c r="F326" s="72" t="s">
        <v>39</v>
      </c>
      <c r="G326" s="114" t="s">
        <v>1045</v>
      </c>
      <c r="H326" s="15"/>
    </row>
    <row r="327" spans="1:8" ht="27.75" x14ac:dyDescent="0.65">
      <c r="A327" s="293" t="s">
        <v>410</v>
      </c>
      <c r="B327" s="117" t="s">
        <v>411</v>
      </c>
      <c r="C327" s="116">
        <f>IFERROR(VLOOKUP($A327,'งบทดลอง รพ.'!$A$2:$C$500,3,0),0)</f>
        <v>0</v>
      </c>
      <c r="D327" s="21"/>
      <c r="E327" s="72" t="s">
        <v>1021</v>
      </c>
      <c r="F327" s="72" t="s">
        <v>39</v>
      </c>
      <c r="G327" s="114" t="s">
        <v>1045</v>
      </c>
      <c r="H327" s="15"/>
    </row>
    <row r="328" spans="1:8" ht="27.75" x14ac:dyDescent="0.65">
      <c r="A328" s="293" t="s">
        <v>412</v>
      </c>
      <c r="B328" s="117" t="s">
        <v>413</v>
      </c>
      <c r="C328" s="116">
        <f>IFERROR(VLOOKUP($A328,'งบทดลอง รพ.'!$A$2:$C$500,3,0),0)</f>
        <v>0</v>
      </c>
      <c r="D328" s="21"/>
      <c r="E328" s="72" t="s">
        <v>1021</v>
      </c>
      <c r="F328" s="72" t="s">
        <v>39</v>
      </c>
      <c r="G328" s="114" t="s">
        <v>1045</v>
      </c>
      <c r="H328" s="15"/>
    </row>
    <row r="329" spans="1:8" ht="27.75" x14ac:dyDescent="0.65">
      <c r="A329" s="293" t="s">
        <v>414</v>
      </c>
      <c r="B329" s="117" t="s">
        <v>415</v>
      </c>
      <c r="C329" s="116">
        <f>IFERROR(VLOOKUP($A329,'งบทดลอง รพ.'!$A$2:$C$500,3,0),0)</f>
        <v>31100</v>
      </c>
      <c r="D329" s="21"/>
      <c r="E329" s="72" t="s">
        <v>1021</v>
      </c>
      <c r="F329" s="72" t="s">
        <v>39</v>
      </c>
      <c r="G329" s="114" t="s">
        <v>1045</v>
      </c>
      <c r="H329" s="15"/>
    </row>
    <row r="330" spans="1:8" ht="27.75" x14ac:dyDescent="0.65">
      <c r="A330" s="293" t="s">
        <v>416</v>
      </c>
      <c r="B330" s="117" t="s">
        <v>417</v>
      </c>
      <c r="C330" s="116">
        <f>IFERROR(VLOOKUP($A330,'งบทดลอง รพ.'!$A$2:$C$500,3,0),0)</f>
        <v>0</v>
      </c>
      <c r="D330" s="21"/>
      <c r="E330" s="72" t="s">
        <v>1023</v>
      </c>
      <c r="F330" s="72" t="s">
        <v>39</v>
      </c>
      <c r="G330" s="114" t="s">
        <v>1045</v>
      </c>
      <c r="H330" s="15"/>
    </row>
    <row r="331" spans="1:8" ht="27.75" x14ac:dyDescent="0.65">
      <c r="A331" s="293" t="s">
        <v>418</v>
      </c>
      <c r="B331" s="117" t="s">
        <v>419</v>
      </c>
      <c r="C331" s="116">
        <f>IFERROR(VLOOKUP($A331,'งบทดลอง รพ.'!$A$2:$C$500,3,0),0)</f>
        <v>400000</v>
      </c>
      <c r="D331" s="21"/>
      <c r="E331" s="72" t="s">
        <v>1023</v>
      </c>
      <c r="F331" s="72" t="s">
        <v>39</v>
      </c>
      <c r="G331" s="114" t="s">
        <v>1045</v>
      </c>
      <c r="H331" s="15"/>
    </row>
    <row r="332" spans="1:8" ht="27.75" x14ac:dyDescent="0.65">
      <c r="A332" s="293" t="s">
        <v>420</v>
      </c>
      <c r="B332" s="117" t="s">
        <v>421</v>
      </c>
      <c r="C332" s="116">
        <f>IFERROR(VLOOKUP($A332,'งบทดลอง รพ.'!$A$2:$C$500,3,0),0)</f>
        <v>0</v>
      </c>
      <c r="D332" s="21"/>
      <c r="E332" s="72" t="s">
        <v>1023</v>
      </c>
      <c r="F332" s="72" t="s">
        <v>39</v>
      </c>
      <c r="G332" s="114" t="s">
        <v>1045</v>
      </c>
      <c r="H332" s="15"/>
    </row>
    <row r="333" spans="1:8" ht="27.75" x14ac:dyDescent="0.65">
      <c r="A333" s="293" t="s">
        <v>422</v>
      </c>
      <c r="B333" s="117" t="s">
        <v>423</v>
      </c>
      <c r="C333" s="116">
        <f>IFERROR(VLOOKUP($A333,'งบทดลอง รพ.'!$A$2:$C$500,3,0),0)</f>
        <v>0</v>
      </c>
      <c r="D333" s="21"/>
      <c r="E333" s="72" t="s">
        <v>1023</v>
      </c>
      <c r="F333" s="72" t="s">
        <v>39</v>
      </c>
      <c r="G333" s="114" t="s">
        <v>1045</v>
      </c>
      <c r="H333" s="15"/>
    </row>
    <row r="334" spans="1:8" ht="27.75" x14ac:dyDescent="0.65">
      <c r="A334" s="293" t="s">
        <v>424</v>
      </c>
      <c r="B334" s="117" t="s">
        <v>425</v>
      </c>
      <c r="C334" s="116">
        <f>IFERROR(VLOOKUP($A334,'งบทดลอง รพ.'!$A$2:$C$500,3,0),0)</f>
        <v>0</v>
      </c>
      <c r="D334" s="21"/>
      <c r="E334" s="72" t="s">
        <v>1023</v>
      </c>
      <c r="F334" s="72" t="s">
        <v>39</v>
      </c>
      <c r="G334" s="114" t="s">
        <v>1045</v>
      </c>
      <c r="H334" s="15"/>
    </row>
    <row r="335" spans="1:8" ht="27.75" x14ac:dyDescent="0.65">
      <c r="A335" s="293" t="s">
        <v>426</v>
      </c>
      <c r="B335" s="117" t="s">
        <v>427</v>
      </c>
      <c r="C335" s="116">
        <f>IFERROR(VLOOKUP($A335,'งบทดลอง รพ.'!$A$2:$C$500,3,0),0)</f>
        <v>0</v>
      </c>
      <c r="D335" s="21"/>
      <c r="E335" s="72" t="s">
        <v>1023</v>
      </c>
      <c r="F335" s="72" t="s">
        <v>39</v>
      </c>
      <c r="G335" s="114" t="s">
        <v>1045</v>
      </c>
      <c r="H335" s="15"/>
    </row>
    <row r="336" spans="1:8" ht="27.75" x14ac:dyDescent="0.65">
      <c r="A336" s="293" t="s">
        <v>428</v>
      </c>
      <c r="B336" s="117" t="s">
        <v>429</v>
      </c>
      <c r="C336" s="116">
        <f>IFERROR(VLOOKUP($A336,'งบทดลอง รพ.'!$A$2:$C$500,3,0),0)</f>
        <v>364000</v>
      </c>
      <c r="D336" s="21"/>
      <c r="E336" s="72" t="s">
        <v>1023</v>
      </c>
      <c r="F336" s="72" t="s">
        <v>39</v>
      </c>
      <c r="G336" s="114" t="s">
        <v>1045</v>
      </c>
      <c r="H336" s="15"/>
    </row>
    <row r="337" spans="1:8" ht="27.75" x14ac:dyDescent="0.65">
      <c r="A337" s="293" t="s">
        <v>430</v>
      </c>
      <c r="B337" s="117" t="s">
        <v>431</v>
      </c>
      <c r="C337" s="116">
        <f>IFERROR(VLOOKUP($A337,'งบทดลอง รพ.'!$A$2:$C$500,3,0),0)</f>
        <v>0</v>
      </c>
      <c r="D337" s="21"/>
      <c r="E337" s="72" t="s">
        <v>1023</v>
      </c>
      <c r="F337" s="72" t="s">
        <v>39</v>
      </c>
      <c r="G337" s="114" t="s">
        <v>1045</v>
      </c>
      <c r="H337" s="15"/>
    </row>
    <row r="338" spans="1:8" ht="27.75" x14ac:dyDescent="0.65">
      <c r="A338" s="293" t="s">
        <v>906</v>
      </c>
      <c r="B338" s="117" t="s">
        <v>907</v>
      </c>
      <c r="C338" s="116">
        <f>IFERROR(VLOOKUP($A338,'งบทดลอง รพ.'!$A$2:$C$500,3,0),0)</f>
        <v>0</v>
      </c>
      <c r="D338" s="21"/>
      <c r="E338" s="72" t="s">
        <v>1023</v>
      </c>
      <c r="F338" s="72" t="s">
        <v>39</v>
      </c>
      <c r="G338" s="114" t="s">
        <v>1045</v>
      </c>
      <c r="H338" s="15"/>
    </row>
    <row r="339" spans="1:8" ht="27.75" x14ac:dyDescent="0.65">
      <c r="A339" s="293" t="s">
        <v>432</v>
      </c>
      <c r="B339" s="117" t="s">
        <v>433</v>
      </c>
      <c r="C339" s="116">
        <f>IFERROR(VLOOKUP($A339,'งบทดลอง รพ.'!$A$2:$C$500,3,0),0)</f>
        <v>0</v>
      </c>
      <c r="D339" s="21"/>
      <c r="E339" s="72" t="s">
        <v>1023</v>
      </c>
      <c r="F339" s="72" t="s">
        <v>39</v>
      </c>
      <c r="G339" s="114" t="s">
        <v>1045</v>
      </c>
      <c r="H339" s="15"/>
    </row>
    <row r="340" spans="1:8" ht="27.75" x14ac:dyDescent="0.65">
      <c r="A340" s="293" t="s">
        <v>908</v>
      </c>
      <c r="B340" s="117" t="s">
        <v>909</v>
      </c>
      <c r="C340" s="116">
        <f>IFERROR(VLOOKUP($A340,'งบทดลอง รพ.'!$A$2:$C$500,3,0),0)</f>
        <v>0</v>
      </c>
      <c r="D340" s="21"/>
      <c r="E340" s="72" t="s">
        <v>1023</v>
      </c>
      <c r="F340" s="72" t="s">
        <v>39</v>
      </c>
      <c r="G340" s="114" t="s">
        <v>1045</v>
      </c>
      <c r="H340" s="15"/>
    </row>
    <row r="341" spans="1:8" ht="27.75" x14ac:dyDescent="0.65">
      <c r="A341" s="293" t="s">
        <v>910</v>
      </c>
      <c r="B341" s="117" t="s">
        <v>911</v>
      </c>
      <c r="C341" s="116">
        <f>IFERROR(VLOOKUP($A341,'งบทดลอง รพ.'!$A$2:$C$500,3,0),0)</f>
        <v>0</v>
      </c>
      <c r="D341" s="21"/>
      <c r="E341" s="72" t="s">
        <v>1023</v>
      </c>
      <c r="F341" s="72" t="s">
        <v>39</v>
      </c>
      <c r="G341" s="114" t="s">
        <v>1045</v>
      </c>
      <c r="H341" s="15"/>
    </row>
    <row r="342" spans="1:8" ht="27.75" x14ac:dyDescent="0.65">
      <c r="A342" s="293" t="s">
        <v>912</v>
      </c>
      <c r="B342" s="117" t="s">
        <v>913</v>
      </c>
      <c r="C342" s="116">
        <f>IFERROR(VLOOKUP($A342,'งบทดลอง รพ.'!$A$2:$C$500,3,0),0)</f>
        <v>0</v>
      </c>
      <c r="D342" s="21"/>
      <c r="E342" s="72" t="s">
        <v>1023</v>
      </c>
      <c r="F342" s="72" t="s">
        <v>39</v>
      </c>
      <c r="G342" s="114" t="s">
        <v>1045</v>
      </c>
      <c r="H342" s="15"/>
    </row>
    <row r="343" spans="1:8" ht="27.75" x14ac:dyDescent="0.65">
      <c r="A343" s="294" t="s">
        <v>434</v>
      </c>
      <c r="B343" s="118" t="s">
        <v>435</v>
      </c>
      <c r="C343" s="116">
        <f>IFERROR(VLOOKUP($A343,'งบทดลอง รพ.'!$A$2:$C$500,3,0),0)</f>
        <v>0</v>
      </c>
      <c r="E343" s="72" t="s">
        <v>1023</v>
      </c>
      <c r="F343" s="72" t="s">
        <v>39</v>
      </c>
      <c r="G343" s="114" t="s">
        <v>1045</v>
      </c>
      <c r="H343" s="15"/>
    </row>
    <row r="344" spans="1:8" ht="27.75" x14ac:dyDescent="0.65">
      <c r="A344" s="293" t="s">
        <v>436</v>
      </c>
      <c r="B344" s="117" t="s">
        <v>437</v>
      </c>
      <c r="C344" s="116">
        <f>IFERROR(VLOOKUP($A344,'งบทดลอง รพ.'!$A$2:$C$500,3,0),0)</f>
        <v>0</v>
      </c>
      <c r="E344" s="72" t="s">
        <v>1025</v>
      </c>
      <c r="F344" s="72" t="s">
        <v>39</v>
      </c>
      <c r="G344" s="114" t="s">
        <v>1045</v>
      </c>
      <c r="H344" s="15"/>
    </row>
    <row r="345" spans="1:8" ht="27.75" x14ac:dyDescent="0.65">
      <c r="A345" s="293" t="s">
        <v>438</v>
      </c>
      <c r="B345" s="117" t="s">
        <v>439</v>
      </c>
      <c r="C345" s="116">
        <f>IFERROR(VLOOKUP($A345,'งบทดลอง รพ.'!$A$2:$C$500,3,0),0)</f>
        <v>0</v>
      </c>
      <c r="E345" s="72" t="s">
        <v>1025</v>
      </c>
      <c r="F345" s="72" t="s">
        <v>39</v>
      </c>
      <c r="G345" s="114" t="s">
        <v>1045</v>
      </c>
      <c r="H345" s="15"/>
    </row>
    <row r="346" spans="1:8" ht="27.75" x14ac:dyDescent="0.65">
      <c r="A346" s="293" t="s">
        <v>440</v>
      </c>
      <c r="B346" s="117" t="s">
        <v>441</v>
      </c>
      <c r="C346" s="116">
        <f>IFERROR(VLOOKUP($A346,'งบทดลอง รพ.'!$A$2:$C$500,3,0),0)</f>
        <v>0</v>
      </c>
      <c r="E346" s="72" t="s">
        <v>1021</v>
      </c>
      <c r="F346" s="72" t="s">
        <v>39</v>
      </c>
      <c r="G346" s="114" t="s">
        <v>1045</v>
      </c>
      <c r="H346" s="15"/>
    </row>
    <row r="347" spans="1:8" ht="27.75" x14ac:dyDescent="0.65">
      <c r="A347" s="293" t="s">
        <v>442</v>
      </c>
      <c r="B347" s="117" t="s">
        <v>443</v>
      </c>
      <c r="C347" s="116">
        <f>IFERROR(VLOOKUP($A347,'งบทดลอง รพ.'!$A$2:$C$500,3,0),0)</f>
        <v>0</v>
      </c>
      <c r="E347" s="72" t="s">
        <v>1021</v>
      </c>
      <c r="F347" s="72" t="s">
        <v>39</v>
      </c>
      <c r="G347" s="114" t="s">
        <v>1045</v>
      </c>
      <c r="H347" s="15"/>
    </row>
    <row r="348" spans="1:8" ht="27.75" x14ac:dyDescent="0.65">
      <c r="A348" s="293" t="s">
        <v>444</v>
      </c>
      <c r="B348" s="117" t="s">
        <v>445</v>
      </c>
      <c r="C348" s="116">
        <f>IFERROR(VLOOKUP($A348,'งบทดลอง รพ.'!$A$2:$C$500,3,0),0)</f>
        <v>529000</v>
      </c>
      <c r="E348" s="72" t="s">
        <v>1021</v>
      </c>
      <c r="F348" s="72" t="s">
        <v>39</v>
      </c>
      <c r="G348" s="114" t="s">
        <v>1045</v>
      </c>
      <c r="H348" s="15"/>
    </row>
    <row r="349" spans="1:8" ht="27.75" x14ac:dyDescent="0.65">
      <c r="A349" s="293" t="s">
        <v>446</v>
      </c>
      <c r="B349" s="117" t="s">
        <v>447</v>
      </c>
      <c r="C349" s="116">
        <f>IFERROR(VLOOKUP($A349,'งบทดลอง รพ.'!$A$2:$C$500,3,0),0)</f>
        <v>0</v>
      </c>
      <c r="E349" s="72" t="s">
        <v>1021</v>
      </c>
      <c r="F349" s="72" t="s">
        <v>39</v>
      </c>
      <c r="G349" s="114" t="s">
        <v>1045</v>
      </c>
      <c r="H349" s="15"/>
    </row>
    <row r="350" spans="1:8" ht="27.75" x14ac:dyDescent="0.65">
      <c r="A350" s="293" t="s">
        <v>448</v>
      </c>
      <c r="B350" s="117" t="s">
        <v>449</v>
      </c>
      <c r="C350" s="116">
        <f>IFERROR(VLOOKUP($A350,'งบทดลอง รพ.'!$A$2:$C$500,3,0),0)</f>
        <v>0</v>
      </c>
      <c r="E350" s="72" t="s">
        <v>1021</v>
      </c>
      <c r="F350" s="72" t="s">
        <v>39</v>
      </c>
      <c r="G350" s="114" t="s">
        <v>1045</v>
      </c>
      <c r="H350" s="15"/>
    </row>
    <row r="351" spans="1:8" ht="27.75" x14ac:dyDescent="0.65">
      <c r="A351" s="293" t="s">
        <v>450</v>
      </c>
      <c r="B351" s="117" t="s">
        <v>451</v>
      </c>
      <c r="C351" s="116">
        <f>IFERROR(VLOOKUP($A351,'งบทดลอง รพ.'!$A$2:$C$500,3,0),0)</f>
        <v>0</v>
      </c>
      <c r="E351" s="72" t="s">
        <v>1021</v>
      </c>
      <c r="F351" s="72" t="s">
        <v>39</v>
      </c>
      <c r="G351" s="114" t="s">
        <v>1045</v>
      </c>
      <c r="H351" s="15"/>
    </row>
    <row r="352" spans="1:8" ht="27.75" x14ac:dyDescent="0.65">
      <c r="A352" s="293" t="s">
        <v>452</v>
      </c>
      <c r="B352" s="117" t="s">
        <v>453</v>
      </c>
      <c r="C352" s="116">
        <f>IFERROR(VLOOKUP($A352,'งบทดลอง รพ.'!$A$2:$C$500,3,0),0)</f>
        <v>0</v>
      </c>
      <c r="E352" s="72" t="s">
        <v>1021</v>
      </c>
      <c r="F352" s="72" t="s">
        <v>39</v>
      </c>
      <c r="G352" s="114" t="s">
        <v>1045</v>
      </c>
      <c r="H352" s="15"/>
    </row>
    <row r="353" spans="1:8" ht="27.75" x14ac:dyDescent="0.65">
      <c r="A353" s="293" t="s">
        <v>454</v>
      </c>
      <c r="B353" s="117" t="s">
        <v>455</v>
      </c>
      <c r="C353" s="116">
        <f>IFERROR(VLOOKUP($A353,'งบทดลอง รพ.'!$A$2:$C$500,3,0),0)</f>
        <v>0</v>
      </c>
      <c r="E353" s="72" t="s">
        <v>1021</v>
      </c>
      <c r="F353" s="72" t="s">
        <v>39</v>
      </c>
      <c r="G353" s="114" t="s">
        <v>1045</v>
      </c>
      <c r="H353" s="15"/>
    </row>
    <row r="354" spans="1:8" ht="27.75" x14ac:dyDescent="0.65">
      <c r="A354" s="293" t="s">
        <v>456</v>
      </c>
      <c r="B354" s="117" t="s">
        <v>457</v>
      </c>
      <c r="C354" s="116">
        <f>IFERROR(VLOOKUP($A354,'งบทดลอง รพ.'!$A$2:$C$500,3,0),0)</f>
        <v>0</v>
      </c>
      <c r="E354" s="72" t="s">
        <v>1021</v>
      </c>
      <c r="F354" s="72" t="s">
        <v>39</v>
      </c>
      <c r="G354" s="114" t="s">
        <v>1045</v>
      </c>
      <c r="H354" s="15"/>
    </row>
    <row r="355" spans="1:8" ht="27.75" x14ac:dyDescent="0.65">
      <c r="A355" s="293" t="s">
        <v>458</v>
      </c>
      <c r="B355" s="117" t="s">
        <v>459</v>
      </c>
      <c r="C355" s="116">
        <f>IFERROR(VLOOKUP($A355,'งบทดลอง รพ.'!$A$2:$C$500,3,0),0)</f>
        <v>0</v>
      </c>
      <c r="E355" s="72" t="s">
        <v>1021</v>
      </c>
      <c r="F355" s="72" t="s">
        <v>39</v>
      </c>
      <c r="G355" s="114" t="s">
        <v>1045</v>
      </c>
      <c r="H355" s="15"/>
    </row>
    <row r="356" spans="1:8" ht="27.75" x14ac:dyDescent="0.65">
      <c r="A356" s="293" t="s">
        <v>460</v>
      </c>
      <c r="B356" s="117" t="s">
        <v>461</v>
      </c>
      <c r="C356" s="116">
        <f>IFERROR(VLOOKUP($A356,'งบทดลอง รพ.'!$A$2:$C$500,3,0),0)</f>
        <v>302000</v>
      </c>
      <c r="E356" s="72" t="s">
        <v>1023</v>
      </c>
      <c r="F356" s="72" t="s">
        <v>39</v>
      </c>
      <c r="G356" s="114" t="s">
        <v>1045</v>
      </c>
      <c r="H356" s="15"/>
    </row>
    <row r="357" spans="1:8" ht="27.75" x14ac:dyDescent="0.65">
      <c r="A357" s="293" t="s">
        <v>462</v>
      </c>
      <c r="B357" s="117" t="s">
        <v>463</v>
      </c>
      <c r="C357" s="116">
        <f>IFERROR(VLOOKUP($A357,'งบทดลอง รพ.'!$A$2:$C$500,3,0),0)</f>
        <v>102000</v>
      </c>
      <c r="E357" s="72" t="s">
        <v>1023</v>
      </c>
      <c r="F357" s="72" t="s">
        <v>39</v>
      </c>
      <c r="G357" s="114" t="s">
        <v>1045</v>
      </c>
      <c r="H357" s="15"/>
    </row>
    <row r="358" spans="1:8" ht="27.75" x14ac:dyDescent="0.65">
      <c r="A358" s="293" t="s">
        <v>464</v>
      </c>
      <c r="B358" s="117" t="s">
        <v>465</v>
      </c>
      <c r="C358" s="116">
        <f>IFERROR(VLOOKUP($A358,'งบทดลอง รพ.'!$A$2:$C$500,3,0),0)</f>
        <v>280000</v>
      </c>
      <c r="E358" s="72" t="s">
        <v>1023</v>
      </c>
      <c r="F358" s="72" t="s">
        <v>39</v>
      </c>
      <c r="G358" s="114" t="s">
        <v>1045</v>
      </c>
      <c r="H358" s="15"/>
    </row>
    <row r="359" spans="1:8" ht="27.75" x14ac:dyDescent="0.65">
      <c r="A359" s="293" t="s">
        <v>466</v>
      </c>
      <c r="B359" s="117" t="s">
        <v>467</v>
      </c>
      <c r="C359" s="116">
        <f>IFERROR(VLOOKUP($A359,'งบทดลอง รพ.'!$A$2:$C$500,3,0),0)</f>
        <v>134800</v>
      </c>
      <c r="E359" s="72" t="s">
        <v>1023</v>
      </c>
      <c r="F359" s="72" t="s">
        <v>39</v>
      </c>
      <c r="G359" s="114" t="s">
        <v>1045</v>
      </c>
      <c r="H359" s="15"/>
    </row>
    <row r="360" spans="1:8" ht="27.75" x14ac:dyDescent="0.65">
      <c r="A360" s="293" t="s">
        <v>468</v>
      </c>
      <c r="B360" s="117" t="s">
        <v>469</v>
      </c>
      <c r="C360" s="116">
        <f>IFERROR(VLOOKUP($A360,'งบทดลอง รพ.'!$A$2:$C$500,3,0),0)</f>
        <v>14000</v>
      </c>
      <c r="E360" s="72" t="s">
        <v>1023</v>
      </c>
      <c r="F360" s="72" t="s">
        <v>39</v>
      </c>
      <c r="G360" s="114" t="s">
        <v>1045</v>
      </c>
      <c r="H360" s="15"/>
    </row>
    <row r="361" spans="1:8" ht="27.75" x14ac:dyDescent="0.65">
      <c r="A361" s="293" t="s">
        <v>470</v>
      </c>
      <c r="B361" s="117" t="s">
        <v>471</v>
      </c>
      <c r="C361" s="116">
        <f>IFERROR(VLOOKUP($A361,'งบทดลอง รพ.'!$A$2:$C$500,3,0),0)</f>
        <v>4547.71</v>
      </c>
      <c r="E361" s="72" t="s">
        <v>1023</v>
      </c>
      <c r="F361" s="72" t="s">
        <v>39</v>
      </c>
      <c r="G361" s="114" t="s">
        <v>1045</v>
      </c>
      <c r="H361" s="15"/>
    </row>
    <row r="362" spans="1:8" ht="27.75" x14ac:dyDescent="0.65">
      <c r="A362" s="293" t="s">
        <v>472</v>
      </c>
      <c r="B362" s="117" t="s">
        <v>473</v>
      </c>
      <c r="C362" s="116">
        <f>IFERROR(VLOOKUP($A362,'งบทดลอง รพ.'!$A$2:$C$500,3,0),0)</f>
        <v>3068553.21</v>
      </c>
      <c r="E362" s="72" t="s">
        <v>1023</v>
      </c>
      <c r="F362" s="72" t="s">
        <v>39</v>
      </c>
      <c r="G362" s="114" t="s">
        <v>1045</v>
      </c>
      <c r="H362" s="15"/>
    </row>
    <row r="363" spans="1:8" ht="27.75" x14ac:dyDescent="0.65">
      <c r="A363" s="293" t="s">
        <v>474</v>
      </c>
      <c r="B363" s="117" t="s">
        <v>475</v>
      </c>
      <c r="C363" s="116">
        <f>IFERROR(VLOOKUP($A363,'งบทดลอง รพ.'!$A$2:$C$500,3,0),0)</f>
        <v>303391.88</v>
      </c>
      <c r="E363" s="72" t="s">
        <v>1023</v>
      </c>
      <c r="F363" s="72" t="s">
        <v>39</v>
      </c>
      <c r="G363" s="114" t="s">
        <v>1045</v>
      </c>
      <c r="H363" s="15"/>
    </row>
    <row r="364" spans="1:8" ht="27.75" x14ac:dyDescent="0.65">
      <c r="A364" s="293" t="s">
        <v>476</v>
      </c>
      <c r="B364" s="117" t="s">
        <v>477</v>
      </c>
      <c r="C364" s="116">
        <f>IFERROR(VLOOKUP($A364,'งบทดลอง รพ.'!$A$2:$C$500,3,0),0)</f>
        <v>308848.43</v>
      </c>
      <c r="E364" s="72" t="s">
        <v>1023</v>
      </c>
      <c r="F364" s="72" t="s">
        <v>39</v>
      </c>
      <c r="G364" s="114" t="s">
        <v>1045</v>
      </c>
      <c r="H364" s="15"/>
    </row>
    <row r="365" spans="1:8" ht="27.75" x14ac:dyDescent="0.65">
      <c r="A365" s="293" t="s">
        <v>478</v>
      </c>
      <c r="B365" s="117" t="s">
        <v>479</v>
      </c>
      <c r="C365" s="116">
        <f>IFERROR(VLOOKUP($A365,'งบทดลอง รพ.'!$A$2:$C$500,3,0),0)</f>
        <v>0</v>
      </c>
      <c r="E365" s="72" t="s">
        <v>1023</v>
      </c>
      <c r="F365" s="72" t="s">
        <v>39</v>
      </c>
      <c r="G365" s="114" t="s">
        <v>1045</v>
      </c>
      <c r="H365" s="15"/>
    </row>
    <row r="366" spans="1:8" ht="27.75" x14ac:dyDescent="0.65">
      <c r="A366" s="293" t="s">
        <v>480</v>
      </c>
      <c r="B366" s="117" t="s">
        <v>481</v>
      </c>
      <c r="C366" s="116">
        <f>IFERROR(VLOOKUP($A366,'งบทดลอง รพ.'!$A$2:$C$500,3,0),0)</f>
        <v>0</v>
      </c>
      <c r="E366" s="72" t="s">
        <v>1025</v>
      </c>
      <c r="F366" s="72" t="s">
        <v>39</v>
      </c>
      <c r="G366" s="114" t="s">
        <v>1045</v>
      </c>
      <c r="H366" s="15"/>
    </row>
    <row r="367" spans="1:8" ht="27.75" x14ac:dyDescent="0.65">
      <c r="A367" s="293" t="s">
        <v>482</v>
      </c>
      <c r="B367" s="117" t="s">
        <v>483</v>
      </c>
      <c r="C367" s="116">
        <f>IFERROR(VLOOKUP($A367,'งบทดลอง รพ.'!$A$2:$C$500,3,0),0)</f>
        <v>0</v>
      </c>
      <c r="E367" s="72" t="s">
        <v>1025</v>
      </c>
      <c r="F367" s="72" t="s">
        <v>39</v>
      </c>
      <c r="G367" s="114" t="s">
        <v>1045</v>
      </c>
      <c r="H367" s="15"/>
    </row>
    <row r="368" spans="1:8" ht="27.75" x14ac:dyDescent="0.65">
      <c r="A368" s="293" t="s">
        <v>484</v>
      </c>
      <c r="B368" s="117" t="s">
        <v>485</v>
      </c>
      <c r="C368" s="116">
        <f>IFERROR(VLOOKUP($A368,'งบทดลอง รพ.'!$A$2:$C$500,3,0),0)</f>
        <v>0</v>
      </c>
      <c r="E368" s="72" t="s">
        <v>1021</v>
      </c>
      <c r="F368" s="72" t="s">
        <v>39</v>
      </c>
      <c r="G368" s="114" t="s">
        <v>1045</v>
      </c>
      <c r="H368" s="15"/>
    </row>
    <row r="369" spans="1:8" ht="27.75" x14ac:dyDescent="0.65">
      <c r="A369" s="293" t="s">
        <v>486</v>
      </c>
      <c r="B369" s="117" t="s">
        <v>487</v>
      </c>
      <c r="C369" s="116">
        <f>IFERROR(VLOOKUP($A369,'งบทดลอง รพ.'!$A$2:$C$500,3,0),0)</f>
        <v>0</v>
      </c>
      <c r="E369" s="72" t="s">
        <v>1021</v>
      </c>
      <c r="F369" s="72" t="s">
        <v>39</v>
      </c>
      <c r="G369" s="114" t="s">
        <v>1045</v>
      </c>
      <c r="H369" s="15"/>
    </row>
    <row r="370" spans="1:8" ht="27.75" x14ac:dyDescent="0.65">
      <c r="A370" s="293" t="s">
        <v>503</v>
      </c>
      <c r="B370" s="117" t="s">
        <v>504</v>
      </c>
      <c r="C370" s="116">
        <f>IFERROR(VLOOKUP($A370,'งบทดลอง รพ.'!$A$2:$C$500,3,0),0)</f>
        <v>0</v>
      </c>
      <c r="E370" s="72" t="s">
        <v>1033</v>
      </c>
      <c r="F370" s="72" t="s">
        <v>41</v>
      </c>
      <c r="G370" s="114" t="s">
        <v>1045</v>
      </c>
      <c r="H370" s="15"/>
    </row>
    <row r="371" spans="1:8" ht="27.75" x14ac:dyDescent="0.65">
      <c r="A371" s="294" t="s">
        <v>505</v>
      </c>
      <c r="B371" s="118" t="s">
        <v>506</v>
      </c>
      <c r="C371" s="116">
        <f>IFERROR(VLOOKUP($A371,'งบทดลอง รพ.'!$A$2:$C$500,3,0),0)</f>
        <v>0</v>
      </c>
      <c r="E371" s="72" t="s">
        <v>1033</v>
      </c>
      <c r="F371" s="72" t="s">
        <v>41</v>
      </c>
      <c r="G371" s="114" t="s">
        <v>1045</v>
      </c>
      <c r="H371" s="15"/>
    </row>
    <row r="372" spans="1:8" ht="27.75" x14ac:dyDescent="0.65">
      <c r="A372" s="294" t="s">
        <v>914</v>
      </c>
      <c r="B372" s="118" t="s">
        <v>915</v>
      </c>
      <c r="C372" s="116">
        <f>IFERROR(VLOOKUP($A372,'งบทดลอง รพ.'!$A$2:$C$500,3,0),0)</f>
        <v>0</v>
      </c>
      <c r="E372" s="72" t="s">
        <v>1033</v>
      </c>
      <c r="F372" s="72" t="s">
        <v>1374</v>
      </c>
      <c r="G372" s="114" t="s">
        <v>1045</v>
      </c>
      <c r="H372" s="15"/>
    </row>
    <row r="373" spans="1:8" ht="27.75" x14ac:dyDescent="0.65">
      <c r="A373" s="294" t="s">
        <v>507</v>
      </c>
      <c r="B373" s="118" t="s">
        <v>1132</v>
      </c>
      <c r="C373" s="116">
        <f>IFERROR(VLOOKUP($A373,'งบทดลอง รพ.'!$A$2:$C$500,3,0),0)</f>
        <v>0</v>
      </c>
      <c r="E373" s="72" t="s">
        <v>1035</v>
      </c>
      <c r="F373" s="72" t="s">
        <v>705</v>
      </c>
      <c r="G373" s="114" t="s">
        <v>1045</v>
      </c>
      <c r="H373" s="15"/>
    </row>
    <row r="374" spans="1:8" ht="27.75" x14ac:dyDescent="0.65">
      <c r="A374" s="294" t="s">
        <v>508</v>
      </c>
      <c r="B374" s="118" t="s">
        <v>509</v>
      </c>
      <c r="C374" s="116">
        <f>IFERROR(VLOOKUP($A374,'งบทดลอง รพ.'!$A$2:$C$500,3,0),0)</f>
        <v>0</v>
      </c>
      <c r="E374" s="72" t="s">
        <v>1035</v>
      </c>
      <c r="F374" s="72" t="s">
        <v>705</v>
      </c>
      <c r="G374" s="114" t="s">
        <v>1045</v>
      </c>
      <c r="H374" s="15"/>
    </row>
    <row r="375" spans="1:8" ht="27.75" x14ac:dyDescent="0.65">
      <c r="A375" s="294" t="s">
        <v>510</v>
      </c>
      <c r="B375" s="118" t="s">
        <v>511</v>
      </c>
      <c r="C375" s="116">
        <f>IFERROR(VLOOKUP($A375,'งบทดลอง รพ.'!$A$2:$C$500,3,0),0)</f>
        <v>0</v>
      </c>
      <c r="E375" s="72" t="s">
        <v>1035</v>
      </c>
      <c r="F375" s="72" t="s">
        <v>705</v>
      </c>
      <c r="G375" s="114" t="s">
        <v>1045</v>
      </c>
      <c r="H375" s="15"/>
    </row>
    <row r="376" spans="1:8" ht="27.75" x14ac:dyDescent="0.65">
      <c r="A376" s="294" t="s">
        <v>512</v>
      </c>
      <c r="B376" s="118" t="s">
        <v>1133</v>
      </c>
      <c r="C376" s="116">
        <f>IFERROR(VLOOKUP($A376,'งบทดลอง รพ.'!$A$2:$C$500,3,0),0)</f>
        <v>250000</v>
      </c>
      <c r="E376" s="72" t="s">
        <v>1035</v>
      </c>
      <c r="F376" s="72" t="s">
        <v>705</v>
      </c>
      <c r="G376" s="114" t="s">
        <v>1045</v>
      </c>
      <c r="H376" s="15"/>
    </row>
    <row r="377" spans="1:8" ht="27.75" x14ac:dyDescent="0.65">
      <c r="A377" s="294" t="s">
        <v>513</v>
      </c>
      <c r="B377" s="118" t="s">
        <v>1134</v>
      </c>
      <c r="C377" s="116">
        <f>IFERROR(VLOOKUP($A377,'งบทดลอง รพ.'!$A$2:$C$500,3,0),0)</f>
        <v>200000</v>
      </c>
      <c r="E377" s="72" t="s">
        <v>1035</v>
      </c>
      <c r="F377" s="72" t="s">
        <v>705</v>
      </c>
      <c r="G377" s="114" t="s">
        <v>1045</v>
      </c>
      <c r="H377" s="15"/>
    </row>
    <row r="378" spans="1:8" ht="27.75" x14ac:dyDescent="0.65">
      <c r="A378" s="294" t="s">
        <v>916</v>
      </c>
      <c r="B378" s="118" t="s">
        <v>917</v>
      </c>
      <c r="C378" s="116">
        <f>IFERROR(VLOOKUP($A378,'งบทดลอง รพ.'!$A$2:$C$500,3,0),0)</f>
        <v>0</v>
      </c>
      <c r="E378" s="72" t="s">
        <v>1035</v>
      </c>
      <c r="F378" s="72" t="s">
        <v>705</v>
      </c>
      <c r="G378" s="114" t="s">
        <v>1045</v>
      </c>
      <c r="H378" s="15"/>
    </row>
    <row r="379" spans="1:8" ht="27.75" x14ac:dyDescent="0.65">
      <c r="A379" s="294" t="s">
        <v>514</v>
      </c>
      <c r="B379" s="118" t="s">
        <v>1333</v>
      </c>
      <c r="C379" s="116">
        <f>IFERROR(VLOOKUP($A379,'งบทดลอง รพ.'!$A$2:$C$500,3,0),0)</f>
        <v>0</v>
      </c>
      <c r="E379" s="72" t="s">
        <v>1035</v>
      </c>
      <c r="F379" s="72" t="s">
        <v>705</v>
      </c>
      <c r="G379" s="114" t="s">
        <v>1045</v>
      </c>
      <c r="H379" s="15"/>
    </row>
    <row r="380" spans="1:8" ht="27.75" x14ac:dyDescent="0.65">
      <c r="A380" s="294" t="s">
        <v>515</v>
      </c>
      <c r="B380" s="118" t="s">
        <v>1135</v>
      </c>
      <c r="C380" s="116">
        <f>IFERROR(VLOOKUP($A380,'งบทดลอง รพ.'!$A$2:$C$500,3,0),0)</f>
        <v>0</v>
      </c>
      <c r="E380" s="72" t="s">
        <v>1035</v>
      </c>
      <c r="F380" s="72" t="s">
        <v>705</v>
      </c>
      <c r="G380" s="114" t="s">
        <v>1045</v>
      </c>
      <c r="H380" s="15"/>
    </row>
    <row r="381" spans="1:8" ht="27.75" x14ac:dyDescent="0.65">
      <c r="A381" s="294" t="s">
        <v>516</v>
      </c>
      <c r="B381" s="118" t="s">
        <v>1136</v>
      </c>
      <c r="C381" s="116">
        <f>IFERROR(VLOOKUP($A381,'งบทดลอง รพ.'!$A$2:$C$500,3,0),0)</f>
        <v>0</v>
      </c>
      <c r="E381" s="72" t="s">
        <v>1035</v>
      </c>
      <c r="F381" s="72" t="s">
        <v>705</v>
      </c>
      <c r="G381" s="114" t="s">
        <v>1045</v>
      </c>
      <c r="H381" s="15"/>
    </row>
    <row r="382" spans="1:8" ht="27.75" x14ac:dyDescent="0.65">
      <c r="A382" s="294" t="s">
        <v>517</v>
      </c>
      <c r="B382" s="118" t="s">
        <v>1137</v>
      </c>
      <c r="C382" s="116">
        <f>IFERROR(VLOOKUP($A382,'งบทดลอง รพ.'!$A$2:$C$500,3,0),0)</f>
        <v>0</v>
      </c>
      <c r="E382" s="72" t="s">
        <v>1035</v>
      </c>
      <c r="F382" s="72" t="s">
        <v>705</v>
      </c>
      <c r="G382" s="114" t="s">
        <v>1045</v>
      </c>
      <c r="H382" s="15"/>
    </row>
    <row r="383" spans="1:8" ht="27.75" x14ac:dyDescent="0.65">
      <c r="A383" s="294" t="s">
        <v>518</v>
      </c>
      <c r="B383" s="118" t="s">
        <v>1138</v>
      </c>
      <c r="C383" s="116">
        <f>IFERROR(VLOOKUP($A383,'งบทดลอง รพ.'!$A$2:$C$500,3,0),0)</f>
        <v>0</v>
      </c>
      <c r="E383" s="72" t="s">
        <v>1035</v>
      </c>
      <c r="F383" s="72" t="s">
        <v>705</v>
      </c>
      <c r="G383" s="114" t="s">
        <v>1045</v>
      </c>
      <c r="H383" s="15"/>
    </row>
    <row r="384" spans="1:8" ht="27.75" x14ac:dyDescent="0.65">
      <c r="A384" s="294" t="s">
        <v>519</v>
      </c>
      <c r="B384" s="118" t="s">
        <v>520</v>
      </c>
      <c r="C384" s="116">
        <f>IFERROR(VLOOKUP($A384,'งบทดลอง รพ.'!$A$2:$C$500,3,0),0)</f>
        <v>0</v>
      </c>
      <c r="E384" s="72" t="s">
        <v>1035</v>
      </c>
      <c r="F384" s="72" t="s">
        <v>705</v>
      </c>
      <c r="G384" s="114" t="s">
        <v>1045</v>
      </c>
      <c r="H384" s="15"/>
    </row>
    <row r="385" spans="1:8" ht="27.75" x14ac:dyDescent="0.65">
      <c r="A385" s="294" t="s">
        <v>521</v>
      </c>
      <c r="B385" s="118" t="s">
        <v>522</v>
      </c>
      <c r="C385" s="116">
        <f>IFERROR(VLOOKUP($A385,'งบทดลอง รพ.'!$A$2:$C$500,3,0),0)</f>
        <v>0</v>
      </c>
      <c r="E385" s="72" t="s">
        <v>1035</v>
      </c>
      <c r="F385" s="72" t="s">
        <v>705</v>
      </c>
      <c r="G385" s="114" t="s">
        <v>1045</v>
      </c>
      <c r="H385" s="15"/>
    </row>
    <row r="386" spans="1:8" ht="27.75" x14ac:dyDescent="0.65">
      <c r="A386" s="294" t="s">
        <v>523</v>
      </c>
      <c r="B386" s="118" t="s">
        <v>1139</v>
      </c>
      <c r="C386" s="116">
        <f>IFERROR(VLOOKUP($A386,'งบทดลอง รพ.'!$A$2:$C$500,3,0),0)</f>
        <v>250000</v>
      </c>
      <c r="E386" s="72" t="s">
        <v>1035</v>
      </c>
      <c r="F386" s="72" t="s">
        <v>705</v>
      </c>
      <c r="G386" s="114" t="s">
        <v>1045</v>
      </c>
      <c r="H386" s="15"/>
    </row>
    <row r="387" spans="1:8" ht="27.75" x14ac:dyDescent="0.65">
      <c r="A387" s="294" t="s">
        <v>524</v>
      </c>
      <c r="B387" s="118" t="s">
        <v>1140</v>
      </c>
      <c r="C387" s="116">
        <f>IFERROR(VLOOKUP($A387,'งบทดลอง รพ.'!$A$2:$C$500,3,0),0)</f>
        <v>200000</v>
      </c>
      <c r="E387" s="72" t="s">
        <v>1035</v>
      </c>
      <c r="F387" s="72" t="s">
        <v>705</v>
      </c>
      <c r="G387" s="114" t="s">
        <v>1045</v>
      </c>
      <c r="H387" s="15"/>
    </row>
    <row r="388" spans="1:8" ht="27.75" x14ac:dyDescent="0.65">
      <c r="A388" s="294" t="s">
        <v>1334</v>
      </c>
      <c r="B388" s="118" t="s">
        <v>1325</v>
      </c>
      <c r="C388" s="116">
        <f>IFERROR(VLOOKUP($A388,'งบทดลอง รพ.'!$A$2:$C$500,3,0),0)</f>
        <v>0</v>
      </c>
      <c r="E388" s="72" t="s">
        <v>1033</v>
      </c>
      <c r="F388" s="72" t="s">
        <v>41</v>
      </c>
      <c r="G388" s="114" t="s">
        <v>1045</v>
      </c>
      <c r="H388" s="15"/>
    </row>
    <row r="389" spans="1:8" ht="27.75" x14ac:dyDescent="0.65">
      <c r="A389" s="294" t="s">
        <v>525</v>
      </c>
      <c r="B389" s="118" t="s">
        <v>526</v>
      </c>
      <c r="C389" s="116">
        <f>IFERROR(VLOOKUP($A389,'งบทดลอง รพ.'!$A$2:$C$500,3,0),0)</f>
        <v>0</v>
      </c>
      <c r="E389" s="72" t="s">
        <v>1033</v>
      </c>
      <c r="F389" s="72" t="s">
        <v>41</v>
      </c>
      <c r="G389" s="114" t="s">
        <v>1045</v>
      </c>
      <c r="H389" s="15"/>
    </row>
    <row r="390" spans="1:8" ht="27.75" x14ac:dyDescent="0.65">
      <c r="A390" s="294" t="s">
        <v>527</v>
      </c>
      <c r="B390" s="118" t="s">
        <v>528</v>
      </c>
      <c r="C390" s="116">
        <f>IFERROR(VLOOKUP($A390,'งบทดลอง รพ.'!$A$2:$C$500,3,0),0)</f>
        <v>0</v>
      </c>
      <c r="E390" s="72" t="s">
        <v>1033</v>
      </c>
      <c r="F390" s="72" t="s">
        <v>41</v>
      </c>
      <c r="G390" s="114" t="s">
        <v>1045</v>
      </c>
      <c r="H390" s="15"/>
    </row>
    <row r="391" spans="1:8" ht="27.75" x14ac:dyDescent="0.65">
      <c r="A391" s="294" t="s">
        <v>529</v>
      </c>
      <c r="B391" s="118" t="s">
        <v>530</v>
      </c>
      <c r="C391" s="116">
        <f>IFERROR(VLOOKUP($A391,'งบทดลอง รพ.'!$A$2:$C$500,3,0),0)</f>
        <v>0</v>
      </c>
      <c r="E391" s="72" t="s">
        <v>1033</v>
      </c>
      <c r="F391" s="72" t="s">
        <v>41</v>
      </c>
      <c r="G391" s="114" t="s">
        <v>1045</v>
      </c>
      <c r="H391" s="15"/>
    </row>
    <row r="392" spans="1:8" ht="27.75" x14ac:dyDescent="0.65">
      <c r="A392" s="294" t="s">
        <v>531</v>
      </c>
      <c r="B392" s="118" t="s">
        <v>532</v>
      </c>
      <c r="C392" s="116">
        <f>IFERROR(VLOOKUP($A392,'งบทดลอง รพ.'!$A$2:$C$500,3,0),0)</f>
        <v>0</v>
      </c>
      <c r="E392" s="72" t="s">
        <v>1033</v>
      </c>
      <c r="F392" s="72" t="s">
        <v>41</v>
      </c>
      <c r="G392" s="114" t="s">
        <v>1045</v>
      </c>
      <c r="H392" s="15"/>
    </row>
    <row r="393" spans="1:8" ht="27.75" x14ac:dyDescent="0.65">
      <c r="A393" s="294" t="s">
        <v>533</v>
      </c>
      <c r="B393" s="118" t="s">
        <v>534</v>
      </c>
      <c r="C393" s="116">
        <f>IFERROR(VLOOKUP($A393,'งบทดลอง รพ.'!$A$2:$C$500,3,0),0)</f>
        <v>0</v>
      </c>
      <c r="E393" s="72" t="s">
        <v>1033</v>
      </c>
      <c r="F393" s="72" t="s">
        <v>41</v>
      </c>
      <c r="G393" s="114" t="s">
        <v>1045</v>
      </c>
      <c r="H393" s="15"/>
    </row>
    <row r="394" spans="1:8" ht="27.75" x14ac:dyDescent="0.65">
      <c r="A394" s="294" t="s">
        <v>535</v>
      </c>
      <c r="B394" s="118" t="s">
        <v>536</v>
      </c>
      <c r="C394" s="116">
        <f>IFERROR(VLOOKUP($A394,'งบทดลอง รพ.'!$A$2:$C$500,3,0),0)</f>
        <v>0</v>
      </c>
      <c r="E394" s="72" t="s">
        <v>1033</v>
      </c>
      <c r="F394" s="72" t="s">
        <v>41</v>
      </c>
      <c r="G394" s="114" t="s">
        <v>1045</v>
      </c>
      <c r="H394" s="15"/>
    </row>
    <row r="395" spans="1:8" ht="27.75" x14ac:dyDescent="0.65">
      <c r="A395" s="294" t="s">
        <v>537</v>
      </c>
      <c r="B395" s="118" t="s">
        <v>538</v>
      </c>
      <c r="C395" s="116">
        <f>IFERROR(VLOOKUP($A395,'งบทดลอง รพ.'!$A$2:$C$500,3,0),0)</f>
        <v>0</v>
      </c>
      <c r="E395" s="72" t="s">
        <v>1033</v>
      </c>
      <c r="F395" s="72" t="s">
        <v>41</v>
      </c>
      <c r="G395" s="114" t="s">
        <v>1045</v>
      </c>
      <c r="H395" s="15"/>
    </row>
    <row r="396" spans="1:8" ht="27.75" x14ac:dyDescent="0.65">
      <c r="A396" s="294" t="s">
        <v>539</v>
      </c>
      <c r="B396" s="118" t="s">
        <v>540</v>
      </c>
      <c r="C396" s="116">
        <f>IFERROR(VLOOKUP($A396,'งบทดลอง รพ.'!$A$2:$C$500,3,0),0)</f>
        <v>0</v>
      </c>
      <c r="E396" s="72" t="s">
        <v>1033</v>
      </c>
      <c r="F396" s="72" t="s">
        <v>41</v>
      </c>
      <c r="G396" s="114" t="s">
        <v>1045</v>
      </c>
      <c r="H396" s="15"/>
    </row>
    <row r="397" spans="1:8" ht="27.75" x14ac:dyDescent="0.65">
      <c r="A397" s="294" t="s">
        <v>541</v>
      </c>
      <c r="B397" s="118" t="s">
        <v>542</v>
      </c>
      <c r="C397" s="116">
        <f>IFERROR(VLOOKUP($A397,'งบทดลอง รพ.'!$A$2:$C$500,3,0),0)</f>
        <v>0</v>
      </c>
      <c r="E397" s="72" t="s">
        <v>1033</v>
      </c>
      <c r="F397" s="72" t="s">
        <v>41</v>
      </c>
      <c r="G397" s="114" t="s">
        <v>1045</v>
      </c>
      <c r="H397" s="15"/>
    </row>
    <row r="398" spans="1:8" ht="27.75" x14ac:dyDescent="0.65">
      <c r="A398" s="294" t="s">
        <v>543</v>
      </c>
      <c r="B398" s="118" t="s">
        <v>544</v>
      </c>
      <c r="C398" s="116">
        <f>IFERROR(VLOOKUP($A398,'งบทดลอง รพ.'!$A$2:$C$500,3,0),0)</f>
        <v>0</v>
      </c>
      <c r="E398" s="72" t="s">
        <v>1033</v>
      </c>
      <c r="F398" s="72" t="s">
        <v>41</v>
      </c>
      <c r="G398" s="114" t="s">
        <v>1045</v>
      </c>
      <c r="H398" s="15"/>
    </row>
    <row r="399" spans="1:8" ht="27.75" x14ac:dyDescent="0.65">
      <c r="A399" s="294" t="s">
        <v>545</v>
      </c>
      <c r="B399" s="118" t="s">
        <v>546</v>
      </c>
      <c r="C399" s="116">
        <f>IFERROR(VLOOKUP($A399,'งบทดลอง รพ.'!$A$2:$C$500,3,0),0)</f>
        <v>0</v>
      </c>
      <c r="E399" s="72" t="s">
        <v>1033</v>
      </c>
      <c r="F399" s="72" t="s">
        <v>41</v>
      </c>
      <c r="G399" s="114" t="s">
        <v>1045</v>
      </c>
      <c r="H399" s="15"/>
    </row>
    <row r="400" spans="1:8" ht="27.75" x14ac:dyDescent="0.65">
      <c r="A400" s="294" t="s">
        <v>547</v>
      </c>
      <c r="B400" s="118" t="s">
        <v>548</v>
      </c>
      <c r="C400" s="116">
        <f>IFERROR(VLOOKUP($A400,'งบทดลอง รพ.'!$A$2:$C$500,3,0),0)</f>
        <v>0</v>
      </c>
      <c r="E400" s="72" t="s">
        <v>1033</v>
      </c>
      <c r="F400" s="72" t="s">
        <v>41</v>
      </c>
      <c r="G400" s="114" t="s">
        <v>1045</v>
      </c>
      <c r="H400" s="15"/>
    </row>
    <row r="401" spans="1:8" ht="27.75" x14ac:dyDescent="0.65">
      <c r="A401" s="294" t="s">
        <v>549</v>
      </c>
      <c r="B401" s="118" t="s">
        <v>550</v>
      </c>
      <c r="C401" s="116">
        <f>IFERROR(VLOOKUP($A401,'งบทดลอง รพ.'!$A$2:$C$500,3,0),0)</f>
        <v>0</v>
      </c>
      <c r="E401" s="72" t="s">
        <v>1033</v>
      </c>
      <c r="F401" s="72" t="s">
        <v>41</v>
      </c>
      <c r="G401" s="114" t="s">
        <v>1045</v>
      </c>
      <c r="H401" s="15"/>
    </row>
    <row r="402" spans="1:8" ht="27.75" x14ac:dyDescent="0.65">
      <c r="A402" s="294" t="s">
        <v>551</v>
      </c>
      <c r="B402" s="118" t="s">
        <v>552</v>
      </c>
      <c r="C402" s="116">
        <f>IFERROR(VLOOKUP($A402,'งบทดลอง รพ.'!$A$2:$C$500,3,0),0)</f>
        <v>0</v>
      </c>
      <c r="E402" s="72" t="s">
        <v>1033</v>
      </c>
      <c r="F402" s="72" t="s">
        <v>41</v>
      </c>
      <c r="G402" s="114" t="s">
        <v>1045</v>
      </c>
      <c r="H402" s="15"/>
    </row>
    <row r="403" spans="1:8" ht="27.75" x14ac:dyDescent="0.65">
      <c r="A403" s="294" t="s">
        <v>553</v>
      </c>
      <c r="B403" s="118" t="s">
        <v>554</v>
      </c>
      <c r="C403" s="116">
        <f>IFERROR(VLOOKUP($A403,'งบทดลอง รพ.'!$A$2:$C$500,3,0),0)</f>
        <v>0</v>
      </c>
      <c r="E403" s="72" t="s">
        <v>1033</v>
      </c>
      <c r="F403" s="72" t="s">
        <v>41</v>
      </c>
      <c r="G403" s="114" t="s">
        <v>1045</v>
      </c>
      <c r="H403" s="15"/>
    </row>
    <row r="404" spans="1:8" ht="27.75" x14ac:dyDescent="0.65">
      <c r="A404" s="294" t="s">
        <v>555</v>
      </c>
      <c r="B404" s="118" t="s">
        <v>556</v>
      </c>
      <c r="C404" s="116">
        <f>IFERROR(VLOOKUP($A404,'งบทดลอง รพ.'!$A$2:$C$500,3,0),0)</f>
        <v>0</v>
      </c>
      <c r="E404" s="72" t="s">
        <v>1033</v>
      </c>
      <c r="F404" s="72" t="s">
        <v>41</v>
      </c>
      <c r="G404" s="114" t="s">
        <v>1045</v>
      </c>
      <c r="H404" s="15"/>
    </row>
    <row r="405" spans="1:8" ht="27.75" x14ac:dyDescent="0.65">
      <c r="A405" s="294" t="s">
        <v>557</v>
      </c>
      <c r="B405" s="118" t="s">
        <v>558</v>
      </c>
      <c r="C405" s="116">
        <f>IFERROR(VLOOKUP($A405,'งบทดลอง รพ.'!$A$2:$C$500,3,0),0)</f>
        <v>0</v>
      </c>
      <c r="E405" s="72" t="s">
        <v>1033</v>
      </c>
      <c r="F405" s="72" t="s">
        <v>41</v>
      </c>
      <c r="G405" s="114" t="s">
        <v>1045</v>
      </c>
      <c r="H405" s="15"/>
    </row>
    <row r="406" spans="1:8" ht="27.75" x14ac:dyDescent="0.65">
      <c r="A406" s="294" t="s">
        <v>559</v>
      </c>
      <c r="B406" s="118" t="s">
        <v>560</v>
      </c>
      <c r="C406" s="116">
        <f>IFERROR(VLOOKUP($A406,'งบทดลอง รพ.'!$A$2:$C$500,3,0),0)</f>
        <v>0</v>
      </c>
      <c r="E406" s="72" t="s">
        <v>1033</v>
      </c>
      <c r="F406" s="72" t="s">
        <v>41</v>
      </c>
      <c r="G406" s="114" t="s">
        <v>1045</v>
      </c>
      <c r="H406" s="15"/>
    </row>
    <row r="407" spans="1:8" ht="27.75" x14ac:dyDescent="0.65">
      <c r="A407" s="294" t="s">
        <v>561</v>
      </c>
      <c r="B407" s="118" t="s">
        <v>562</v>
      </c>
      <c r="C407" s="116">
        <f>IFERROR(VLOOKUP($A407,'งบทดลอง รพ.'!$A$2:$C$500,3,0),0)</f>
        <v>0</v>
      </c>
      <c r="E407" s="72" t="s">
        <v>1033</v>
      </c>
      <c r="F407" s="72" t="s">
        <v>41</v>
      </c>
      <c r="G407" s="114" t="s">
        <v>1045</v>
      </c>
      <c r="H407" s="15"/>
    </row>
    <row r="408" spans="1:8" ht="27.75" x14ac:dyDescent="0.65">
      <c r="A408" s="294" t="s">
        <v>563</v>
      </c>
      <c r="B408" s="118" t="s">
        <v>564</v>
      </c>
      <c r="C408" s="116">
        <f>IFERROR(VLOOKUP($A408,'งบทดลอง รพ.'!$A$2:$C$500,3,0),0)</f>
        <v>0</v>
      </c>
      <c r="E408" s="72" t="s">
        <v>1033</v>
      </c>
      <c r="F408" s="72" t="s">
        <v>41</v>
      </c>
      <c r="G408" s="114" t="s">
        <v>1045</v>
      </c>
      <c r="H408" s="15"/>
    </row>
    <row r="409" spans="1:8" ht="27.75" x14ac:dyDescent="0.65">
      <c r="A409" s="294" t="s">
        <v>918</v>
      </c>
      <c r="B409" s="118" t="s">
        <v>919</v>
      </c>
      <c r="C409" s="116">
        <f>IFERROR(VLOOKUP($A409,'งบทดลอง รพ.'!$A$2:$C$500,3,0),0)</f>
        <v>0</v>
      </c>
      <c r="E409" s="72" t="s">
        <v>1033</v>
      </c>
      <c r="F409" s="72" t="s">
        <v>1374</v>
      </c>
      <c r="G409" s="114" t="s">
        <v>1045</v>
      </c>
      <c r="H409" s="15"/>
    </row>
    <row r="410" spans="1:8" ht="27.75" x14ac:dyDescent="0.65">
      <c r="A410" s="294" t="s">
        <v>920</v>
      </c>
      <c r="B410" s="118" t="s">
        <v>921</v>
      </c>
      <c r="C410" s="116">
        <f>IFERROR(VLOOKUP($A410,'งบทดลอง รพ.'!$A$2:$C$500,3,0),0)</f>
        <v>0</v>
      </c>
      <c r="E410" s="72" t="s">
        <v>1033</v>
      </c>
      <c r="F410" s="72" t="s">
        <v>1374</v>
      </c>
      <c r="G410" s="114" t="s">
        <v>1045</v>
      </c>
      <c r="H410" s="15"/>
    </row>
    <row r="411" spans="1:8" ht="27.75" x14ac:dyDescent="0.65">
      <c r="A411" s="294" t="s">
        <v>922</v>
      </c>
      <c r="B411" s="118" t="s">
        <v>923</v>
      </c>
      <c r="C411" s="116">
        <f>IFERROR(VLOOKUP($A411,'งบทดลอง รพ.'!$A$2:$C$500,3,0),0)</f>
        <v>0</v>
      </c>
      <c r="E411" s="72" t="s">
        <v>1033</v>
      </c>
      <c r="F411" s="72" t="s">
        <v>1374</v>
      </c>
      <c r="G411" s="114" t="s">
        <v>1045</v>
      </c>
      <c r="H411" s="15"/>
    </row>
    <row r="412" spans="1:8" ht="27.75" x14ac:dyDescent="0.65">
      <c r="A412" s="294" t="s">
        <v>565</v>
      </c>
      <c r="B412" s="118" t="s">
        <v>1141</v>
      </c>
      <c r="C412" s="116">
        <f>IFERROR(VLOOKUP($A412,'งบทดลอง รพ.'!$A$2:$C$500,3,0),0)</f>
        <v>0</v>
      </c>
      <c r="E412" s="72" t="s">
        <v>1033</v>
      </c>
      <c r="F412" s="72" t="s">
        <v>1374</v>
      </c>
      <c r="G412" s="114" t="s">
        <v>1045</v>
      </c>
      <c r="H412" s="15"/>
    </row>
    <row r="413" spans="1:8" ht="27.75" x14ac:dyDescent="0.65">
      <c r="A413" s="294" t="s">
        <v>924</v>
      </c>
      <c r="B413" s="118" t="s">
        <v>925</v>
      </c>
      <c r="C413" s="116">
        <f>IFERROR(VLOOKUP($A413,'งบทดลอง รพ.'!$A$2:$C$500,3,0),0)</f>
        <v>0</v>
      </c>
      <c r="E413" s="72" t="s">
        <v>1033</v>
      </c>
      <c r="F413" s="72" t="s">
        <v>1374</v>
      </c>
      <c r="G413" s="114" t="s">
        <v>1045</v>
      </c>
      <c r="H413" s="15"/>
    </row>
    <row r="414" spans="1:8" ht="27.75" x14ac:dyDescent="0.65">
      <c r="A414" s="294" t="s">
        <v>926</v>
      </c>
      <c r="B414" s="118" t="s">
        <v>927</v>
      </c>
      <c r="C414" s="116">
        <f>IFERROR(VLOOKUP($A414,'งบทดลอง รพ.'!$A$2:$C$500,3,0),0)</f>
        <v>0</v>
      </c>
      <c r="E414" s="72" t="s">
        <v>1033</v>
      </c>
      <c r="F414" s="72" t="s">
        <v>1374</v>
      </c>
      <c r="G414" s="114" t="s">
        <v>1045</v>
      </c>
      <c r="H414" s="15"/>
    </row>
    <row r="415" spans="1:8" ht="27.75" x14ac:dyDescent="0.65">
      <c r="A415" s="294" t="s">
        <v>566</v>
      </c>
      <c r="B415" s="118" t="s">
        <v>1142</v>
      </c>
      <c r="C415" s="116">
        <f>IFERROR(VLOOKUP($A415,'งบทดลอง รพ.'!$A$2:$C$500,3,0),0)</f>
        <v>0</v>
      </c>
      <c r="E415" s="72" t="s">
        <v>1033</v>
      </c>
      <c r="F415" s="72" t="s">
        <v>1374</v>
      </c>
      <c r="G415" s="114" t="s">
        <v>1045</v>
      </c>
      <c r="H415" s="15"/>
    </row>
    <row r="416" spans="1:8" ht="27.75" x14ac:dyDescent="0.65">
      <c r="A416" s="294" t="s">
        <v>928</v>
      </c>
      <c r="B416" s="118" t="s">
        <v>567</v>
      </c>
      <c r="C416" s="116">
        <f>IFERROR(VLOOKUP($A416,'งบทดลอง รพ.'!$A$2:$C$500,3,0),0)</f>
        <v>0</v>
      </c>
      <c r="E416" s="72" t="s">
        <v>1033</v>
      </c>
      <c r="F416" s="72" t="s">
        <v>41</v>
      </c>
      <c r="G416" s="114" t="s">
        <v>1045</v>
      </c>
      <c r="H416" s="15"/>
    </row>
    <row r="417" spans="1:8" ht="27.75" x14ac:dyDescent="0.65">
      <c r="A417" s="294" t="s">
        <v>568</v>
      </c>
      <c r="B417" s="118" t="s">
        <v>569</v>
      </c>
      <c r="C417" s="116">
        <f>IFERROR(VLOOKUP($A417,'งบทดลอง รพ.'!$A$2:$C$500,3,0),0)</f>
        <v>0</v>
      </c>
      <c r="E417" s="72" t="s">
        <v>1033</v>
      </c>
      <c r="F417" s="72" t="s">
        <v>41</v>
      </c>
      <c r="G417" s="114" t="s">
        <v>1045</v>
      </c>
      <c r="H417" s="15"/>
    </row>
    <row r="418" spans="1:8" ht="27.75" x14ac:dyDescent="0.65">
      <c r="A418" s="294" t="s">
        <v>570</v>
      </c>
      <c r="B418" s="118" t="s">
        <v>571</v>
      </c>
      <c r="C418" s="116">
        <f>IFERROR(VLOOKUP($A418,'งบทดลอง รพ.'!$A$2:$C$500,3,0),0)</f>
        <v>450000</v>
      </c>
      <c r="E418" s="72" t="s">
        <v>1033</v>
      </c>
      <c r="F418" s="72" t="s">
        <v>41</v>
      </c>
      <c r="G418" s="114" t="s">
        <v>1045</v>
      </c>
      <c r="H418" s="15"/>
    </row>
    <row r="419" spans="1:8" ht="27.75" x14ac:dyDescent="0.65">
      <c r="A419" s="294" t="s">
        <v>572</v>
      </c>
      <c r="B419" s="118" t="s">
        <v>573</v>
      </c>
      <c r="C419" s="116">
        <f>IFERROR(VLOOKUP($A419,'งบทดลอง รพ.'!$A$2:$C$500,3,0),0)</f>
        <v>0</v>
      </c>
      <c r="E419" s="72" t="s">
        <v>1033</v>
      </c>
      <c r="F419" s="72" t="s">
        <v>41</v>
      </c>
      <c r="G419" s="114" t="s">
        <v>1045</v>
      </c>
      <c r="H419" s="15"/>
    </row>
    <row r="420" spans="1:8" ht="27.75" x14ac:dyDescent="0.65">
      <c r="A420" s="294" t="s">
        <v>574</v>
      </c>
      <c r="B420" s="118" t="s">
        <v>575</v>
      </c>
      <c r="C420" s="116">
        <f>IFERROR(VLOOKUP($A420,'งบทดลอง รพ.'!$A$2:$C$500,3,0),0)</f>
        <v>41400</v>
      </c>
      <c r="E420" s="72" t="s">
        <v>1033</v>
      </c>
      <c r="F420" s="72" t="s">
        <v>41</v>
      </c>
      <c r="G420" s="114" t="s">
        <v>1045</v>
      </c>
      <c r="H420" s="15"/>
    </row>
    <row r="421" spans="1:8" ht="27.75" x14ac:dyDescent="0.65">
      <c r="A421" s="294" t="s">
        <v>576</v>
      </c>
      <c r="B421" s="118" t="s">
        <v>1143</v>
      </c>
      <c r="C421" s="116">
        <f>IFERROR(VLOOKUP($A421,'งบทดลอง รพ.'!$A$2:$C$500,3,0),0)</f>
        <v>0</v>
      </c>
      <c r="E421" s="72" t="s">
        <v>1033</v>
      </c>
      <c r="F421" s="72" t="s">
        <v>41</v>
      </c>
      <c r="G421" s="114" t="s">
        <v>1045</v>
      </c>
      <c r="H421" s="15"/>
    </row>
    <row r="422" spans="1:8" ht="27.75" x14ac:dyDescent="0.65">
      <c r="A422" s="294" t="s">
        <v>577</v>
      </c>
      <c r="B422" s="118" t="s">
        <v>1144</v>
      </c>
      <c r="C422" s="116">
        <f>IFERROR(VLOOKUP($A422,'งบทดลอง รพ.'!$A$2:$C$500,3,0),0)</f>
        <v>0</v>
      </c>
      <c r="E422" s="72" t="s">
        <v>1033</v>
      </c>
      <c r="F422" s="72" t="s">
        <v>41</v>
      </c>
      <c r="G422" s="114" t="s">
        <v>1045</v>
      </c>
      <c r="H422" s="15"/>
    </row>
    <row r="423" spans="1:8" ht="27.75" x14ac:dyDescent="0.65">
      <c r="A423" s="294" t="s">
        <v>578</v>
      </c>
      <c r="B423" s="118" t="s">
        <v>579</v>
      </c>
      <c r="C423" s="116">
        <f>IFERROR(VLOOKUP($A423,'งบทดลอง รพ.'!$A$2:$C$500,3,0),0)</f>
        <v>0</v>
      </c>
      <c r="E423" s="72" t="s">
        <v>1033</v>
      </c>
      <c r="F423" s="72" t="s">
        <v>41</v>
      </c>
      <c r="G423" s="114" t="s">
        <v>1045</v>
      </c>
      <c r="H423" s="15"/>
    </row>
    <row r="424" spans="1:8" ht="27.75" x14ac:dyDescent="0.65">
      <c r="A424" s="294" t="s">
        <v>580</v>
      </c>
      <c r="B424" s="118" t="s">
        <v>581</v>
      </c>
      <c r="C424" s="116">
        <f>IFERROR(VLOOKUP($A424,'งบทดลอง รพ.'!$A$2:$C$500,3,0),0)</f>
        <v>0</v>
      </c>
      <c r="E424" s="72" t="s">
        <v>1033</v>
      </c>
      <c r="F424" s="72" t="s">
        <v>41</v>
      </c>
      <c r="G424" s="114" t="s">
        <v>1045</v>
      </c>
      <c r="H424" s="15"/>
    </row>
    <row r="425" spans="1:8" ht="27.75" x14ac:dyDescent="0.65">
      <c r="A425" s="294" t="s">
        <v>582</v>
      </c>
      <c r="B425" s="118" t="s">
        <v>583</v>
      </c>
      <c r="C425" s="116">
        <f>IFERROR(VLOOKUP($A425,'งบทดลอง รพ.'!$A$2:$C$500,3,0),0)</f>
        <v>0</v>
      </c>
      <c r="E425" s="72" t="s">
        <v>1033</v>
      </c>
      <c r="F425" s="72" t="s">
        <v>41</v>
      </c>
      <c r="G425" s="114" t="s">
        <v>1045</v>
      </c>
      <c r="H425" s="15"/>
    </row>
    <row r="426" spans="1:8" ht="27.75" x14ac:dyDescent="0.65">
      <c r="A426" s="294" t="s">
        <v>584</v>
      </c>
      <c r="B426" s="118" t="s">
        <v>585</v>
      </c>
      <c r="C426" s="116">
        <f>IFERROR(VLOOKUP($A426,'งบทดลอง รพ.'!$A$2:$C$500,3,0),0)</f>
        <v>0</v>
      </c>
      <c r="E426" s="72" t="s">
        <v>1033</v>
      </c>
      <c r="F426" s="72" t="s">
        <v>41</v>
      </c>
      <c r="G426" s="114" t="s">
        <v>1045</v>
      </c>
      <c r="H426" s="15"/>
    </row>
    <row r="427" spans="1:8" ht="27.75" x14ac:dyDescent="0.65">
      <c r="A427" s="294" t="s">
        <v>586</v>
      </c>
      <c r="B427" s="118" t="s">
        <v>587</v>
      </c>
      <c r="C427" s="116">
        <f>IFERROR(VLOOKUP($A427,'งบทดลอง รพ.'!$A$2:$C$500,3,0),0)</f>
        <v>0</v>
      </c>
      <c r="E427" s="72" t="s">
        <v>1033</v>
      </c>
      <c r="F427" s="72" t="s">
        <v>41</v>
      </c>
      <c r="G427" s="114" t="s">
        <v>1045</v>
      </c>
      <c r="H427" s="15"/>
    </row>
    <row r="428" spans="1:8" ht="27.75" x14ac:dyDescent="0.65">
      <c r="A428" s="294" t="s">
        <v>588</v>
      </c>
      <c r="B428" s="118" t="s">
        <v>589</v>
      </c>
      <c r="C428" s="116">
        <f>IFERROR(VLOOKUP($A428,'งบทดลอง รพ.'!$A$2:$C$500,3,0),0)</f>
        <v>0</v>
      </c>
      <c r="E428" s="72" t="s">
        <v>1033</v>
      </c>
      <c r="F428" s="72" t="s">
        <v>41</v>
      </c>
      <c r="G428" s="114" t="s">
        <v>1045</v>
      </c>
      <c r="H428" s="15"/>
    </row>
    <row r="429" spans="1:8" ht="27.75" x14ac:dyDescent="0.65">
      <c r="A429" s="294" t="s">
        <v>590</v>
      </c>
      <c r="B429" s="118" t="s">
        <v>591</v>
      </c>
      <c r="C429" s="116">
        <f>IFERROR(VLOOKUP($A429,'งบทดลอง รพ.'!$A$2:$C$500,3,0),0)</f>
        <v>0</v>
      </c>
      <c r="E429" s="72" t="s">
        <v>1033</v>
      </c>
      <c r="F429" s="72" t="s">
        <v>41</v>
      </c>
      <c r="G429" s="114" t="s">
        <v>1045</v>
      </c>
      <c r="H429" s="15"/>
    </row>
    <row r="430" spans="1:8" ht="27.75" x14ac:dyDescent="0.65">
      <c r="A430" s="294" t="s">
        <v>592</v>
      </c>
      <c r="B430" s="118" t="s">
        <v>593</v>
      </c>
      <c r="C430" s="116">
        <f>IFERROR(VLOOKUP($A430,'งบทดลอง รพ.'!$A$2:$C$500,3,0),0)</f>
        <v>0</v>
      </c>
      <c r="E430" s="72" t="s">
        <v>1033</v>
      </c>
      <c r="F430" s="72" t="s">
        <v>41</v>
      </c>
      <c r="G430" s="114" t="s">
        <v>1045</v>
      </c>
      <c r="H430" s="15"/>
    </row>
    <row r="431" spans="1:8" ht="14.25" x14ac:dyDescent="0.2">
      <c r="C431" s="120">
        <f>SUM(C3:C430)</f>
        <v>191447330.34817061</v>
      </c>
    </row>
    <row r="432" spans="1:8" ht="14.25" x14ac:dyDescent="0.2">
      <c r="C432"/>
    </row>
    <row r="433" spans="3:3" ht="14.25" x14ac:dyDescent="0.2">
      <c r="C433"/>
    </row>
    <row r="437" spans="3:3" x14ac:dyDescent="0.25">
      <c r="C437" s="309"/>
    </row>
  </sheetData>
  <autoFilter ref="A2:G432" xr:uid="{00000000-0009-0000-0000-000007000000}"/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  <ignoredErrors>
    <ignoredError sqref="A2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R434"/>
  <sheetViews>
    <sheetView topLeftCell="A272" zoomScale="160" zoomScaleNormal="160" workbookViewId="0">
      <selection activeCell="C273" sqref="C273"/>
    </sheetView>
  </sheetViews>
  <sheetFormatPr defaultColWidth="8.75" defaultRowHeight="14.25" x14ac:dyDescent="0.35"/>
  <cols>
    <col min="1" max="1" width="11.5" style="493" customWidth="1"/>
    <col min="2" max="2" width="39.25" style="489" customWidth="1"/>
    <col min="3" max="4" width="10.25" style="494" customWidth="1"/>
    <col min="5" max="5" width="10.75" style="494" customWidth="1"/>
    <col min="6" max="6" width="10" style="488" customWidth="1"/>
    <col min="7" max="14" width="14.125" style="488" customWidth="1"/>
    <col min="15" max="15" width="8.75" style="488" customWidth="1"/>
    <col min="16" max="16" width="8.75" style="489"/>
    <col min="17" max="17" width="8.75" style="488"/>
    <col min="18" max="16384" width="8.75" style="489"/>
  </cols>
  <sheetData>
    <row r="1" spans="1:17" ht="39.75" customHeight="1" x14ac:dyDescent="0.35">
      <c r="A1" s="481" t="s">
        <v>1378</v>
      </c>
      <c r="B1" s="482" t="s">
        <v>1379</v>
      </c>
      <c r="C1" s="483" t="s">
        <v>678</v>
      </c>
      <c r="D1" s="484" t="s">
        <v>1559</v>
      </c>
      <c r="E1" s="484" t="s">
        <v>1555</v>
      </c>
      <c r="F1" s="485" t="s">
        <v>1546</v>
      </c>
      <c r="G1" s="485" t="s">
        <v>1547</v>
      </c>
      <c r="H1" s="485" t="s">
        <v>1409</v>
      </c>
      <c r="I1" s="485" t="s">
        <v>1405</v>
      </c>
      <c r="J1" s="485" t="s">
        <v>1467</v>
      </c>
      <c r="K1" s="485" t="s">
        <v>1404</v>
      </c>
      <c r="L1" s="485" t="s">
        <v>1548</v>
      </c>
      <c r="M1" s="485" t="s">
        <v>1549</v>
      </c>
      <c r="N1" s="485" t="s">
        <v>1550</v>
      </c>
      <c r="O1" s="486"/>
      <c r="P1" s="487" t="s">
        <v>637</v>
      </c>
    </row>
    <row r="2" spans="1:17" s="491" customFormat="1" x14ac:dyDescent="0.35">
      <c r="A2" s="490" t="s">
        <v>140</v>
      </c>
      <c r="B2" s="491" t="s">
        <v>141</v>
      </c>
      <c r="C2" s="492">
        <v>0</v>
      </c>
      <c r="D2" s="492">
        <v>0</v>
      </c>
      <c r="E2" s="492">
        <v>0</v>
      </c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92">
        <f>SUM(F2:N2)</f>
        <v>0</v>
      </c>
      <c r="Q2" s="486"/>
    </row>
    <row r="3" spans="1:17" s="491" customFormat="1" x14ac:dyDescent="0.35">
      <c r="A3" s="490" t="s">
        <v>142</v>
      </c>
      <c r="B3" s="491" t="s">
        <v>143</v>
      </c>
      <c r="C3" s="492">
        <v>0</v>
      </c>
      <c r="D3" s="492">
        <v>0</v>
      </c>
      <c r="E3" s="492">
        <v>0</v>
      </c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92">
        <f t="shared" ref="P3:P66" si="0">SUM(F3:N3)</f>
        <v>0</v>
      </c>
      <c r="Q3" s="486"/>
    </row>
    <row r="4" spans="1:17" s="491" customFormat="1" x14ac:dyDescent="0.35">
      <c r="A4" s="490" t="s">
        <v>144</v>
      </c>
      <c r="B4" s="491" t="s">
        <v>145</v>
      </c>
      <c r="C4" s="492">
        <v>0</v>
      </c>
      <c r="D4" s="492">
        <v>0</v>
      </c>
      <c r="E4" s="492">
        <v>0</v>
      </c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92">
        <f t="shared" si="0"/>
        <v>0</v>
      </c>
      <c r="Q4" s="486"/>
    </row>
    <row r="5" spans="1:17" s="491" customFormat="1" x14ac:dyDescent="0.35">
      <c r="A5" s="490" t="s">
        <v>146</v>
      </c>
      <c r="B5" s="491" t="s">
        <v>147</v>
      </c>
      <c r="C5" s="492">
        <v>0</v>
      </c>
      <c r="D5" s="492">
        <v>0</v>
      </c>
      <c r="E5" s="492">
        <v>0</v>
      </c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92">
        <f t="shared" si="0"/>
        <v>0</v>
      </c>
      <c r="Q5" s="486"/>
    </row>
    <row r="6" spans="1:17" s="491" customFormat="1" x14ac:dyDescent="0.35">
      <c r="A6" s="490" t="s">
        <v>148</v>
      </c>
      <c r="B6" s="491" t="s">
        <v>1046</v>
      </c>
      <c r="C6" s="492">
        <v>0</v>
      </c>
      <c r="D6" s="492">
        <v>0</v>
      </c>
      <c r="E6" s="492">
        <v>0</v>
      </c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92">
        <f t="shared" si="0"/>
        <v>0</v>
      </c>
      <c r="Q6" s="486"/>
    </row>
    <row r="7" spans="1:17" s="491" customFormat="1" x14ac:dyDescent="0.35">
      <c r="A7" s="490" t="s">
        <v>149</v>
      </c>
      <c r="B7" s="491" t="s">
        <v>150</v>
      </c>
      <c r="C7" s="492">
        <v>0</v>
      </c>
      <c r="D7" s="492">
        <v>0</v>
      </c>
      <c r="E7" s="492">
        <v>0</v>
      </c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92">
        <f t="shared" si="0"/>
        <v>0</v>
      </c>
      <c r="Q7" s="486"/>
    </row>
    <row r="8" spans="1:17" s="491" customFormat="1" x14ac:dyDescent="0.35">
      <c r="A8" s="490" t="s">
        <v>151</v>
      </c>
      <c r="B8" s="491" t="s">
        <v>172</v>
      </c>
      <c r="C8" s="492">
        <v>0</v>
      </c>
      <c r="D8" s="492">
        <v>0</v>
      </c>
      <c r="E8" s="492">
        <v>0</v>
      </c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92">
        <f t="shared" si="0"/>
        <v>0</v>
      </c>
      <c r="Q8" s="486"/>
    </row>
    <row r="9" spans="1:17" s="491" customFormat="1" x14ac:dyDescent="0.35">
      <c r="A9" s="490" t="s">
        <v>152</v>
      </c>
      <c r="B9" s="491" t="s">
        <v>174</v>
      </c>
      <c r="C9" s="492">
        <v>0</v>
      </c>
      <c r="D9" s="492">
        <v>0</v>
      </c>
      <c r="E9" s="492">
        <v>0</v>
      </c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92">
        <f t="shared" si="0"/>
        <v>0</v>
      </c>
      <c r="Q9" s="486"/>
    </row>
    <row r="10" spans="1:17" s="491" customFormat="1" x14ac:dyDescent="0.35">
      <c r="A10" s="490" t="s">
        <v>153</v>
      </c>
      <c r="B10" s="491" t="s">
        <v>154</v>
      </c>
      <c r="C10" s="492">
        <v>0</v>
      </c>
      <c r="D10" s="492">
        <v>0</v>
      </c>
      <c r="E10" s="492">
        <v>0</v>
      </c>
      <c r="F10" s="486"/>
      <c r="G10" s="486"/>
      <c r="H10" s="486"/>
      <c r="I10" s="486"/>
      <c r="J10" s="486"/>
      <c r="K10" s="486"/>
      <c r="L10" s="486"/>
      <c r="M10" s="486"/>
      <c r="N10" s="486"/>
      <c r="O10" s="486"/>
      <c r="P10" s="492">
        <f t="shared" si="0"/>
        <v>0</v>
      </c>
      <c r="Q10" s="486"/>
    </row>
    <row r="11" spans="1:17" s="491" customFormat="1" x14ac:dyDescent="0.35">
      <c r="A11" s="490" t="s">
        <v>155</v>
      </c>
      <c r="B11" s="491" t="s">
        <v>156</v>
      </c>
      <c r="C11" s="492">
        <v>0</v>
      </c>
      <c r="D11" s="492">
        <v>0</v>
      </c>
      <c r="E11" s="492">
        <v>0</v>
      </c>
      <c r="F11" s="486"/>
      <c r="G11" s="486"/>
      <c r="H11" s="486"/>
      <c r="I11" s="486"/>
      <c r="J11" s="486"/>
      <c r="K11" s="486"/>
      <c r="L11" s="486"/>
      <c r="M11" s="486"/>
      <c r="N11" s="486"/>
      <c r="O11" s="486"/>
      <c r="P11" s="492">
        <f t="shared" si="0"/>
        <v>0</v>
      </c>
      <c r="Q11" s="486"/>
    </row>
    <row r="12" spans="1:17" s="491" customFormat="1" x14ac:dyDescent="0.35">
      <c r="A12" s="490" t="s">
        <v>113</v>
      </c>
      <c r="B12" s="491" t="s">
        <v>114</v>
      </c>
      <c r="C12" s="492">
        <v>0</v>
      </c>
      <c r="D12" s="492">
        <v>0</v>
      </c>
      <c r="E12" s="492">
        <v>0</v>
      </c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92">
        <f t="shared" si="0"/>
        <v>0</v>
      </c>
      <c r="Q12" s="486"/>
    </row>
    <row r="13" spans="1:17" s="491" customFormat="1" x14ac:dyDescent="0.35">
      <c r="A13" s="490" t="s">
        <v>115</v>
      </c>
      <c r="B13" s="491" t="s">
        <v>116</v>
      </c>
      <c r="C13" s="492">
        <v>0</v>
      </c>
      <c r="D13" s="492">
        <v>0</v>
      </c>
      <c r="E13" s="492">
        <v>0</v>
      </c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92">
        <f t="shared" si="0"/>
        <v>0</v>
      </c>
      <c r="Q13" s="486"/>
    </row>
    <row r="14" spans="1:17" s="491" customFormat="1" x14ac:dyDescent="0.35">
      <c r="A14" s="490" t="s">
        <v>796</v>
      </c>
      <c r="B14" s="491" t="s">
        <v>118</v>
      </c>
      <c r="C14" s="492">
        <v>0</v>
      </c>
      <c r="D14" s="492">
        <v>0</v>
      </c>
      <c r="E14" s="492">
        <v>0</v>
      </c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92">
        <f t="shared" si="0"/>
        <v>0</v>
      </c>
      <c r="Q14" s="486"/>
    </row>
    <row r="15" spans="1:17" s="491" customFormat="1" x14ac:dyDescent="0.35">
      <c r="A15" s="490" t="s">
        <v>797</v>
      </c>
      <c r="B15" s="491" t="s">
        <v>119</v>
      </c>
      <c r="C15" s="492">
        <v>0</v>
      </c>
      <c r="D15" s="492">
        <v>0</v>
      </c>
      <c r="E15" s="492">
        <v>0</v>
      </c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92">
        <f t="shared" si="0"/>
        <v>0</v>
      </c>
      <c r="Q15" s="486"/>
    </row>
    <row r="16" spans="1:17" s="491" customFormat="1" x14ac:dyDescent="0.35">
      <c r="A16" s="490" t="s">
        <v>120</v>
      </c>
      <c r="B16" s="491" t="s">
        <v>121</v>
      </c>
      <c r="C16" s="492">
        <v>0</v>
      </c>
      <c r="D16" s="492">
        <v>0</v>
      </c>
      <c r="E16" s="492">
        <v>0</v>
      </c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92">
        <f t="shared" si="0"/>
        <v>0</v>
      </c>
      <c r="Q16" s="486"/>
    </row>
    <row r="17" spans="1:17" s="491" customFormat="1" x14ac:dyDescent="0.35">
      <c r="A17" s="490" t="s">
        <v>122</v>
      </c>
      <c r="B17" s="491" t="s">
        <v>123</v>
      </c>
      <c r="C17" s="492">
        <v>0</v>
      </c>
      <c r="D17" s="492">
        <v>0</v>
      </c>
      <c r="E17" s="492">
        <v>0</v>
      </c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92">
        <f t="shared" si="0"/>
        <v>0</v>
      </c>
      <c r="Q17" s="486"/>
    </row>
    <row r="18" spans="1:17" s="491" customFormat="1" x14ac:dyDescent="0.35">
      <c r="A18" s="490" t="s">
        <v>798</v>
      </c>
      <c r="B18" s="491" t="s">
        <v>117</v>
      </c>
      <c r="C18" s="492">
        <v>0</v>
      </c>
      <c r="D18" s="492">
        <v>0</v>
      </c>
      <c r="E18" s="492">
        <v>0</v>
      </c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92">
        <f t="shared" si="0"/>
        <v>0</v>
      </c>
      <c r="Q18" s="486"/>
    </row>
    <row r="19" spans="1:17" s="491" customFormat="1" x14ac:dyDescent="0.35">
      <c r="A19" s="490" t="s">
        <v>799</v>
      </c>
      <c r="B19" s="491" t="s">
        <v>80</v>
      </c>
      <c r="C19" s="492">
        <v>0</v>
      </c>
      <c r="D19" s="492">
        <v>73000</v>
      </c>
      <c r="E19" s="492">
        <v>0</v>
      </c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92">
        <f t="shared" si="0"/>
        <v>0</v>
      </c>
      <c r="Q19" s="486"/>
    </row>
    <row r="20" spans="1:17" s="491" customFormat="1" x14ac:dyDescent="0.35">
      <c r="A20" s="490" t="s">
        <v>800</v>
      </c>
      <c r="B20" s="491" t="s">
        <v>801</v>
      </c>
      <c r="C20" s="492">
        <v>300000</v>
      </c>
      <c r="D20" s="492">
        <v>300000</v>
      </c>
      <c r="E20" s="492">
        <v>211900</v>
      </c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92">
        <f t="shared" si="0"/>
        <v>0</v>
      </c>
      <c r="Q20" s="486"/>
    </row>
    <row r="21" spans="1:17" s="491" customFormat="1" x14ac:dyDescent="0.35">
      <c r="A21" s="490" t="s">
        <v>802</v>
      </c>
      <c r="B21" s="491" t="s">
        <v>803</v>
      </c>
      <c r="C21" s="492">
        <v>3500000</v>
      </c>
      <c r="D21" s="492">
        <v>5200000</v>
      </c>
      <c r="E21" s="492">
        <v>1124734.6200000001</v>
      </c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92">
        <f t="shared" si="0"/>
        <v>0</v>
      </c>
      <c r="Q21" s="486"/>
    </row>
    <row r="22" spans="1:17" s="491" customFormat="1" x14ac:dyDescent="0.35">
      <c r="A22" s="490" t="s">
        <v>72</v>
      </c>
      <c r="B22" s="491" t="s">
        <v>1048</v>
      </c>
      <c r="C22" s="492">
        <v>0</v>
      </c>
      <c r="D22" s="492">
        <v>20000</v>
      </c>
      <c r="E22" s="492">
        <v>4127</v>
      </c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92">
        <f t="shared" si="0"/>
        <v>0</v>
      </c>
      <c r="Q22" s="486"/>
    </row>
    <row r="23" spans="1:17" s="491" customFormat="1" x14ac:dyDescent="0.35">
      <c r="A23" s="490" t="s">
        <v>73</v>
      </c>
      <c r="B23" s="491" t="s">
        <v>1049</v>
      </c>
      <c r="C23" s="492">
        <v>0</v>
      </c>
      <c r="D23" s="492">
        <v>0</v>
      </c>
      <c r="E23" s="492">
        <v>3529</v>
      </c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92">
        <f t="shared" si="0"/>
        <v>0</v>
      </c>
      <c r="Q23" s="486"/>
    </row>
    <row r="24" spans="1:17" s="491" customFormat="1" x14ac:dyDescent="0.35">
      <c r="A24" s="490" t="s">
        <v>124</v>
      </c>
      <c r="B24" s="491" t="s">
        <v>1050</v>
      </c>
      <c r="C24" s="492">
        <v>3761444.328824142</v>
      </c>
      <c r="D24" s="492">
        <v>3200000</v>
      </c>
      <c r="E24" s="492">
        <v>1707045.5</v>
      </c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92">
        <f t="shared" si="0"/>
        <v>0</v>
      </c>
      <c r="Q24" s="486"/>
    </row>
    <row r="25" spans="1:17" s="491" customFormat="1" x14ac:dyDescent="0.35">
      <c r="A25" s="490" t="s">
        <v>125</v>
      </c>
      <c r="B25" s="491" t="s">
        <v>1051</v>
      </c>
      <c r="C25" s="492">
        <v>2401967.1907927282</v>
      </c>
      <c r="D25" s="492">
        <v>2000000</v>
      </c>
      <c r="E25" s="492">
        <v>570818.5</v>
      </c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92">
        <f t="shared" si="0"/>
        <v>0</v>
      </c>
      <c r="Q25" s="486"/>
    </row>
    <row r="26" spans="1:17" s="491" customFormat="1" x14ac:dyDescent="0.35">
      <c r="A26" s="490" t="s">
        <v>1326</v>
      </c>
      <c r="B26" s="491" t="s">
        <v>1277</v>
      </c>
      <c r="C26" s="492">
        <v>0</v>
      </c>
      <c r="D26" s="492">
        <v>0</v>
      </c>
      <c r="E26" s="492">
        <v>0</v>
      </c>
      <c r="F26" s="486"/>
      <c r="G26" s="486"/>
      <c r="H26" s="486"/>
      <c r="I26" s="486"/>
      <c r="J26" s="486"/>
      <c r="K26" s="486"/>
      <c r="L26" s="486"/>
      <c r="M26" s="486"/>
      <c r="N26" s="486"/>
      <c r="O26" s="486"/>
      <c r="P26" s="492">
        <f t="shared" si="0"/>
        <v>0</v>
      </c>
      <c r="Q26" s="486"/>
    </row>
    <row r="27" spans="1:17" s="491" customFormat="1" x14ac:dyDescent="0.35">
      <c r="A27" s="490" t="s">
        <v>1327</v>
      </c>
      <c r="B27" s="491" t="s">
        <v>1278</v>
      </c>
      <c r="C27" s="492">
        <v>0</v>
      </c>
      <c r="D27" s="492">
        <v>0</v>
      </c>
      <c r="E27" s="492">
        <v>0</v>
      </c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92">
        <f t="shared" si="0"/>
        <v>0</v>
      </c>
      <c r="Q27" s="486"/>
    </row>
    <row r="28" spans="1:17" s="491" customFormat="1" x14ac:dyDescent="0.35">
      <c r="A28" s="490" t="s">
        <v>1328</v>
      </c>
      <c r="B28" s="491" t="s">
        <v>1279</v>
      </c>
      <c r="C28" s="492">
        <v>0</v>
      </c>
      <c r="D28" s="492">
        <v>0</v>
      </c>
      <c r="E28" s="492">
        <v>0</v>
      </c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92">
        <f t="shared" si="0"/>
        <v>0</v>
      </c>
      <c r="Q28" s="486"/>
    </row>
    <row r="29" spans="1:17" s="491" customFormat="1" x14ac:dyDescent="0.35">
      <c r="A29" s="490" t="s">
        <v>1329</v>
      </c>
      <c r="B29" s="491" t="s">
        <v>1280</v>
      </c>
      <c r="C29" s="492">
        <v>0</v>
      </c>
      <c r="D29" s="492">
        <v>0</v>
      </c>
      <c r="E29" s="492">
        <v>0</v>
      </c>
      <c r="F29" s="486"/>
      <c r="G29" s="486"/>
      <c r="H29" s="486"/>
      <c r="I29" s="486"/>
      <c r="J29" s="486"/>
      <c r="K29" s="486"/>
      <c r="L29" s="486"/>
      <c r="M29" s="486"/>
      <c r="N29" s="486"/>
      <c r="O29" s="486"/>
      <c r="P29" s="492">
        <f t="shared" si="0"/>
        <v>0</v>
      </c>
      <c r="Q29" s="486"/>
    </row>
    <row r="30" spans="1:17" s="491" customFormat="1" x14ac:dyDescent="0.35">
      <c r="A30" s="490" t="s">
        <v>81</v>
      </c>
      <c r="B30" s="491" t="s">
        <v>1052</v>
      </c>
      <c r="C30" s="492">
        <v>3234929.4183168313</v>
      </c>
      <c r="D30" s="492">
        <v>3832585</v>
      </c>
      <c r="E30" s="492">
        <v>1440327.75</v>
      </c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92">
        <f t="shared" si="0"/>
        <v>0</v>
      </c>
      <c r="Q30" s="486"/>
    </row>
    <row r="31" spans="1:17" s="491" customFormat="1" x14ac:dyDescent="0.35">
      <c r="A31" s="490" t="s">
        <v>82</v>
      </c>
      <c r="B31" s="491" t="s">
        <v>1053</v>
      </c>
      <c r="C31" s="492">
        <v>1023748.7986988983</v>
      </c>
      <c r="D31" s="492">
        <v>1625000</v>
      </c>
      <c r="E31" s="492">
        <v>486506.13</v>
      </c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92">
        <f t="shared" si="0"/>
        <v>0</v>
      </c>
      <c r="Q31" s="486"/>
    </row>
    <row r="32" spans="1:17" s="491" customFormat="1" x14ac:dyDescent="0.35">
      <c r="A32" s="490" t="s">
        <v>83</v>
      </c>
      <c r="B32" s="491" t="s">
        <v>84</v>
      </c>
      <c r="C32" s="492">
        <v>-135000</v>
      </c>
      <c r="D32" s="492">
        <v>-135000</v>
      </c>
      <c r="E32" s="492">
        <v>-42840.97</v>
      </c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92">
        <f t="shared" si="0"/>
        <v>0</v>
      </c>
      <c r="Q32" s="486"/>
    </row>
    <row r="33" spans="1:17" s="491" customFormat="1" x14ac:dyDescent="0.35">
      <c r="A33" s="490" t="s">
        <v>85</v>
      </c>
      <c r="B33" s="491" t="s">
        <v>86</v>
      </c>
      <c r="C33" s="492">
        <v>298000</v>
      </c>
      <c r="D33" s="492">
        <v>298000</v>
      </c>
      <c r="E33" s="492">
        <v>27078.58</v>
      </c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92">
        <f t="shared" si="0"/>
        <v>0</v>
      </c>
      <c r="Q33" s="486"/>
    </row>
    <row r="34" spans="1:17" s="491" customFormat="1" x14ac:dyDescent="0.35">
      <c r="A34" s="490" t="s">
        <v>126</v>
      </c>
      <c r="B34" s="491" t="s">
        <v>1054</v>
      </c>
      <c r="C34" s="492">
        <v>120000</v>
      </c>
      <c r="D34" s="492">
        <v>120000</v>
      </c>
      <c r="E34" s="492">
        <v>78633</v>
      </c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92">
        <f t="shared" si="0"/>
        <v>0</v>
      </c>
      <c r="Q34" s="486"/>
    </row>
    <row r="35" spans="1:17" s="491" customFormat="1" x14ac:dyDescent="0.35">
      <c r="A35" s="490" t="s">
        <v>127</v>
      </c>
      <c r="B35" s="491" t="s">
        <v>1055</v>
      </c>
      <c r="C35" s="492">
        <v>350000</v>
      </c>
      <c r="D35" s="492">
        <v>350000</v>
      </c>
      <c r="E35" s="492">
        <v>190871</v>
      </c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92">
        <f t="shared" si="0"/>
        <v>0</v>
      </c>
      <c r="Q35" s="486"/>
    </row>
    <row r="36" spans="1:17" s="491" customFormat="1" x14ac:dyDescent="0.35">
      <c r="A36" s="490" t="s">
        <v>74</v>
      </c>
      <c r="B36" s="491" t="s">
        <v>1056</v>
      </c>
      <c r="C36" s="492">
        <v>391394.95798319328</v>
      </c>
      <c r="D36" s="492">
        <v>323000</v>
      </c>
      <c r="E36" s="492">
        <v>126678</v>
      </c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92">
        <f t="shared" si="0"/>
        <v>0</v>
      </c>
      <c r="Q36" s="486"/>
    </row>
    <row r="37" spans="1:17" s="491" customFormat="1" x14ac:dyDescent="0.35">
      <c r="A37" s="490" t="s">
        <v>75</v>
      </c>
      <c r="B37" s="491" t="s">
        <v>1283</v>
      </c>
      <c r="C37" s="492">
        <v>141254.61254612543</v>
      </c>
      <c r="D37" s="492">
        <v>85000</v>
      </c>
      <c r="E37" s="492">
        <v>37512.620000000003</v>
      </c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92">
        <f t="shared" si="0"/>
        <v>0</v>
      </c>
      <c r="Q37" s="486"/>
    </row>
    <row r="38" spans="1:17" s="491" customFormat="1" x14ac:dyDescent="0.35">
      <c r="A38" s="490" t="s">
        <v>76</v>
      </c>
      <c r="B38" s="491" t="s">
        <v>77</v>
      </c>
      <c r="C38" s="492">
        <v>-30000</v>
      </c>
      <c r="D38" s="492">
        <v>-30000</v>
      </c>
      <c r="E38" s="492">
        <v>-5265.81</v>
      </c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92">
        <f t="shared" si="0"/>
        <v>0</v>
      </c>
      <c r="Q38" s="486"/>
    </row>
    <row r="39" spans="1:17" s="491" customFormat="1" x14ac:dyDescent="0.35">
      <c r="A39" s="490" t="s">
        <v>78</v>
      </c>
      <c r="B39" s="491" t="s">
        <v>79</v>
      </c>
      <c r="C39" s="492">
        <v>9000</v>
      </c>
      <c r="D39" s="492">
        <v>9000</v>
      </c>
      <c r="E39" s="492">
        <v>620.12</v>
      </c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92">
        <f t="shared" si="0"/>
        <v>0</v>
      </c>
      <c r="Q39" s="486"/>
    </row>
    <row r="40" spans="1:17" s="491" customFormat="1" x14ac:dyDescent="0.35">
      <c r="A40" s="490" t="s">
        <v>804</v>
      </c>
      <c r="B40" s="491" t="s">
        <v>1281</v>
      </c>
      <c r="C40" s="492">
        <v>32000</v>
      </c>
      <c r="D40" s="492">
        <v>32000</v>
      </c>
      <c r="E40" s="492">
        <v>3717</v>
      </c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92">
        <f t="shared" si="0"/>
        <v>0</v>
      </c>
      <c r="Q40" s="486"/>
    </row>
    <row r="41" spans="1:17" s="491" customFormat="1" x14ac:dyDescent="0.35">
      <c r="A41" s="490" t="s">
        <v>805</v>
      </c>
      <c r="B41" s="491" t="s">
        <v>1282</v>
      </c>
      <c r="C41" s="492">
        <v>31000</v>
      </c>
      <c r="D41" s="492">
        <v>31000</v>
      </c>
      <c r="E41" s="492">
        <v>0</v>
      </c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92">
        <f t="shared" si="0"/>
        <v>0</v>
      </c>
      <c r="Q41" s="486"/>
    </row>
    <row r="42" spans="1:17" s="491" customFormat="1" x14ac:dyDescent="0.35">
      <c r="A42" s="490" t="s">
        <v>806</v>
      </c>
      <c r="B42" s="491" t="s">
        <v>1284</v>
      </c>
      <c r="C42" s="492">
        <v>0</v>
      </c>
      <c r="D42" s="492">
        <v>0</v>
      </c>
      <c r="E42" s="492">
        <v>0</v>
      </c>
      <c r="F42" s="486"/>
      <c r="G42" s="486"/>
      <c r="H42" s="486"/>
      <c r="I42" s="486"/>
      <c r="J42" s="486"/>
      <c r="K42" s="486"/>
      <c r="L42" s="486"/>
      <c r="M42" s="486"/>
      <c r="N42" s="486"/>
      <c r="O42" s="486"/>
      <c r="P42" s="492">
        <f t="shared" si="0"/>
        <v>0</v>
      </c>
      <c r="Q42" s="486"/>
    </row>
    <row r="43" spans="1:17" s="491" customFormat="1" x14ac:dyDescent="0.35">
      <c r="A43" s="490" t="s">
        <v>807</v>
      </c>
      <c r="B43" s="491" t="s">
        <v>1285</v>
      </c>
      <c r="C43" s="492">
        <v>0</v>
      </c>
      <c r="D43" s="492">
        <v>0</v>
      </c>
      <c r="E43" s="492">
        <v>0</v>
      </c>
      <c r="F43" s="486"/>
      <c r="G43" s="486"/>
      <c r="H43" s="486"/>
      <c r="I43" s="486"/>
      <c r="J43" s="486"/>
      <c r="K43" s="486"/>
      <c r="L43" s="486"/>
      <c r="M43" s="486"/>
      <c r="N43" s="486"/>
      <c r="O43" s="486"/>
      <c r="P43" s="492">
        <f t="shared" si="0"/>
        <v>0</v>
      </c>
      <c r="Q43" s="486"/>
    </row>
    <row r="44" spans="1:17" s="491" customFormat="1" x14ac:dyDescent="0.35">
      <c r="A44" s="490" t="s">
        <v>45</v>
      </c>
      <c r="B44" s="491" t="s">
        <v>1057</v>
      </c>
      <c r="C44" s="492">
        <v>25000000</v>
      </c>
      <c r="D44" s="492">
        <v>25000000</v>
      </c>
      <c r="E44" s="492">
        <v>17290409</v>
      </c>
      <c r="F44" s="486"/>
      <c r="G44" s="486"/>
      <c r="H44" s="486"/>
      <c r="I44" s="486"/>
      <c r="J44" s="486"/>
      <c r="K44" s="486"/>
      <c r="L44" s="486"/>
      <c r="M44" s="486"/>
      <c r="N44" s="486"/>
      <c r="O44" s="486"/>
      <c r="P44" s="492">
        <f t="shared" si="0"/>
        <v>0</v>
      </c>
      <c r="Q44" s="486"/>
    </row>
    <row r="45" spans="1:17" s="491" customFormat="1" x14ac:dyDescent="0.35">
      <c r="A45" s="490" t="s">
        <v>46</v>
      </c>
      <c r="B45" s="491" t="s">
        <v>1058</v>
      </c>
      <c r="C45" s="492">
        <v>10378000</v>
      </c>
      <c r="D45" s="492">
        <v>10378000</v>
      </c>
      <c r="E45" s="492">
        <v>5235531</v>
      </c>
      <c r="F45" s="486"/>
      <c r="G45" s="486"/>
      <c r="H45" s="486"/>
      <c r="I45" s="486"/>
      <c r="J45" s="486"/>
      <c r="K45" s="486"/>
      <c r="L45" s="486"/>
      <c r="M45" s="486"/>
      <c r="N45" s="486"/>
      <c r="O45" s="486"/>
      <c r="P45" s="492">
        <f t="shared" si="0"/>
        <v>0</v>
      </c>
      <c r="Q45" s="486"/>
    </row>
    <row r="46" spans="1:17" s="491" customFormat="1" x14ac:dyDescent="0.35">
      <c r="A46" s="490" t="s">
        <v>47</v>
      </c>
      <c r="B46" s="491" t="s">
        <v>1059</v>
      </c>
      <c r="C46" s="492">
        <v>120000</v>
      </c>
      <c r="D46" s="492">
        <v>120000</v>
      </c>
      <c r="E46" s="492">
        <v>120377</v>
      </c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92">
        <f t="shared" si="0"/>
        <v>0</v>
      </c>
      <c r="Q46" s="486"/>
    </row>
    <row r="47" spans="1:17" s="491" customFormat="1" x14ac:dyDescent="0.35">
      <c r="A47" s="490" t="s">
        <v>48</v>
      </c>
      <c r="B47" s="491" t="s">
        <v>1060</v>
      </c>
      <c r="C47" s="492">
        <v>0</v>
      </c>
      <c r="D47" s="492">
        <v>0</v>
      </c>
      <c r="E47" s="492">
        <v>0</v>
      </c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92">
        <f t="shared" si="0"/>
        <v>0</v>
      </c>
      <c r="Q47" s="486"/>
    </row>
    <row r="48" spans="1:17" s="491" customFormat="1" x14ac:dyDescent="0.35">
      <c r="A48" s="490" t="s">
        <v>49</v>
      </c>
      <c r="B48" s="491" t="s">
        <v>1061</v>
      </c>
      <c r="C48" s="492">
        <v>0</v>
      </c>
      <c r="D48" s="492">
        <v>0</v>
      </c>
      <c r="E48" s="492">
        <v>0</v>
      </c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92">
        <f t="shared" si="0"/>
        <v>0</v>
      </c>
      <c r="Q48" s="486"/>
    </row>
    <row r="49" spans="1:17" s="491" customFormat="1" x14ac:dyDescent="0.35">
      <c r="A49" s="490" t="s">
        <v>210</v>
      </c>
      <c r="B49" s="491" t="s">
        <v>211</v>
      </c>
      <c r="C49" s="492">
        <v>3655786</v>
      </c>
      <c r="D49" s="492">
        <v>3655759.27</v>
      </c>
      <c r="E49" s="492">
        <v>3655786</v>
      </c>
      <c r="F49" s="486">
        <v>3655786</v>
      </c>
      <c r="G49" s="486"/>
      <c r="H49" s="486"/>
      <c r="I49" s="486"/>
      <c r="J49" s="486"/>
      <c r="K49" s="486"/>
      <c r="L49" s="486"/>
      <c r="M49" s="486"/>
      <c r="N49" s="486"/>
      <c r="O49" s="486"/>
      <c r="P49" s="492">
        <f t="shared" si="0"/>
        <v>3655786</v>
      </c>
      <c r="Q49" s="486"/>
    </row>
    <row r="50" spans="1:17" s="491" customFormat="1" x14ac:dyDescent="0.35">
      <c r="A50" s="490" t="s">
        <v>50</v>
      </c>
      <c r="B50" s="491" t="s">
        <v>1062</v>
      </c>
      <c r="C50" s="492">
        <v>19808691.16</v>
      </c>
      <c r="D50" s="492">
        <v>19808691.16</v>
      </c>
      <c r="E50" s="492">
        <v>0</v>
      </c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92">
        <f t="shared" si="0"/>
        <v>0</v>
      </c>
      <c r="Q50" s="486"/>
    </row>
    <row r="51" spans="1:17" s="491" customFormat="1" x14ac:dyDescent="0.35">
      <c r="A51" s="490" t="s">
        <v>51</v>
      </c>
      <c r="B51" s="491" t="s">
        <v>1063</v>
      </c>
      <c r="C51" s="492">
        <v>0</v>
      </c>
      <c r="D51" s="492">
        <v>0</v>
      </c>
      <c r="E51" s="492">
        <v>0</v>
      </c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92">
        <f t="shared" si="0"/>
        <v>0</v>
      </c>
      <c r="Q51" s="486"/>
    </row>
    <row r="52" spans="1:17" s="491" customFormat="1" x14ac:dyDescent="0.35">
      <c r="A52" s="490" t="s">
        <v>52</v>
      </c>
      <c r="B52" s="491" t="s">
        <v>1064</v>
      </c>
      <c r="C52" s="492">
        <v>7449021.6299999999</v>
      </c>
      <c r="D52" s="492">
        <v>7449021.6299999999</v>
      </c>
      <c r="E52" s="492">
        <v>5931000.8799999999</v>
      </c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92">
        <f t="shared" si="0"/>
        <v>0</v>
      </c>
      <c r="Q52" s="486"/>
    </row>
    <row r="53" spans="1:17" s="491" customFormat="1" x14ac:dyDescent="0.35">
      <c r="A53" s="490" t="s">
        <v>53</v>
      </c>
      <c r="B53" s="491" t="s">
        <v>54</v>
      </c>
      <c r="C53" s="492">
        <v>1000000</v>
      </c>
      <c r="D53" s="492">
        <v>1083815.5</v>
      </c>
      <c r="E53" s="492">
        <v>290392.8</v>
      </c>
      <c r="F53" s="486"/>
      <c r="G53" s="486"/>
      <c r="H53" s="486"/>
      <c r="I53" s="486"/>
      <c r="J53" s="486"/>
      <c r="K53" s="486"/>
      <c r="L53" s="486"/>
      <c r="M53" s="486"/>
      <c r="N53" s="486"/>
      <c r="O53" s="486"/>
      <c r="P53" s="492">
        <f t="shared" si="0"/>
        <v>0</v>
      </c>
      <c r="Q53" s="486"/>
    </row>
    <row r="54" spans="1:17" s="491" customFormat="1" x14ac:dyDescent="0.35">
      <c r="A54" s="490" t="s">
        <v>55</v>
      </c>
      <c r="B54" s="491" t="s">
        <v>1065</v>
      </c>
      <c r="C54" s="492">
        <v>0</v>
      </c>
      <c r="D54" s="492">
        <v>0</v>
      </c>
      <c r="E54" s="492">
        <v>153220</v>
      </c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92">
        <f t="shared" si="0"/>
        <v>0</v>
      </c>
      <c r="Q54" s="486"/>
    </row>
    <row r="55" spans="1:17" s="491" customFormat="1" x14ac:dyDescent="0.35">
      <c r="A55" s="490" t="s">
        <v>56</v>
      </c>
      <c r="B55" s="491" t="s">
        <v>57</v>
      </c>
      <c r="C55" s="492">
        <v>504008.61</v>
      </c>
      <c r="D55" s="492">
        <v>504008.61</v>
      </c>
      <c r="E55" s="492">
        <v>2100</v>
      </c>
      <c r="F55" s="486"/>
      <c r="G55" s="486"/>
      <c r="H55" s="486"/>
      <c r="I55" s="486"/>
      <c r="J55" s="486"/>
      <c r="K55" s="486"/>
      <c r="L55" s="486"/>
      <c r="M55" s="486"/>
      <c r="N55" s="486"/>
      <c r="O55" s="486"/>
      <c r="P55" s="492">
        <f t="shared" si="0"/>
        <v>0</v>
      </c>
      <c r="Q55" s="486"/>
    </row>
    <row r="56" spans="1:17" s="491" customFormat="1" x14ac:dyDescent="0.35">
      <c r="A56" s="490" t="s">
        <v>58</v>
      </c>
      <c r="B56" s="491" t="s">
        <v>1066</v>
      </c>
      <c r="C56" s="492">
        <v>0</v>
      </c>
      <c r="D56" s="492">
        <v>0</v>
      </c>
      <c r="E56" s="492">
        <v>14180831.890000001</v>
      </c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92">
        <f t="shared" si="0"/>
        <v>0</v>
      </c>
      <c r="Q56" s="486"/>
    </row>
    <row r="57" spans="1:17" s="491" customFormat="1" x14ac:dyDescent="0.35">
      <c r="A57" s="490" t="s">
        <v>59</v>
      </c>
      <c r="B57" s="491" t="s">
        <v>1067</v>
      </c>
      <c r="C57" s="492">
        <v>-282174.12</v>
      </c>
      <c r="D57" s="492">
        <v>-282174.12</v>
      </c>
      <c r="E57" s="492">
        <v>0</v>
      </c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92">
        <f t="shared" si="0"/>
        <v>0</v>
      </c>
      <c r="Q57" s="486"/>
    </row>
    <row r="58" spans="1:17" s="491" customFormat="1" x14ac:dyDescent="0.35">
      <c r="A58" s="490" t="s">
        <v>60</v>
      </c>
      <c r="B58" s="491" t="s">
        <v>1068</v>
      </c>
      <c r="C58" s="492">
        <v>1363220.11</v>
      </c>
      <c r="D58" s="492">
        <v>1363220.11</v>
      </c>
      <c r="E58" s="492">
        <v>0</v>
      </c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92">
        <f t="shared" si="0"/>
        <v>0</v>
      </c>
      <c r="Q58" s="486"/>
    </row>
    <row r="59" spans="1:17" s="491" customFormat="1" x14ac:dyDescent="0.35">
      <c r="A59" s="490" t="s">
        <v>61</v>
      </c>
      <c r="B59" s="491" t="s">
        <v>1069</v>
      </c>
      <c r="C59" s="492">
        <v>-37844</v>
      </c>
      <c r="D59" s="492">
        <v>-37844</v>
      </c>
      <c r="E59" s="492">
        <v>0</v>
      </c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92">
        <f t="shared" si="0"/>
        <v>0</v>
      </c>
      <c r="Q59" s="486"/>
    </row>
    <row r="60" spans="1:17" s="491" customFormat="1" x14ac:dyDescent="0.35">
      <c r="A60" s="490" t="s">
        <v>62</v>
      </c>
      <c r="B60" s="491" t="s">
        <v>1070</v>
      </c>
      <c r="C60" s="492">
        <v>363082.67</v>
      </c>
      <c r="D60" s="492">
        <v>363082.67</v>
      </c>
      <c r="E60" s="492">
        <v>1772421</v>
      </c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92">
        <f t="shared" si="0"/>
        <v>0</v>
      </c>
      <c r="Q60" s="486"/>
    </row>
    <row r="61" spans="1:17" s="491" customFormat="1" x14ac:dyDescent="0.35">
      <c r="A61" s="490" t="s">
        <v>63</v>
      </c>
      <c r="B61" s="491" t="s">
        <v>1071</v>
      </c>
      <c r="C61" s="492">
        <v>94036</v>
      </c>
      <c r="D61" s="492">
        <v>94036</v>
      </c>
      <c r="E61" s="492">
        <v>1207513</v>
      </c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92">
        <f t="shared" si="0"/>
        <v>0</v>
      </c>
      <c r="Q61" s="486"/>
    </row>
    <row r="62" spans="1:17" s="491" customFormat="1" x14ac:dyDescent="0.35">
      <c r="A62" s="490" t="s">
        <v>64</v>
      </c>
      <c r="B62" s="491" t="s">
        <v>65</v>
      </c>
      <c r="C62" s="492">
        <v>0</v>
      </c>
      <c r="D62" s="492">
        <v>0</v>
      </c>
      <c r="E62" s="492">
        <v>5656697</v>
      </c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92">
        <f t="shared" si="0"/>
        <v>0</v>
      </c>
      <c r="Q62" s="486"/>
    </row>
    <row r="63" spans="1:17" s="491" customFormat="1" x14ac:dyDescent="0.35">
      <c r="A63" s="490" t="s">
        <v>66</v>
      </c>
      <c r="B63" s="491" t="s">
        <v>67</v>
      </c>
      <c r="C63" s="492">
        <v>0</v>
      </c>
      <c r="D63" s="492">
        <v>0</v>
      </c>
      <c r="E63" s="492">
        <v>4780784.04</v>
      </c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92">
        <f t="shared" si="0"/>
        <v>0</v>
      </c>
      <c r="Q63" s="486"/>
    </row>
    <row r="64" spans="1:17" s="491" customFormat="1" x14ac:dyDescent="0.35">
      <c r="A64" s="490" t="s">
        <v>68</v>
      </c>
      <c r="B64" s="491" t="s">
        <v>1286</v>
      </c>
      <c r="C64" s="492">
        <v>565330</v>
      </c>
      <c r="D64" s="492">
        <v>565330</v>
      </c>
      <c r="E64" s="492">
        <v>213010</v>
      </c>
      <c r="F64" s="486"/>
      <c r="G64" s="486"/>
      <c r="H64" s="486"/>
      <c r="I64" s="486"/>
      <c r="J64" s="486"/>
      <c r="K64" s="486"/>
      <c r="L64" s="486"/>
      <c r="M64" s="486"/>
      <c r="N64" s="486"/>
      <c r="O64" s="486"/>
      <c r="P64" s="492">
        <f t="shared" si="0"/>
        <v>0</v>
      </c>
      <c r="Q64" s="486"/>
    </row>
    <row r="65" spans="1:17" s="491" customFormat="1" x14ac:dyDescent="0.35">
      <c r="A65" s="490" t="s">
        <v>69</v>
      </c>
      <c r="B65" s="491" t="s">
        <v>1287</v>
      </c>
      <c r="C65" s="492">
        <v>650000</v>
      </c>
      <c r="D65" s="492">
        <v>650000</v>
      </c>
      <c r="E65" s="492">
        <v>414983</v>
      </c>
      <c r="F65" s="486"/>
      <c r="G65" s="486"/>
      <c r="H65" s="486"/>
      <c r="I65" s="486"/>
      <c r="J65" s="486"/>
      <c r="K65" s="486"/>
      <c r="L65" s="486"/>
      <c r="M65" s="486"/>
      <c r="N65" s="486"/>
      <c r="O65" s="486"/>
      <c r="P65" s="492">
        <f t="shared" si="0"/>
        <v>0</v>
      </c>
      <c r="Q65" s="486"/>
    </row>
    <row r="66" spans="1:17" s="491" customFormat="1" x14ac:dyDescent="0.35">
      <c r="A66" s="490" t="s">
        <v>70</v>
      </c>
      <c r="B66" s="491" t="s">
        <v>1072</v>
      </c>
      <c r="C66" s="492">
        <v>-10000</v>
      </c>
      <c r="D66" s="492">
        <v>-10000</v>
      </c>
      <c r="E66" s="492">
        <v>0</v>
      </c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92">
        <f t="shared" si="0"/>
        <v>0</v>
      </c>
      <c r="Q66" s="486"/>
    </row>
    <row r="67" spans="1:17" s="491" customFormat="1" x14ac:dyDescent="0.35">
      <c r="A67" s="490" t="s">
        <v>71</v>
      </c>
      <c r="B67" s="491" t="s">
        <v>1073</v>
      </c>
      <c r="C67" s="492">
        <v>8700</v>
      </c>
      <c r="D67" s="492">
        <v>8700</v>
      </c>
      <c r="E67" s="492">
        <v>0</v>
      </c>
      <c r="F67" s="486"/>
      <c r="G67" s="486"/>
      <c r="H67" s="486"/>
      <c r="I67" s="486"/>
      <c r="J67" s="486"/>
      <c r="K67" s="486"/>
      <c r="L67" s="486"/>
      <c r="M67" s="486"/>
      <c r="N67" s="486"/>
      <c r="O67" s="486"/>
      <c r="P67" s="492">
        <f t="shared" ref="P67:P130" si="1">SUM(F67:N67)</f>
        <v>0</v>
      </c>
      <c r="Q67" s="486"/>
    </row>
    <row r="68" spans="1:17" s="491" customFormat="1" x14ac:dyDescent="0.35">
      <c r="A68" s="490" t="s">
        <v>808</v>
      </c>
      <c r="B68" s="491" t="s">
        <v>809</v>
      </c>
      <c r="C68" s="492">
        <v>0</v>
      </c>
      <c r="D68" s="492">
        <v>0</v>
      </c>
      <c r="E68" s="492">
        <v>0</v>
      </c>
      <c r="F68" s="486"/>
      <c r="G68" s="486"/>
      <c r="H68" s="486"/>
      <c r="I68" s="486"/>
      <c r="J68" s="486"/>
      <c r="K68" s="486"/>
      <c r="L68" s="486"/>
      <c r="M68" s="486"/>
      <c r="N68" s="486"/>
      <c r="O68" s="486"/>
      <c r="P68" s="492">
        <f t="shared" si="1"/>
        <v>0</v>
      </c>
      <c r="Q68" s="486"/>
    </row>
    <row r="69" spans="1:17" s="491" customFormat="1" x14ac:dyDescent="0.35">
      <c r="A69" s="490" t="s">
        <v>810</v>
      </c>
      <c r="B69" s="491" t="s">
        <v>811</v>
      </c>
      <c r="C69" s="492">
        <v>0</v>
      </c>
      <c r="D69" s="492">
        <v>0</v>
      </c>
      <c r="E69" s="492">
        <v>0</v>
      </c>
      <c r="F69" s="486"/>
      <c r="G69" s="486"/>
      <c r="H69" s="486"/>
      <c r="I69" s="486"/>
      <c r="J69" s="486"/>
      <c r="K69" s="486"/>
      <c r="L69" s="486"/>
      <c r="M69" s="486"/>
      <c r="N69" s="486"/>
      <c r="O69" s="486"/>
      <c r="P69" s="492">
        <f t="shared" si="1"/>
        <v>0</v>
      </c>
      <c r="Q69" s="486"/>
    </row>
    <row r="70" spans="1:17" s="491" customFormat="1" x14ac:dyDescent="0.35">
      <c r="A70" s="490" t="s">
        <v>812</v>
      </c>
      <c r="B70" s="491" t="s">
        <v>813</v>
      </c>
      <c r="C70" s="492">
        <v>0</v>
      </c>
      <c r="D70" s="492">
        <v>0</v>
      </c>
      <c r="E70" s="492">
        <v>0</v>
      </c>
      <c r="F70" s="486"/>
      <c r="G70" s="486"/>
      <c r="H70" s="486"/>
      <c r="I70" s="486"/>
      <c r="J70" s="486"/>
      <c r="K70" s="486"/>
      <c r="L70" s="486"/>
      <c r="M70" s="486"/>
      <c r="N70" s="486"/>
      <c r="O70" s="486"/>
      <c r="P70" s="492">
        <f t="shared" si="1"/>
        <v>0</v>
      </c>
      <c r="Q70" s="486"/>
    </row>
    <row r="71" spans="1:17" s="491" customFormat="1" x14ac:dyDescent="0.35">
      <c r="A71" s="490" t="s">
        <v>814</v>
      </c>
      <c r="B71" s="491" t="s">
        <v>815</v>
      </c>
      <c r="C71" s="492">
        <v>0</v>
      </c>
      <c r="D71" s="492">
        <v>0</v>
      </c>
      <c r="E71" s="492">
        <v>0</v>
      </c>
      <c r="F71" s="486"/>
      <c r="G71" s="486"/>
      <c r="H71" s="486"/>
      <c r="I71" s="486"/>
      <c r="J71" s="486"/>
      <c r="K71" s="486"/>
      <c r="L71" s="486"/>
      <c r="M71" s="486"/>
      <c r="N71" s="486"/>
      <c r="O71" s="486"/>
      <c r="P71" s="492">
        <f t="shared" si="1"/>
        <v>0</v>
      </c>
      <c r="Q71" s="486"/>
    </row>
    <row r="72" spans="1:17" s="491" customFormat="1" x14ac:dyDescent="0.35">
      <c r="A72" s="490" t="s">
        <v>787</v>
      </c>
      <c r="B72" s="491" t="s">
        <v>1074</v>
      </c>
      <c r="C72" s="492">
        <v>0</v>
      </c>
      <c r="D72" s="492">
        <v>0</v>
      </c>
      <c r="E72" s="492">
        <v>0</v>
      </c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92">
        <f t="shared" si="1"/>
        <v>0</v>
      </c>
      <c r="Q72" s="486"/>
    </row>
    <row r="73" spans="1:17" s="491" customFormat="1" x14ac:dyDescent="0.35">
      <c r="A73" s="490" t="s">
        <v>788</v>
      </c>
      <c r="B73" s="491" t="s">
        <v>789</v>
      </c>
      <c r="C73" s="492">
        <v>0</v>
      </c>
      <c r="D73" s="492">
        <v>0</v>
      </c>
      <c r="E73" s="492">
        <v>0</v>
      </c>
      <c r="F73" s="486"/>
      <c r="G73" s="486"/>
      <c r="H73" s="486"/>
      <c r="I73" s="486"/>
      <c r="J73" s="486"/>
      <c r="K73" s="486"/>
      <c r="L73" s="486"/>
      <c r="M73" s="486"/>
      <c r="N73" s="486"/>
      <c r="O73" s="486"/>
      <c r="P73" s="492">
        <f t="shared" si="1"/>
        <v>0</v>
      </c>
      <c r="Q73" s="486"/>
    </row>
    <row r="74" spans="1:17" s="491" customFormat="1" x14ac:dyDescent="0.35">
      <c r="A74" s="490" t="s">
        <v>790</v>
      </c>
      <c r="B74" s="491" t="s">
        <v>791</v>
      </c>
      <c r="C74" s="492">
        <v>-16176808.789999999</v>
      </c>
      <c r="D74" s="492">
        <v>-16056871.26</v>
      </c>
      <c r="E74" s="492">
        <v>-16176808.789999999</v>
      </c>
      <c r="F74" s="486"/>
      <c r="G74" s="486"/>
      <c r="H74" s="486"/>
      <c r="I74" s="486"/>
      <c r="J74" s="486"/>
      <c r="K74" s="486"/>
      <c r="L74" s="486"/>
      <c r="M74" s="486"/>
      <c r="N74" s="486"/>
      <c r="O74" s="486"/>
      <c r="P74" s="492">
        <f t="shared" si="1"/>
        <v>0</v>
      </c>
      <c r="Q74" s="486"/>
    </row>
    <row r="75" spans="1:17" s="491" customFormat="1" x14ac:dyDescent="0.35">
      <c r="A75" s="490" t="s">
        <v>792</v>
      </c>
      <c r="B75" s="491" t="s">
        <v>793</v>
      </c>
      <c r="C75" s="492">
        <v>-4138077</v>
      </c>
      <c r="D75" s="492">
        <v>-4138077</v>
      </c>
      <c r="E75" s="492">
        <v>-2319102.7799999998</v>
      </c>
      <c r="F75" s="486"/>
      <c r="G75" s="486"/>
      <c r="H75" s="486"/>
      <c r="I75" s="486"/>
      <c r="J75" s="486"/>
      <c r="K75" s="486"/>
      <c r="L75" s="486"/>
      <c r="M75" s="486"/>
      <c r="N75" s="486"/>
      <c r="O75" s="486"/>
      <c r="P75" s="492">
        <f t="shared" si="1"/>
        <v>0</v>
      </c>
      <c r="Q75" s="486"/>
    </row>
    <row r="76" spans="1:17" s="491" customFormat="1" x14ac:dyDescent="0.35">
      <c r="A76" s="490" t="s">
        <v>794</v>
      </c>
      <c r="B76" s="491" t="s">
        <v>795</v>
      </c>
      <c r="C76" s="492">
        <v>-3397281.02</v>
      </c>
      <c r="D76" s="492">
        <v>-3397281.02</v>
      </c>
      <c r="E76" s="492">
        <v>-2897692.81</v>
      </c>
      <c r="F76" s="486"/>
      <c r="G76" s="486"/>
      <c r="H76" s="486"/>
      <c r="I76" s="486"/>
      <c r="J76" s="486"/>
      <c r="K76" s="486"/>
      <c r="L76" s="486"/>
      <c r="M76" s="486"/>
      <c r="N76" s="486"/>
      <c r="O76" s="486"/>
      <c r="P76" s="492">
        <f t="shared" si="1"/>
        <v>0</v>
      </c>
      <c r="Q76" s="486"/>
    </row>
    <row r="77" spans="1:17" s="491" customFormat="1" x14ac:dyDescent="0.35">
      <c r="A77" s="490" t="s">
        <v>87</v>
      </c>
      <c r="B77" s="491" t="s">
        <v>88</v>
      </c>
      <c r="C77" s="492">
        <v>0</v>
      </c>
      <c r="D77" s="492">
        <v>0</v>
      </c>
      <c r="E77" s="492">
        <v>0</v>
      </c>
      <c r="F77" s="486"/>
      <c r="G77" s="486"/>
      <c r="H77" s="486"/>
      <c r="I77" s="486"/>
      <c r="J77" s="486"/>
      <c r="K77" s="486"/>
      <c r="L77" s="486"/>
      <c r="M77" s="486"/>
      <c r="N77" s="486"/>
      <c r="O77" s="486"/>
      <c r="P77" s="492">
        <f t="shared" si="1"/>
        <v>0</v>
      </c>
      <c r="Q77" s="486"/>
    </row>
    <row r="78" spans="1:17" s="491" customFormat="1" x14ac:dyDescent="0.35">
      <c r="A78" s="490" t="s">
        <v>89</v>
      </c>
      <c r="B78" s="491" t="s">
        <v>1075</v>
      </c>
      <c r="C78" s="492">
        <v>750000</v>
      </c>
      <c r="D78" s="492">
        <v>750000</v>
      </c>
      <c r="E78" s="492">
        <v>402107</v>
      </c>
      <c r="F78" s="486"/>
      <c r="G78" s="486"/>
      <c r="H78" s="486"/>
      <c r="I78" s="486"/>
      <c r="J78" s="486"/>
      <c r="K78" s="486"/>
      <c r="L78" s="486"/>
      <c r="M78" s="486"/>
      <c r="N78" s="486"/>
      <c r="O78" s="486"/>
      <c r="P78" s="492">
        <f t="shared" si="1"/>
        <v>0</v>
      </c>
      <c r="Q78" s="486"/>
    </row>
    <row r="79" spans="1:17" s="491" customFormat="1" x14ac:dyDescent="0.35">
      <c r="A79" s="490" t="s">
        <v>90</v>
      </c>
      <c r="B79" s="491" t="s">
        <v>1076</v>
      </c>
      <c r="C79" s="492">
        <v>368810</v>
      </c>
      <c r="D79" s="492">
        <v>368810</v>
      </c>
      <c r="E79" s="492">
        <v>116237</v>
      </c>
      <c r="F79" s="486"/>
      <c r="G79" s="486"/>
      <c r="H79" s="486"/>
      <c r="I79" s="486"/>
      <c r="J79" s="486"/>
      <c r="K79" s="486"/>
      <c r="L79" s="486"/>
      <c r="M79" s="486"/>
      <c r="N79" s="486"/>
      <c r="O79" s="486"/>
      <c r="P79" s="492">
        <f t="shared" si="1"/>
        <v>0</v>
      </c>
      <c r="Q79" s="486"/>
    </row>
    <row r="80" spans="1:17" s="491" customFormat="1" x14ac:dyDescent="0.35">
      <c r="A80" s="490" t="s">
        <v>91</v>
      </c>
      <c r="B80" s="491" t="s">
        <v>1077</v>
      </c>
      <c r="C80" s="492">
        <v>59554</v>
      </c>
      <c r="D80" s="492">
        <v>59554</v>
      </c>
      <c r="E80" s="492">
        <v>23265</v>
      </c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92">
        <f t="shared" si="1"/>
        <v>0</v>
      </c>
      <c r="Q80" s="486"/>
    </row>
    <row r="81" spans="1:17" s="491" customFormat="1" x14ac:dyDescent="0.35">
      <c r="A81" s="490" t="s">
        <v>92</v>
      </c>
      <c r="B81" s="491" t="s">
        <v>1078</v>
      </c>
      <c r="C81" s="492">
        <v>25286</v>
      </c>
      <c r="D81" s="492">
        <v>25286</v>
      </c>
      <c r="E81" s="492">
        <v>5892</v>
      </c>
      <c r="F81" s="486"/>
      <c r="G81" s="486"/>
      <c r="H81" s="486"/>
      <c r="I81" s="486"/>
      <c r="J81" s="486"/>
      <c r="K81" s="486"/>
      <c r="L81" s="486"/>
      <c r="M81" s="486"/>
      <c r="N81" s="486"/>
      <c r="O81" s="486"/>
      <c r="P81" s="492">
        <f t="shared" si="1"/>
        <v>0</v>
      </c>
      <c r="Q81" s="486"/>
    </row>
    <row r="82" spans="1:17" s="491" customFormat="1" x14ac:dyDescent="0.35">
      <c r="A82" s="490" t="s">
        <v>93</v>
      </c>
      <c r="B82" s="491" t="s">
        <v>94</v>
      </c>
      <c r="C82" s="492">
        <v>182850</v>
      </c>
      <c r="D82" s="492">
        <v>182850</v>
      </c>
      <c r="E82" s="492">
        <v>76120</v>
      </c>
      <c r="F82" s="486"/>
      <c r="G82" s="486"/>
      <c r="H82" s="486"/>
      <c r="I82" s="486"/>
      <c r="J82" s="486"/>
      <c r="K82" s="486"/>
      <c r="L82" s="486"/>
      <c r="M82" s="486"/>
      <c r="N82" s="486"/>
      <c r="O82" s="486"/>
      <c r="P82" s="492">
        <f t="shared" si="1"/>
        <v>0</v>
      </c>
      <c r="Q82" s="486"/>
    </row>
    <row r="83" spans="1:17" s="491" customFormat="1" x14ac:dyDescent="0.35">
      <c r="A83" s="490" t="s">
        <v>95</v>
      </c>
      <c r="B83" s="491" t="s">
        <v>96</v>
      </c>
      <c r="C83" s="492">
        <v>0</v>
      </c>
      <c r="D83" s="492">
        <v>0</v>
      </c>
      <c r="E83" s="492">
        <v>0</v>
      </c>
      <c r="F83" s="486"/>
      <c r="G83" s="486"/>
      <c r="H83" s="486"/>
      <c r="I83" s="486"/>
      <c r="J83" s="486"/>
      <c r="K83" s="486"/>
      <c r="L83" s="486"/>
      <c r="M83" s="486"/>
      <c r="N83" s="486"/>
      <c r="O83" s="486"/>
      <c r="P83" s="492">
        <f t="shared" si="1"/>
        <v>0</v>
      </c>
      <c r="Q83" s="486"/>
    </row>
    <row r="84" spans="1:17" s="491" customFormat="1" x14ac:dyDescent="0.35">
      <c r="A84" s="490" t="s">
        <v>97</v>
      </c>
      <c r="B84" s="491" t="s">
        <v>1079</v>
      </c>
      <c r="C84" s="492">
        <v>40600</v>
      </c>
      <c r="D84" s="492">
        <v>40600</v>
      </c>
      <c r="E84" s="492">
        <v>29353</v>
      </c>
      <c r="F84" s="486"/>
      <c r="G84" s="486"/>
      <c r="H84" s="486"/>
      <c r="I84" s="486"/>
      <c r="J84" s="486"/>
      <c r="K84" s="486"/>
      <c r="L84" s="486"/>
      <c r="M84" s="486"/>
      <c r="N84" s="486"/>
      <c r="O84" s="486"/>
      <c r="P84" s="492">
        <f t="shared" si="1"/>
        <v>0</v>
      </c>
      <c r="Q84" s="486"/>
    </row>
    <row r="85" spans="1:17" s="491" customFormat="1" x14ac:dyDescent="0.35">
      <c r="A85" s="490" t="s">
        <v>98</v>
      </c>
      <c r="B85" s="491" t="s">
        <v>1080</v>
      </c>
      <c r="C85" s="492">
        <v>104050</v>
      </c>
      <c r="D85" s="492">
        <v>104050</v>
      </c>
      <c r="E85" s="492">
        <v>71532</v>
      </c>
      <c r="F85" s="486"/>
      <c r="G85" s="486"/>
      <c r="H85" s="486"/>
      <c r="I85" s="486"/>
      <c r="J85" s="486"/>
      <c r="K85" s="486"/>
      <c r="L85" s="486"/>
      <c r="M85" s="486"/>
      <c r="N85" s="486"/>
      <c r="O85" s="486"/>
      <c r="P85" s="492">
        <f t="shared" si="1"/>
        <v>0</v>
      </c>
      <c r="Q85" s="486"/>
    </row>
    <row r="86" spans="1:17" s="491" customFormat="1" x14ac:dyDescent="0.35">
      <c r="A86" s="490" t="s">
        <v>99</v>
      </c>
      <c r="B86" s="491" t="s">
        <v>1081</v>
      </c>
      <c r="C86" s="492">
        <v>-40450</v>
      </c>
      <c r="D86" s="492">
        <v>-40450</v>
      </c>
      <c r="E86" s="492">
        <v>0</v>
      </c>
      <c r="F86" s="486"/>
      <c r="G86" s="486"/>
      <c r="H86" s="486"/>
      <c r="I86" s="486"/>
      <c r="J86" s="486"/>
      <c r="K86" s="486"/>
      <c r="L86" s="486"/>
      <c r="M86" s="486"/>
      <c r="N86" s="486"/>
      <c r="O86" s="486"/>
      <c r="P86" s="492">
        <f t="shared" si="1"/>
        <v>0</v>
      </c>
      <c r="Q86" s="486"/>
    </row>
    <row r="87" spans="1:17" s="491" customFormat="1" x14ac:dyDescent="0.35">
      <c r="A87" s="490" t="s">
        <v>100</v>
      </c>
      <c r="B87" s="491" t="s">
        <v>1082</v>
      </c>
      <c r="C87" s="492">
        <v>0</v>
      </c>
      <c r="D87" s="492">
        <v>0</v>
      </c>
      <c r="E87" s="492">
        <v>0</v>
      </c>
      <c r="F87" s="486"/>
      <c r="G87" s="486"/>
      <c r="H87" s="486"/>
      <c r="I87" s="486"/>
      <c r="J87" s="486"/>
      <c r="K87" s="486"/>
      <c r="L87" s="486"/>
      <c r="M87" s="486"/>
      <c r="N87" s="486"/>
      <c r="O87" s="486"/>
      <c r="P87" s="492">
        <f t="shared" si="1"/>
        <v>0</v>
      </c>
      <c r="Q87" s="486"/>
    </row>
    <row r="88" spans="1:17" s="491" customFormat="1" x14ac:dyDescent="0.35">
      <c r="A88" s="490" t="s">
        <v>101</v>
      </c>
      <c r="B88" s="491" t="s">
        <v>1083</v>
      </c>
      <c r="C88" s="492">
        <v>0</v>
      </c>
      <c r="D88" s="492">
        <v>0</v>
      </c>
      <c r="E88" s="492">
        <v>0</v>
      </c>
      <c r="F88" s="486"/>
      <c r="G88" s="486"/>
      <c r="H88" s="486"/>
      <c r="I88" s="486"/>
      <c r="J88" s="486"/>
      <c r="K88" s="486"/>
      <c r="L88" s="486"/>
      <c r="M88" s="486"/>
      <c r="N88" s="486"/>
      <c r="O88" s="486"/>
      <c r="P88" s="492">
        <f t="shared" si="1"/>
        <v>0</v>
      </c>
      <c r="Q88" s="486"/>
    </row>
    <row r="89" spans="1:17" s="491" customFormat="1" x14ac:dyDescent="0.35">
      <c r="A89" s="490" t="s">
        <v>102</v>
      </c>
      <c r="B89" s="491" t="s">
        <v>1084</v>
      </c>
      <c r="C89" s="492">
        <v>0</v>
      </c>
      <c r="D89" s="492">
        <v>0</v>
      </c>
      <c r="E89" s="492">
        <v>0</v>
      </c>
      <c r="F89" s="486"/>
      <c r="G89" s="486"/>
      <c r="H89" s="486"/>
      <c r="I89" s="486"/>
      <c r="J89" s="486"/>
      <c r="K89" s="486"/>
      <c r="L89" s="486"/>
      <c r="M89" s="486"/>
      <c r="N89" s="486"/>
      <c r="O89" s="486"/>
      <c r="P89" s="492">
        <f t="shared" si="1"/>
        <v>0</v>
      </c>
      <c r="Q89" s="486"/>
    </row>
    <row r="90" spans="1:17" s="491" customFormat="1" x14ac:dyDescent="0.35">
      <c r="A90" s="490" t="s">
        <v>816</v>
      </c>
      <c r="B90" s="491" t="s">
        <v>103</v>
      </c>
      <c r="C90" s="492">
        <v>0</v>
      </c>
      <c r="D90" s="492">
        <v>0</v>
      </c>
      <c r="E90" s="492">
        <v>0</v>
      </c>
      <c r="F90" s="486"/>
      <c r="G90" s="486"/>
      <c r="H90" s="486"/>
      <c r="I90" s="486"/>
      <c r="J90" s="486"/>
      <c r="K90" s="486"/>
      <c r="L90" s="486"/>
      <c r="M90" s="486"/>
      <c r="N90" s="486"/>
      <c r="O90" s="486"/>
      <c r="P90" s="492">
        <f t="shared" si="1"/>
        <v>0</v>
      </c>
      <c r="Q90" s="486"/>
    </row>
    <row r="91" spans="1:17" s="491" customFormat="1" x14ac:dyDescent="0.35">
      <c r="A91" s="490" t="s">
        <v>817</v>
      </c>
      <c r="B91" s="491" t="s">
        <v>104</v>
      </c>
      <c r="C91" s="492">
        <v>0</v>
      </c>
      <c r="D91" s="492">
        <v>0</v>
      </c>
      <c r="E91" s="492">
        <v>0</v>
      </c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92">
        <f t="shared" si="1"/>
        <v>0</v>
      </c>
      <c r="Q91" s="486"/>
    </row>
    <row r="92" spans="1:17" s="491" customFormat="1" x14ac:dyDescent="0.35">
      <c r="A92" s="490" t="s">
        <v>1371</v>
      </c>
      <c r="B92" s="491" t="s">
        <v>1372</v>
      </c>
      <c r="C92" s="492">
        <v>0</v>
      </c>
      <c r="D92" s="492">
        <v>0</v>
      </c>
      <c r="E92" s="492">
        <v>0</v>
      </c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92">
        <f t="shared" si="1"/>
        <v>0</v>
      </c>
      <c r="Q92" s="486"/>
    </row>
    <row r="93" spans="1:17" s="491" customFormat="1" x14ac:dyDescent="0.35">
      <c r="A93" s="490" t="s">
        <v>105</v>
      </c>
      <c r="B93" s="491" t="s">
        <v>1085</v>
      </c>
      <c r="C93" s="492">
        <v>572727.27272727271</v>
      </c>
      <c r="D93" s="492">
        <v>210000</v>
      </c>
      <c r="E93" s="492">
        <v>130210</v>
      </c>
      <c r="F93" s="486"/>
      <c r="G93" s="486"/>
      <c r="H93" s="486"/>
      <c r="I93" s="486"/>
      <c r="J93" s="486"/>
      <c r="K93" s="486"/>
      <c r="L93" s="486"/>
      <c r="M93" s="486"/>
      <c r="N93" s="486"/>
      <c r="O93" s="486"/>
      <c r="P93" s="492">
        <f t="shared" si="1"/>
        <v>0</v>
      </c>
      <c r="Q93" s="486"/>
    </row>
    <row r="94" spans="1:17" s="491" customFormat="1" x14ac:dyDescent="0.35">
      <c r="A94" s="490" t="s">
        <v>106</v>
      </c>
      <c r="B94" s="491" t="s">
        <v>1086</v>
      </c>
      <c r="C94" s="492">
        <v>178402.95748613676</v>
      </c>
      <c r="D94" s="492">
        <v>90000</v>
      </c>
      <c r="E94" s="492">
        <v>54741</v>
      </c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92">
        <f t="shared" si="1"/>
        <v>0</v>
      </c>
      <c r="Q94" s="486"/>
    </row>
    <row r="95" spans="1:17" s="491" customFormat="1" x14ac:dyDescent="0.35">
      <c r="A95" s="490" t="s">
        <v>107</v>
      </c>
      <c r="B95" s="491" t="s">
        <v>1087</v>
      </c>
      <c r="C95" s="492">
        <v>0</v>
      </c>
      <c r="D95" s="492">
        <v>0</v>
      </c>
      <c r="E95" s="492">
        <v>0</v>
      </c>
      <c r="F95" s="486"/>
      <c r="G95" s="486"/>
      <c r="H95" s="486"/>
      <c r="I95" s="486"/>
      <c r="J95" s="486"/>
      <c r="K95" s="486"/>
      <c r="L95" s="486"/>
      <c r="M95" s="486"/>
      <c r="N95" s="486"/>
      <c r="O95" s="486"/>
      <c r="P95" s="492">
        <f t="shared" si="1"/>
        <v>0</v>
      </c>
      <c r="Q95" s="486"/>
    </row>
    <row r="96" spans="1:17" s="491" customFormat="1" x14ac:dyDescent="0.35">
      <c r="A96" s="490" t="s">
        <v>108</v>
      </c>
      <c r="B96" s="491" t="s">
        <v>1088</v>
      </c>
      <c r="C96" s="492">
        <v>0</v>
      </c>
      <c r="D96" s="492">
        <v>0</v>
      </c>
      <c r="E96" s="492">
        <v>0</v>
      </c>
      <c r="F96" s="486"/>
      <c r="G96" s="486"/>
      <c r="H96" s="486"/>
      <c r="I96" s="486"/>
      <c r="J96" s="486"/>
      <c r="K96" s="486"/>
      <c r="L96" s="486"/>
      <c r="M96" s="486"/>
      <c r="N96" s="486"/>
      <c r="O96" s="486"/>
      <c r="P96" s="492">
        <f t="shared" si="1"/>
        <v>0</v>
      </c>
      <c r="Q96" s="486"/>
    </row>
    <row r="97" spans="1:17" s="491" customFormat="1" x14ac:dyDescent="0.35">
      <c r="A97" s="490" t="s">
        <v>109</v>
      </c>
      <c r="B97" s="491" t="s">
        <v>1089</v>
      </c>
      <c r="C97" s="492">
        <v>0</v>
      </c>
      <c r="D97" s="492">
        <v>0</v>
      </c>
      <c r="E97" s="492">
        <v>0</v>
      </c>
      <c r="F97" s="486"/>
      <c r="G97" s="486"/>
      <c r="H97" s="486"/>
      <c r="I97" s="486"/>
      <c r="J97" s="486"/>
      <c r="K97" s="486"/>
      <c r="L97" s="486"/>
      <c r="M97" s="486"/>
      <c r="N97" s="486"/>
      <c r="O97" s="486"/>
      <c r="P97" s="492">
        <f t="shared" si="1"/>
        <v>0</v>
      </c>
      <c r="Q97" s="486"/>
    </row>
    <row r="98" spans="1:17" s="491" customFormat="1" x14ac:dyDescent="0.35">
      <c r="A98" s="490" t="s">
        <v>110</v>
      </c>
      <c r="B98" s="491" t="s">
        <v>1090</v>
      </c>
      <c r="C98" s="492">
        <v>0</v>
      </c>
      <c r="D98" s="492">
        <v>0</v>
      </c>
      <c r="E98" s="492">
        <v>0</v>
      </c>
      <c r="F98" s="486"/>
      <c r="G98" s="486"/>
      <c r="H98" s="486"/>
      <c r="I98" s="486"/>
      <c r="J98" s="486"/>
      <c r="K98" s="486"/>
      <c r="L98" s="486"/>
      <c r="M98" s="486"/>
      <c r="N98" s="486"/>
      <c r="O98" s="486"/>
      <c r="P98" s="492">
        <f t="shared" si="1"/>
        <v>0</v>
      </c>
      <c r="Q98" s="486"/>
    </row>
    <row r="99" spans="1:17" s="491" customFormat="1" x14ac:dyDescent="0.35">
      <c r="A99" s="490" t="s">
        <v>111</v>
      </c>
      <c r="B99" s="491" t="s">
        <v>1091</v>
      </c>
      <c r="C99" s="492">
        <v>0</v>
      </c>
      <c r="D99" s="492">
        <v>0</v>
      </c>
      <c r="E99" s="492">
        <v>0</v>
      </c>
      <c r="F99" s="486"/>
      <c r="G99" s="486"/>
      <c r="H99" s="486"/>
      <c r="I99" s="486"/>
      <c r="J99" s="486"/>
      <c r="K99" s="486"/>
      <c r="L99" s="486"/>
      <c r="M99" s="486"/>
      <c r="N99" s="486"/>
      <c r="O99" s="486"/>
      <c r="P99" s="492">
        <f t="shared" si="1"/>
        <v>0</v>
      </c>
      <c r="Q99" s="486"/>
    </row>
    <row r="100" spans="1:17" s="491" customFormat="1" x14ac:dyDescent="0.35">
      <c r="A100" s="490" t="s">
        <v>818</v>
      </c>
      <c r="B100" s="491" t="s">
        <v>819</v>
      </c>
      <c r="C100" s="492">
        <v>0</v>
      </c>
      <c r="D100" s="492">
        <v>0</v>
      </c>
      <c r="E100" s="492">
        <v>0</v>
      </c>
      <c r="F100" s="486"/>
      <c r="G100" s="486"/>
      <c r="H100" s="486"/>
      <c r="I100" s="486"/>
      <c r="J100" s="486"/>
      <c r="K100" s="486"/>
      <c r="L100" s="486"/>
      <c r="M100" s="486"/>
      <c r="N100" s="486"/>
      <c r="O100" s="486"/>
      <c r="P100" s="492">
        <f t="shared" si="1"/>
        <v>0</v>
      </c>
      <c r="Q100" s="486"/>
    </row>
    <row r="101" spans="1:17" s="491" customFormat="1" x14ac:dyDescent="0.35">
      <c r="A101" s="490" t="s">
        <v>820</v>
      </c>
      <c r="B101" s="491" t="s">
        <v>821</v>
      </c>
      <c r="C101" s="492">
        <v>0</v>
      </c>
      <c r="D101" s="492">
        <v>0</v>
      </c>
      <c r="E101" s="492">
        <v>0</v>
      </c>
      <c r="F101" s="486"/>
      <c r="G101" s="486"/>
      <c r="H101" s="486"/>
      <c r="I101" s="486"/>
      <c r="J101" s="486"/>
      <c r="K101" s="486"/>
      <c r="L101" s="486"/>
      <c r="M101" s="486"/>
      <c r="N101" s="486"/>
      <c r="O101" s="486"/>
      <c r="P101" s="492">
        <f t="shared" si="1"/>
        <v>0</v>
      </c>
      <c r="Q101" s="486"/>
    </row>
    <row r="102" spans="1:17" s="491" customFormat="1" x14ac:dyDescent="0.35">
      <c r="A102" s="490" t="s">
        <v>822</v>
      </c>
      <c r="B102" s="491" t="s">
        <v>823</v>
      </c>
      <c r="C102" s="492">
        <v>0</v>
      </c>
      <c r="D102" s="492">
        <v>0</v>
      </c>
      <c r="E102" s="492">
        <v>0</v>
      </c>
      <c r="F102" s="486"/>
      <c r="G102" s="486"/>
      <c r="H102" s="486"/>
      <c r="I102" s="486"/>
      <c r="J102" s="486"/>
      <c r="K102" s="486"/>
      <c r="L102" s="486"/>
      <c r="M102" s="486"/>
      <c r="N102" s="486"/>
      <c r="O102" s="486"/>
      <c r="P102" s="492">
        <f t="shared" si="1"/>
        <v>0</v>
      </c>
      <c r="Q102" s="486"/>
    </row>
    <row r="103" spans="1:17" s="491" customFormat="1" x14ac:dyDescent="0.35">
      <c r="A103" s="490" t="s">
        <v>824</v>
      </c>
      <c r="B103" s="491" t="s">
        <v>825</v>
      </c>
      <c r="C103" s="492">
        <v>0</v>
      </c>
      <c r="D103" s="492">
        <v>0</v>
      </c>
      <c r="E103" s="492">
        <v>0</v>
      </c>
      <c r="F103" s="486"/>
      <c r="G103" s="486"/>
      <c r="H103" s="486"/>
      <c r="I103" s="486"/>
      <c r="J103" s="486"/>
      <c r="K103" s="486"/>
      <c r="L103" s="486"/>
      <c r="M103" s="486"/>
      <c r="N103" s="486"/>
      <c r="O103" s="486"/>
      <c r="P103" s="492">
        <f t="shared" si="1"/>
        <v>0</v>
      </c>
      <c r="Q103" s="486"/>
    </row>
    <row r="104" spans="1:17" s="491" customFormat="1" x14ac:dyDescent="0.35">
      <c r="A104" s="490" t="s">
        <v>826</v>
      </c>
      <c r="B104" s="491" t="s">
        <v>827</v>
      </c>
      <c r="C104" s="492">
        <v>694312.04839522799</v>
      </c>
      <c r="D104" s="492">
        <v>350000</v>
      </c>
      <c r="E104" s="492">
        <v>236000</v>
      </c>
      <c r="F104" s="486"/>
      <c r="G104" s="486"/>
      <c r="H104" s="486"/>
      <c r="I104" s="486"/>
      <c r="J104" s="486"/>
      <c r="K104" s="486"/>
      <c r="L104" s="486"/>
      <c r="M104" s="486"/>
      <c r="N104" s="486"/>
      <c r="O104" s="486"/>
      <c r="P104" s="492">
        <f t="shared" si="1"/>
        <v>0</v>
      </c>
      <c r="Q104" s="486"/>
    </row>
    <row r="105" spans="1:17" s="491" customFormat="1" x14ac:dyDescent="0.35">
      <c r="A105" s="490" t="s">
        <v>828</v>
      </c>
      <c r="B105" s="491" t="s">
        <v>112</v>
      </c>
      <c r="C105" s="492">
        <v>0</v>
      </c>
      <c r="D105" s="492">
        <v>0</v>
      </c>
      <c r="E105" s="492">
        <v>0</v>
      </c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92">
        <f t="shared" si="1"/>
        <v>0</v>
      </c>
      <c r="Q105" s="486"/>
    </row>
    <row r="106" spans="1:17" s="491" customFormat="1" x14ac:dyDescent="0.35">
      <c r="A106" s="490" t="s">
        <v>829</v>
      </c>
      <c r="B106" s="491" t="s">
        <v>830</v>
      </c>
      <c r="C106" s="492">
        <v>0</v>
      </c>
      <c r="D106" s="492">
        <v>0</v>
      </c>
      <c r="E106" s="492">
        <v>0</v>
      </c>
      <c r="F106" s="486"/>
      <c r="G106" s="486"/>
      <c r="H106" s="486"/>
      <c r="I106" s="486"/>
      <c r="J106" s="486"/>
      <c r="K106" s="486"/>
      <c r="L106" s="486"/>
      <c r="M106" s="486"/>
      <c r="N106" s="486"/>
      <c r="O106" s="486"/>
      <c r="P106" s="492">
        <f t="shared" si="1"/>
        <v>0</v>
      </c>
      <c r="Q106" s="486"/>
    </row>
    <row r="107" spans="1:17" s="491" customFormat="1" x14ac:dyDescent="0.35">
      <c r="A107" s="490" t="s">
        <v>1330</v>
      </c>
      <c r="B107" s="491" t="s">
        <v>1335</v>
      </c>
      <c r="C107" s="492">
        <v>0</v>
      </c>
      <c r="D107" s="492">
        <v>0</v>
      </c>
      <c r="E107" s="492">
        <v>0</v>
      </c>
      <c r="F107" s="486"/>
      <c r="G107" s="486"/>
      <c r="H107" s="486"/>
      <c r="I107" s="486"/>
      <c r="J107" s="486"/>
      <c r="K107" s="486"/>
      <c r="L107" s="486"/>
      <c r="M107" s="486"/>
      <c r="N107" s="486"/>
      <c r="O107" s="486"/>
      <c r="P107" s="492">
        <f t="shared" si="1"/>
        <v>0</v>
      </c>
      <c r="Q107" s="486"/>
    </row>
    <row r="108" spans="1:17" s="491" customFormat="1" x14ac:dyDescent="0.35">
      <c r="A108" s="490" t="s">
        <v>128</v>
      </c>
      <c r="B108" s="491" t="s">
        <v>1092</v>
      </c>
      <c r="C108" s="492">
        <v>0</v>
      </c>
      <c r="D108" s="492">
        <v>0</v>
      </c>
      <c r="E108" s="492">
        <v>0</v>
      </c>
      <c r="F108" s="486"/>
      <c r="G108" s="486"/>
      <c r="H108" s="486"/>
      <c r="I108" s="486"/>
      <c r="J108" s="486"/>
      <c r="K108" s="486"/>
      <c r="L108" s="486"/>
      <c r="M108" s="486"/>
      <c r="N108" s="486"/>
      <c r="O108" s="486"/>
      <c r="P108" s="492">
        <f t="shared" si="1"/>
        <v>0</v>
      </c>
      <c r="Q108" s="486"/>
    </row>
    <row r="109" spans="1:17" s="491" customFormat="1" x14ac:dyDescent="0.35">
      <c r="A109" s="490" t="s">
        <v>129</v>
      </c>
      <c r="B109" s="491" t="s">
        <v>1093</v>
      </c>
      <c r="C109" s="492">
        <v>85000</v>
      </c>
      <c r="D109" s="492">
        <v>85000</v>
      </c>
      <c r="E109" s="492">
        <v>69497</v>
      </c>
      <c r="F109" s="486"/>
      <c r="G109" s="486"/>
      <c r="H109" s="486"/>
      <c r="I109" s="486"/>
      <c r="J109" s="486"/>
      <c r="K109" s="486"/>
      <c r="L109" s="486"/>
      <c r="M109" s="486"/>
      <c r="N109" s="486"/>
      <c r="O109" s="486"/>
      <c r="P109" s="492">
        <f t="shared" si="1"/>
        <v>0</v>
      </c>
      <c r="Q109" s="486"/>
    </row>
    <row r="110" spans="1:17" s="491" customFormat="1" x14ac:dyDescent="0.35">
      <c r="A110" s="490" t="s">
        <v>130</v>
      </c>
      <c r="B110" s="491" t="s">
        <v>1094</v>
      </c>
      <c r="C110" s="492">
        <v>0</v>
      </c>
      <c r="D110" s="492">
        <v>0</v>
      </c>
      <c r="E110" s="492">
        <v>0</v>
      </c>
      <c r="F110" s="486"/>
      <c r="G110" s="486"/>
      <c r="H110" s="486"/>
      <c r="I110" s="486"/>
      <c r="J110" s="486"/>
      <c r="K110" s="486"/>
      <c r="L110" s="486"/>
      <c r="M110" s="486"/>
      <c r="N110" s="486"/>
      <c r="O110" s="486"/>
      <c r="P110" s="492">
        <f t="shared" si="1"/>
        <v>0</v>
      </c>
      <c r="Q110" s="486"/>
    </row>
    <row r="111" spans="1:17" s="491" customFormat="1" x14ac:dyDescent="0.35">
      <c r="A111" s="490" t="s">
        <v>131</v>
      </c>
      <c r="B111" s="491" t="s">
        <v>132</v>
      </c>
      <c r="C111" s="492">
        <v>0</v>
      </c>
      <c r="D111" s="492">
        <v>0</v>
      </c>
      <c r="E111" s="492">
        <v>0</v>
      </c>
      <c r="F111" s="486"/>
      <c r="G111" s="486"/>
      <c r="H111" s="486"/>
      <c r="I111" s="486"/>
      <c r="J111" s="486"/>
      <c r="K111" s="486"/>
      <c r="L111" s="486"/>
      <c r="M111" s="486"/>
      <c r="N111" s="486"/>
      <c r="O111" s="486"/>
      <c r="P111" s="492">
        <f t="shared" si="1"/>
        <v>0</v>
      </c>
      <c r="Q111" s="486"/>
    </row>
    <row r="112" spans="1:17" s="491" customFormat="1" x14ac:dyDescent="0.35">
      <c r="A112" s="490" t="s">
        <v>133</v>
      </c>
      <c r="B112" s="491" t="s">
        <v>134</v>
      </c>
      <c r="C112" s="492">
        <v>0</v>
      </c>
      <c r="D112" s="492">
        <v>0</v>
      </c>
      <c r="E112" s="492">
        <v>0</v>
      </c>
      <c r="F112" s="486"/>
      <c r="G112" s="486"/>
      <c r="H112" s="486"/>
      <c r="I112" s="486"/>
      <c r="J112" s="486"/>
      <c r="K112" s="486"/>
      <c r="L112" s="486"/>
      <c r="M112" s="486"/>
      <c r="N112" s="486"/>
      <c r="O112" s="486"/>
      <c r="P112" s="492">
        <f t="shared" si="1"/>
        <v>0</v>
      </c>
      <c r="Q112" s="486"/>
    </row>
    <row r="113" spans="1:17" s="491" customFormat="1" x14ac:dyDescent="0.35">
      <c r="A113" s="490" t="s">
        <v>831</v>
      </c>
      <c r="B113" s="491" t="s">
        <v>832</v>
      </c>
      <c r="C113" s="492">
        <v>0</v>
      </c>
      <c r="D113" s="492">
        <v>0</v>
      </c>
      <c r="E113" s="492">
        <v>0</v>
      </c>
      <c r="F113" s="486"/>
      <c r="G113" s="486"/>
      <c r="H113" s="486"/>
      <c r="I113" s="486"/>
      <c r="J113" s="486"/>
      <c r="K113" s="486"/>
      <c r="L113" s="486"/>
      <c r="M113" s="486"/>
      <c r="N113" s="486"/>
      <c r="O113" s="486"/>
      <c r="P113" s="492">
        <f t="shared" si="1"/>
        <v>0</v>
      </c>
      <c r="Q113" s="486"/>
    </row>
    <row r="114" spans="1:17" s="491" customFormat="1" x14ac:dyDescent="0.35">
      <c r="A114" s="490" t="s">
        <v>833</v>
      </c>
      <c r="B114" s="491" t="s">
        <v>834</v>
      </c>
      <c r="C114" s="492">
        <v>52000</v>
      </c>
      <c r="D114" s="492">
        <v>52000</v>
      </c>
      <c r="E114" s="492">
        <v>6353</v>
      </c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92">
        <f t="shared" si="1"/>
        <v>0</v>
      </c>
      <c r="Q114" s="486"/>
    </row>
    <row r="115" spans="1:17" s="491" customFormat="1" x14ac:dyDescent="0.35">
      <c r="A115" s="490" t="s">
        <v>835</v>
      </c>
      <c r="B115" s="491" t="s">
        <v>836</v>
      </c>
      <c r="C115" s="492">
        <v>0</v>
      </c>
      <c r="D115" s="492">
        <v>0</v>
      </c>
      <c r="E115" s="492">
        <v>0</v>
      </c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92">
        <f t="shared" si="1"/>
        <v>0</v>
      </c>
      <c r="Q115" s="486"/>
    </row>
    <row r="116" spans="1:17" s="491" customFormat="1" x14ac:dyDescent="0.35">
      <c r="A116" s="490" t="s">
        <v>837</v>
      </c>
      <c r="B116" s="491" t="s">
        <v>838</v>
      </c>
      <c r="C116" s="492">
        <v>0</v>
      </c>
      <c r="D116" s="492">
        <v>0</v>
      </c>
      <c r="E116" s="492">
        <v>377430.74</v>
      </c>
      <c r="F116" s="486"/>
      <c r="G116" s="486"/>
      <c r="H116" s="486"/>
      <c r="I116" s="486"/>
      <c r="J116" s="486"/>
      <c r="K116" s="486"/>
      <c r="L116" s="486"/>
      <c r="M116" s="486"/>
      <c r="N116" s="486"/>
      <c r="O116" s="486"/>
      <c r="P116" s="492">
        <f t="shared" si="1"/>
        <v>0</v>
      </c>
      <c r="Q116" s="486"/>
    </row>
    <row r="117" spans="1:17" s="491" customFormat="1" x14ac:dyDescent="0.35">
      <c r="A117" s="490" t="s">
        <v>157</v>
      </c>
      <c r="B117" s="491" t="s">
        <v>158</v>
      </c>
      <c r="C117" s="492">
        <v>0</v>
      </c>
      <c r="D117" s="492">
        <v>0</v>
      </c>
      <c r="E117" s="492">
        <v>0</v>
      </c>
      <c r="F117" s="486"/>
      <c r="G117" s="486"/>
      <c r="H117" s="486"/>
      <c r="I117" s="486"/>
      <c r="J117" s="486"/>
      <c r="K117" s="486"/>
      <c r="L117" s="486"/>
      <c r="M117" s="486"/>
      <c r="N117" s="486"/>
      <c r="O117" s="486"/>
      <c r="P117" s="492">
        <f t="shared" si="1"/>
        <v>0</v>
      </c>
      <c r="Q117" s="486"/>
    </row>
    <row r="118" spans="1:17" s="491" customFormat="1" x14ac:dyDescent="0.35">
      <c r="A118" s="490" t="s">
        <v>159</v>
      </c>
      <c r="B118" s="491" t="s">
        <v>1095</v>
      </c>
      <c r="C118" s="492">
        <v>0</v>
      </c>
      <c r="D118" s="492">
        <v>0</v>
      </c>
      <c r="E118" s="492">
        <v>0</v>
      </c>
      <c r="F118" s="486"/>
      <c r="G118" s="486"/>
      <c r="H118" s="486"/>
      <c r="I118" s="486"/>
      <c r="J118" s="486"/>
      <c r="K118" s="486"/>
      <c r="L118" s="486"/>
      <c r="M118" s="486"/>
      <c r="N118" s="486"/>
      <c r="O118" s="486"/>
      <c r="P118" s="492">
        <f t="shared" si="1"/>
        <v>0</v>
      </c>
      <c r="Q118" s="486"/>
    </row>
    <row r="119" spans="1:17" s="491" customFormat="1" x14ac:dyDescent="0.35">
      <c r="A119" s="490" t="s">
        <v>160</v>
      </c>
      <c r="B119" s="491" t="s">
        <v>1096</v>
      </c>
      <c r="C119" s="492">
        <v>0</v>
      </c>
      <c r="D119" s="492">
        <v>0</v>
      </c>
      <c r="E119" s="492">
        <v>0</v>
      </c>
      <c r="F119" s="486"/>
      <c r="G119" s="486"/>
      <c r="H119" s="486"/>
      <c r="I119" s="486"/>
      <c r="J119" s="486"/>
      <c r="K119" s="486"/>
      <c r="L119" s="486"/>
      <c r="M119" s="486"/>
      <c r="N119" s="486"/>
      <c r="O119" s="486"/>
      <c r="P119" s="492">
        <f t="shared" si="1"/>
        <v>0</v>
      </c>
      <c r="Q119" s="486"/>
    </row>
    <row r="120" spans="1:17" s="491" customFormat="1" x14ac:dyDescent="0.35">
      <c r="A120" s="490" t="s">
        <v>161</v>
      </c>
      <c r="B120" s="491" t="s">
        <v>162</v>
      </c>
      <c r="C120" s="492">
        <v>0</v>
      </c>
      <c r="D120" s="492">
        <v>0</v>
      </c>
      <c r="E120" s="492">
        <v>166350</v>
      </c>
      <c r="F120" s="486"/>
      <c r="G120" s="486"/>
      <c r="H120" s="486"/>
      <c r="I120" s="486"/>
      <c r="J120" s="486"/>
      <c r="K120" s="486"/>
      <c r="L120" s="486"/>
      <c r="M120" s="486"/>
      <c r="N120" s="486"/>
      <c r="O120" s="486"/>
      <c r="P120" s="492">
        <f t="shared" si="1"/>
        <v>0</v>
      </c>
      <c r="Q120" s="486"/>
    </row>
    <row r="121" spans="1:17" s="491" customFormat="1" x14ac:dyDescent="0.35">
      <c r="A121" s="490" t="s">
        <v>163</v>
      </c>
      <c r="B121" s="491" t="s">
        <v>164</v>
      </c>
      <c r="C121" s="492">
        <v>0</v>
      </c>
      <c r="D121" s="492">
        <v>0</v>
      </c>
      <c r="E121" s="492">
        <v>0</v>
      </c>
      <c r="F121" s="486"/>
      <c r="G121" s="486"/>
      <c r="H121" s="486"/>
      <c r="I121" s="486"/>
      <c r="J121" s="486"/>
      <c r="K121" s="486"/>
      <c r="L121" s="486"/>
      <c r="M121" s="486"/>
      <c r="N121" s="486"/>
      <c r="O121" s="486"/>
      <c r="P121" s="492">
        <f t="shared" si="1"/>
        <v>0</v>
      </c>
      <c r="Q121" s="486"/>
    </row>
    <row r="122" spans="1:17" s="491" customFormat="1" x14ac:dyDescent="0.35">
      <c r="A122" s="490" t="s">
        <v>165</v>
      </c>
      <c r="B122" s="491" t="s">
        <v>166</v>
      </c>
      <c r="C122" s="492">
        <v>0</v>
      </c>
      <c r="D122" s="492">
        <v>0</v>
      </c>
      <c r="E122" s="492">
        <v>0</v>
      </c>
      <c r="F122" s="486"/>
      <c r="G122" s="486"/>
      <c r="H122" s="486"/>
      <c r="I122" s="486"/>
      <c r="J122" s="486"/>
      <c r="K122" s="486"/>
      <c r="L122" s="486"/>
      <c r="M122" s="486"/>
      <c r="N122" s="486"/>
      <c r="O122" s="486"/>
      <c r="P122" s="492">
        <f t="shared" si="1"/>
        <v>0</v>
      </c>
      <c r="Q122" s="486"/>
    </row>
    <row r="123" spans="1:17" s="491" customFormat="1" x14ac:dyDescent="0.35">
      <c r="A123" s="490" t="s">
        <v>167</v>
      </c>
      <c r="B123" s="491" t="s">
        <v>168</v>
      </c>
      <c r="C123" s="492">
        <v>0</v>
      </c>
      <c r="D123" s="492">
        <v>0</v>
      </c>
      <c r="E123" s="492">
        <v>0</v>
      </c>
      <c r="F123" s="486"/>
      <c r="G123" s="486"/>
      <c r="H123" s="486"/>
      <c r="I123" s="486"/>
      <c r="J123" s="486"/>
      <c r="K123" s="486"/>
      <c r="L123" s="486"/>
      <c r="M123" s="486"/>
      <c r="N123" s="486"/>
      <c r="O123" s="486"/>
      <c r="P123" s="492">
        <f t="shared" si="1"/>
        <v>0</v>
      </c>
      <c r="Q123" s="486"/>
    </row>
    <row r="124" spans="1:17" s="491" customFormat="1" x14ac:dyDescent="0.35">
      <c r="A124" s="490" t="s">
        <v>169</v>
      </c>
      <c r="B124" s="491" t="s">
        <v>1097</v>
      </c>
      <c r="C124" s="492">
        <v>11200</v>
      </c>
      <c r="D124" s="492">
        <v>11200</v>
      </c>
      <c r="E124" s="492">
        <v>13260</v>
      </c>
      <c r="F124" s="486"/>
      <c r="G124" s="486"/>
      <c r="H124" s="486"/>
      <c r="I124" s="486"/>
      <c r="J124" s="486"/>
      <c r="K124" s="486"/>
      <c r="L124" s="486"/>
      <c r="M124" s="486"/>
      <c r="N124" s="486"/>
      <c r="O124" s="486"/>
      <c r="P124" s="492">
        <f t="shared" si="1"/>
        <v>0</v>
      </c>
      <c r="Q124" s="486"/>
    </row>
    <row r="125" spans="1:17" s="491" customFormat="1" x14ac:dyDescent="0.35">
      <c r="A125" s="490" t="s">
        <v>839</v>
      </c>
      <c r="B125" s="491" t="s">
        <v>840</v>
      </c>
      <c r="C125" s="492">
        <v>1989600</v>
      </c>
      <c r="D125" s="492">
        <v>1989600</v>
      </c>
      <c r="E125" s="492">
        <v>2062848</v>
      </c>
      <c r="F125" s="486"/>
      <c r="G125" s="486"/>
      <c r="H125" s="486"/>
      <c r="I125" s="486"/>
      <c r="J125" s="486"/>
      <c r="K125" s="486"/>
      <c r="L125" s="486"/>
      <c r="M125" s="486"/>
      <c r="N125" s="486"/>
      <c r="O125" s="486"/>
      <c r="P125" s="492">
        <f t="shared" si="1"/>
        <v>0</v>
      </c>
      <c r="Q125" s="486"/>
    </row>
    <row r="126" spans="1:17" s="491" customFormat="1" x14ac:dyDescent="0.35">
      <c r="A126" s="490" t="s">
        <v>841</v>
      </c>
      <c r="B126" s="491" t="s">
        <v>842</v>
      </c>
      <c r="C126" s="492">
        <v>0</v>
      </c>
      <c r="D126" s="492">
        <v>0</v>
      </c>
      <c r="E126" s="492">
        <v>0</v>
      </c>
      <c r="F126" s="486"/>
      <c r="G126" s="486"/>
      <c r="H126" s="486"/>
      <c r="I126" s="486"/>
      <c r="J126" s="486"/>
      <c r="K126" s="486"/>
      <c r="L126" s="486"/>
      <c r="M126" s="486"/>
      <c r="N126" s="486"/>
      <c r="O126" s="486"/>
      <c r="P126" s="492">
        <f t="shared" si="1"/>
        <v>0</v>
      </c>
      <c r="Q126" s="486"/>
    </row>
    <row r="127" spans="1:17" s="491" customFormat="1" x14ac:dyDescent="0.35">
      <c r="A127" s="490" t="s">
        <v>170</v>
      </c>
      <c r="B127" s="491" t="s">
        <v>1098</v>
      </c>
      <c r="C127" s="492">
        <v>73335.53</v>
      </c>
      <c r="D127" s="492">
        <v>73335.53</v>
      </c>
      <c r="E127" s="492">
        <v>13750.05</v>
      </c>
      <c r="F127" s="486"/>
      <c r="G127" s="486"/>
      <c r="H127" s="486"/>
      <c r="I127" s="486"/>
      <c r="J127" s="486"/>
      <c r="K127" s="486"/>
      <c r="L127" s="486"/>
      <c r="M127" s="486"/>
      <c r="N127" s="486"/>
      <c r="O127" s="486"/>
      <c r="P127" s="492">
        <f t="shared" si="1"/>
        <v>0</v>
      </c>
      <c r="Q127" s="486"/>
    </row>
    <row r="128" spans="1:17" s="491" customFormat="1" x14ac:dyDescent="0.35">
      <c r="A128" s="490" t="s">
        <v>171</v>
      </c>
      <c r="B128" s="491" t="s">
        <v>172</v>
      </c>
      <c r="C128" s="492">
        <v>0</v>
      </c>
      <c r="D128" s="492">
        <v>0</v>
      </c>
      <c r="E128" s="492">
        <v>0</v>
      </c>
      <c r="F128" s="486"/>
      <c r="G128" s="486"/>
      <c r="H128" s="486"/>
      <c r="I128" s="486"/>
      <c r="J128" s="486"/>
      <c r="K128" s="486"/>
      <c r="L128" s="486"/>
      <c r="M128" s="486"/>
      <c r="N128" s="486"/>
      <c r="O128" s="486"/>
      <c r="P128" s="492">
        <f t="shared" si="1"/>
        <v>0</v>
      </c>
      <c r="Q128" s="486"/>
    </row>
    <row r="129" spans="1:17" s="491" customFormat="1" x14ac:dyDescent="0.35">
      <c r="A129" s="490" t="s">
        <v>173</v>
      </c>
      <c r="B129" s="491" t="s">
        <v>174</v>
      </c>
      <c r="C129" s="492">
        <v>29300</v>
      </c>
      <c r="D129" s="492">
        <v>29300</v>
      </c>
      <c r="E129" s="492">
        <v>0</v>
      </c>
      <c r="F129" s="486"/>
      <c r="G129" s="486"/>
      <c r="H129" s="486"/>
      <c r="I129" s="486"/>
      <c r="J129" s="486"/>
      <c r="K129" s="486"/>
      <c r="L129" s="486"/>
      <c r="M129" s="486"/>
      <c r="N129" s="486"/>
      <c r="O129" s="486"/>
      <c r="P129" s="492">
        <f t="shared" si="1"/>
        <v>0</v>
      </c>
      <c r="Q129" s="486"/>
    </row>
    <row r="130" spans="1:17" s="491" customFormat="1" x14ac:dyDescent="0.35">
      <c r="A130" s="490" t="s">
        <v>843</v>
      </c>
      <c r="B130" s="491" t="s">
        <v>844</v>
      </c>
      <c r="C130" s="492">
        <v>0</v>
      </c>
      <c r="D130" s="492">
        <v>0</v>
      </c>
      <c r="E130" s="492">
        <v>0</v>
      </c>
      <c r="F130" s="486"/>
      <c r="G130" s="486"/>
      <c r="H130" s="486"/>
      <c r="I130" s="486"/>
      <c r="J130" s="486"/>
      <c r="K130" s="486"/>
      <c r="L130" s="486"/>
      <c r="M130" s="486"/>
      <c r="N130" s="486"/>
      <c r="O130" s="486"/>
      <c r="P130" s="492">
        <f t="shared" si="1"/>
        <v>0</v>
      </c>
      <c r="Q130" s="486"/>
    </row>
    <row r="131" spans="1:17" s="491" customFormat="1" x14ac:dyDescent="0.35">
      <c r="A131" s="490" t="s">
        <v>139</v>
      </c>
      <c r="B131" s="491" t="s">
        <v>1099</v>
      </c>
      <c r="C131" s="492">
        <v>28378920</v>
      </c>
      <c r="D131" s="492">
        <v>28378920</v>
      </c>
      <c r="E131" s="492">
        <v>13901538.07</v>
      </c>
      <c r="F131" s="486"/>
      <c r="G131" s="486"/>
      <c r="H131" s="486"/>
      <c r="I131" s="486"/>
      <c r="J131" s="486"/>
      <c r="K131" s="486"/>
      <c r="L131" s="486"/>
      <c r="M131" s="486"/>
      <c r="N131" s="486"/>
      <c r="O131" s="486"/>
      <c r="P131" s="492">
        <f t="shared" ref="P131:P194" si="2">SUM(F131:N131)</f>
        <v>0</v>
      </c>
      <c r="Q131" s="486"/>
    </row>
    <row r="132" spans="1:17" s="491" customFormat="1" x14ac:dyDescent="0.35">
      <c r="A132" s="490" t="s">
        <v>212</v>
      </c>
      <c r="B132" s="491" t="s">
        <v>1100</v>
      </c>
      <c r="C132" s="492">
        <v>0</v>
      </c>
      <c r="D132" s="492">
        <v>0</v>
      </c>
      <c r="E132" s="492">
        <v>0</v>
      </c>
      <c r="F132" s="486"/>
      <c r="G132" s="486"/>
      <c r="H132" s="486"/>
      <c r="I132" s="486"/>
      <c r="J132" s="486"/>
      <c r="K132" s="486"/>
      <c r="L132" s="486"/>
      <c r="M132" s="486"/>
      <c r="N132" s="486"/>
      <c r="O132" s="486"/>
      <c r="P132" s="492">
        <f t="shared" si="2"/>
        <v>0</v>
      </c>
      <c r="Q132" s="486"/>
    </row>
    <row r="133" spans="1:17" s="491" customFormat="1" x14ac:dyDescent="0.35">
      <c r="A133" s="490" t="s">
        <v>175</v>
      </c>
      <c r="B133" s="491" t="s">
        <v>1101</v>
      </c>
      <c r="C133" s="492">
        <v>0</v>
      </c>
      <c r="D133" s="492">
        <v>0</v>
      </c>
      <c r="E133" s="492">
        <v>0</v>
      </c>
      <c r="F133" s="486"/>
      <c r="G133" s="486"/>
      <c r="H133" s="486"/>
      <c r="I133" s="486"/>
      <c r="J133" s="486"/>
      <c r="K133" s="486"/>
      <c r="L133" s="486"/>
      <c r="M133" s="486"/>
      <c r="N133" s="486"/>
      <c r="O133" s="486"/>
      <c r="P133" s="492">
        <f t="shared" si="2"/>
        <v>0</v>
      </c>
      <c r="Q133" s="486"/>
    </row>
    <row r="134" spans="1:17" s="491" customFormat="1" x14ac:dyDescent="0.35">
      <c r="A134" s="490" t="s">
        <v>176</v>
      </c>
      <c r="B134" s="491" t="s">
        <v>1102</v>
      </c>
      <c r="C134" s="492">
        <v>0</v>
      </c>
      <c r="D134" s="492">
        <v>0</v>
      </c>
      <c r="E134" s="492">
        <v>0</v>
      </c>
      <c r="F134" s="486"/>
      <c r="G134" s="486"/>
      <c r="H134" s="486"/>
      <c r="I134" s="486"/>
      <c r="J134" s="486"/>
      <c r="K134" s="486"/>
      <c r="L134" s="486"/>
      <c r="M134" s="486"/>
      <c r="N134" s="486"/>
      <c r="O134" s="486"/>
      <c r="P134" s="492">
        <f t="shared" si="2"/>
        <v>0</v>
      </c>
      <c r="Q134" s="486"/>
    </row>
    <row r="135" spans="1:17" s="491" customFormat="1" x14ac:dyDescent="0.35">
      <c r="A135" s="490" t="s">
        <v>177</v>
      </c>
      <c r="B135" s="491" t="s">
        <v>1103</v>
      </c>
      <c r="C135" s="492">
        <v>0</v>
      </c>
      <c r="D135" s="492">
        <v>0</v>
      </c>
      <c r="E135" s="492">
        <v>0</v>
      </c>
      <c r="F135" s="486"/>
      <c r="G135" s="486"/>
      <c r="H135" s="486"/>
      <c r="I135" s="486"/>
      <c r="J135" s="486"/>
      <c r="K135" s="486"/>
      <c r="L135" s="486"/>
      <c r="M135" s="486"/>
      <c r="N135" s="486"/>
      <c r="O135" s="486"/>
      <c r="P135" s="492">
        <f t="shared" si="2"/>
        <v>0</v>
      </c>
      <c r="Q135" s="486"/>
    </row>
    <row r="136" spans="1:17" s="491" customFormat="1" x14ac:dyDescent="0.35">
      <c r="A136" s="490" t="s">
        <v>178</v>
      </c>
      <c r="B136" s="491" t="s">
        <v>1104</v>
      </c>
      <c r="C136" s="492">
        <v>849718.51</v>
      </c>
      <c r="D136" s="492">
        <v>849718.51</v>
      </c>
      <c r="E136" s="492">
        <v>497490.67</v>
      </c>
      <c r="F136" s="486"/>
      <c r="G136" s="486"/>
      <c r="H136" s="486"/>
      <c r="I136" s="486"/>
      <c r="J136" s="486"/>
      <c r="K136" s="486"/>
      <c r="L136" s="486"/>
      <c r="M136" s="486"/>
      <c r="N136" s="486"/>
      <c r="O136" s="486"/>
      <c r="P136" s="492">
        <f t="shared" si="2"/>
        <v>0</v>
      </c>
      <c r="Q136" s="486"/>
    </row>
    <row r="137" spans="1:17" s="491" customFormat="1" x14ac:dyDescent="0.35">
      <c r="A137" s="490" t="s">
        <v>179</v>
      </c>
      <c r="B137" s="491" t="s">
        <v>1105</v>
      </c>
      <c r="C137" s="492">
        <v>0</v>
      </c>
      <c r="D137" s="492">
        <v>0</v>
      </c>
      <c r="E137" s="492">
        <v>0</v>
      </c>
      <c r="F137" s="486"/>
      <c r="G137" s="486"/>
      <c r="H137" s="486"/>
      <c r="I137" s="486"/>
      <c r="J137" s="486"/>
      <c r="K137" s="486"/>
      <c r="L137" s="486"/>
      <c r="M137" s="486"/>
      <c r="N137" s="486"/>
      <c r="O137" s="486"/>
      <c r="P137" s="492">
        <f t="shared" si="2"/>
        <v>0</v>
      </c>
      <c r="Q137" s="486"/>
    </row>
    <row r="138" spans="1:17" s="491" customFormat="1" x14ac:dyDescent="0.35">
      <c r="A138" s="490" t="s">
        <v>845</v>
      </c>
      <c r="B138" s="491" t="s">
        <v>846</v>
      </c>
      <c r="C138" s="492">
        <v>0</v>
      </c>
      <c r="D138" s="492">
        <v>0</v>
      </c>
      <c r="E138" s="492">
        <v>0</v>
      </c>
      <c r="F138" s="486"/>
      <c r="G138" s="486"/>
      <c r="H138" s="486"/>
      <c r="I138" s="486"/>
      <c r="J138" s="486"/>
      <c r="K138" s="486"/>
      <c r="L138" s="486"/>
      <c r="M138" s="486"/>
      <c r="N138" s="486"/>
      <c r="O138" s="486"/>
      <c r="P138" s="492">
        <f t="shared" si="2"/>
        <v>0</v>
      </c>
      <c r="Q138" s="486"/>
    </row>
    <row r="139" spans="1:17" s="491" customFormat="1" x14ac:dyDescent="0.35">
      <c r="A139" s="490" t="s">
        <v>847</v>
      </c>
      <c r="B139" s="491" t="s">
        <v>848</v>
      </c>
      <c r="C139" s="492">
        <v>0</v>
      </c>
      <c r="D139" s="492">
        <v>0</v>
      </c>
      <c r="E139" s="492">
        <v>0</v>
      </c>
      <c r="F139" s="486"/>
      <c r="G139" s="486"/>
      <c r="H139" s="486"/>
      <c r="I139" s="486"/>
      <c r="J139" s="486"/>
      <c r="K139" s="486"/>
      <c r="L139" s="486"/>
      <c r="M139" s="486"/>
      <c r="N139" s="486"/>
      <c r="O139" s="486"/>
      <c r="P139" s="492">
        <f t="shared" si="2"/>
        <v>0</v>
      </c>
      <c r="Q139" s="486"/>
    </row>
    <row r="140" spans="1:17" s="491" customFormat="1" x14ac:dyDescent="0.35">
      <c r="A140" s="490" t="s">
        <v>849</v>
      </c>
      <c r="B140" s="491" t="s">
        <v>850</v>
      </c>
      <c r="C140" s="492">
        <v>0</v>
      </c>
      <c r="D140" s="492">
        <v>0</v>
      </c>
      <c r="E140" s="492">
        <v>0</v>
      </c>
      <c r="F140" s="486"/>
      <c r="G140" s="486"/>
      <c r="H140" s="486"/>
      <c r="I140" s="486"/>
      <c r="J140" s="486"/>
      <c r="K140" s="486"/>
      <c r="L140" s="486"/>
      <c r="M140" s="486"/>
      <c r="N140" s="486"/>
      <c r="O140" s="486"/>
      <c r="P140" s="492">
        <f t="shared" si="2"/>
        <v>0</v>
      </c>
      <c r="Q140" s="486"/>
    </row>
    <row r="141" spans="1:17" s="491" customFormat="1" x14ac:dyDescent="0.35">
      <c r="A141" s="490" t="s">
        <v>180</v>
      </c>
      <c r="B141" s="491" t="s">
        <v>1106</v>
      </c>
      <c r="C141" s="492">
        <v>0</v>
      </c>
      <c r="D141" s="492">
        <v>0</v>
      </c>
      <c r="E141" s="492">
        <v>0</v>
      </c>
      <c r="F141" s="486"/>
      <c r="G141" s="486"/>
      <c r="H141" s="486"/>
      <c r="I141" s="486"/>
      <c r="J141" s="486"/>
      <c r="K141" s="486"/>
      <c r="L141" s="486"/>
      <c r="M141" s="486"/>
      <c r="N141" s="486"/>
      <c r="O141" s="486"/>
      <c r="P141" s="492">
        <f t="shared" si="2"/>
        <v>0</v>
      </c>
      <c r="Q141" s="486"/>
    </row>
    <row r="142" spans="1:17" s="491" customFormat="1" x14ac:dyDescent="0.35">
      <c r="A142" s="490" t="s">
        <v>851</v>
      </c>
      <c r="B142" s="491" t="s">
        <v>852</v>
      </c>
      <c r="C142" s="492">
        <v>0</v>
      </c>
      <c r="D142" s="492">
        <v>0</v>
      </c>
      <c r="E142" s="492">
        <v>0</v>
      </c>
      <c r="F142" s="486"/>
      <c r="G142" s="486"/>
      <c r="H142" s="486"/>
      <c r="I142" s="486"/>
      <c r="J142" s="486"/>
      <c r="K142" s="486"/>
      <c r="L142" s="486"/>
      <c r="M142" s="486"/>
      <c r="N142" s="486"/>
      <c r="O142" s="486"/>
      <c r="P142" s="492">
        <f t="shared" si="2"/>
        <v>0</v>
      </c>
      <c r="Q142" s="486"/>
    </row>
    <row r="143" spans="1:17" s="491" customFormat="1" x14ac:dyDescent="0.35">
      <c r="A143" s="490" t="s">
        <v>181</v>
      </c>
      <c r="B143" s="491" t="s">
        <v>1107</v>
      </c>
      <c r="C143" s="492">
        <v>0</v>
      </c>
      <c r="D143" s="492">
        <v>0</v>
      </c>
      <c r="E143" s="492">
        <v>0</v>
      </c>
      <c r="F143" s="486"/>
      <c r="G143" s="486"/>
      <c r="H143" s="486"/>
      <c r="I143" s="486"/>
      <c r="J143" s="486"/>
      <c r="K143" s="486"/>
      <c r="L143" s="486"/>
      <c r="M143" s="486"/>
      <c r="N143" s="486"/>
      <c r="O143" s="486"/>
      <c r="P143" s="492">
        <f t="shared" si="2"/>
        <v>0</v>
      </c>
      <c r="Q143" s="486"/>
    </row>
    <row r="144" spans="1:17" s="491" customFormat="1" x14ac:dyDescent="0.35">
      <c r="A144" s="490" t="s">
        <v>182</v>
      </c>
      <c r="B144" s="491" t="s">
        <v>183</v>
      </c>
      <c r="C144" s="492">
        <v>75000</v>
      </c>
      <c r="D144" s="492">
        <v>75000</v>
      </c>
      <c r="E144" s="492">
        <v>9214</v>
      </c>
      <c r="F144" s="486"/>
      <c r="G144" s="486"/>
      <c r="H144" s="486"/>
      <c r="I144" s="486"/>
      <c r="J144" s="486"/>
      <c r="K144" s="486"/>
      <c r="L144" s="486"/>
      <c r="M144" s="486"/>
      <c r="N144" s="486"/>
      <c r="O144" s="486"/>
      <c r="P144" s="492">
        <f t="shared" si="2"/>
        <v>0</v>
      </c>
      <c r="Q144" s="486"/>
    </row>
    <row r="145" spans="1:17" s="491" customFormat="1" x14ac:dyDescent="0.35">
      <c r="A145" s="490" t="s">
        <v>184</v>
      </c>
      <c r="B145" s="491" t="s">
        <v>185</v>
      </c>
      <c r="C145" s="492">
        <v>0</v>
      </c>
      <c r="D145" s="492">
        <v>0</v>
      </c>
      <c r="E145" s="492">
        <v>7200</v>
      </c>
      <c r="F145" s="486"/>
      <c r="G145" s="486"/>
      <c r="H145" s="486"/>
      <c r="I145" s="486"/>
      <c r="J145" s="486"/>
      <c r="K145" s="486"/>
      <c r="L145" s="486"/>
      <c r="M145" s="486"/>
      <c r="N145" s="486"/>
      <c r="O145" s="486"/>
      <c r="P145" s="492">
        <f t="shared" si="2"/>
        <v>0</v>
      </c>
      <c r="Q145" s="486"/>
    </row>
    <row r="146" spans="1:17" s="491" customFormat="1" x14ac:dyDescent="0.35">
      <c r="A146" s="490" t="s">
        <v>135</v>
      </c>
      <c r="B146" s="491" t="s">
        <v>136</v>
      </c>
      <c r="C146" s="492">
        <v>0</v>
      </c>
      <c r="D146" s="492">
        <v>0</v>
      </c>
      <c r="E146" s="492">
        <v>0</v>
      </c>
      <c r="F146" s="486"/>
      <c r="G146" s="486"/>
      <c r="H146" s="486"/>
      <c r="I146" s="486"/>
      <c r="J146" s="486"/>
      <c r="K146" s="486"/>
      <c r="L146" s="486"/>
      <c r="M146" s="486"/>
      <c r="N146" s="486"/>
      <c r="O146" s="486"/>
      <c r="P146" s="492">
        <f t="shared" si="2"/>
        <v>0</v>
      </c>
      <c r="Q146" s="486"/>
    </row>
    <row r="147" spans="1:17" s="491" customFormat="1" x14ac:dyDescent="0.35">
      <c r="A147" s="490" t="s">
        <v>137</v>
      </c>
      <c r="B147" s="491" t="s">
        <v>138</v>
      </c>
      <c r="C147" s="492">
        <v>0</v>
      </c>
      <c r="D147" s="492">
        <v>0</v>
      </c>
      <c r="E147" s="492">
        <v>0</v>
      </c>
      <c r="F147" s="486"/>
      <c r="G147" s="486"/>
      <c r="H147" s="486"/>
      <c r="I147" s="486"/>
      <c r="J147" s="486"/>
      <c r="K147" s="486"/>
      <c r="L147" s="486"/>
      <c r="M147" s="486"/>
      <c r="N147" s="486"/>
      <c r="O147" s="486"/>
      <c r="P147" s="492">
        <f t="shared" si="2"/>
        <v>0</v>
      </c>
      <c r="Q147" s="486"/>
    </row>
    <row r="148" spans="1:17" s="491" customFormat="1" x14ac:dyDescent="0.35">
      <c r="A148" s="490" t="s">
        <v>186</v>
      </c>
      <c r="B148" s="491" t="s">
        <v>187</v>
      </c>
      <c r="C148" s="492">
        <v>0</v>
      </c>
      <c r="D148" s="492">
        <v>0</v>
      </c>
      <c r="E148" s="492">
        <v>0</v>
      </c>
      <c r="F148" s="486"/>
      <c r="G148" s="486"/>
      <c r="H148" s="486"/>
      <c r="I148" s="486"/>
      <c r="J148" s="486"/>
      <c r="K148" s="486"/>
      <c r="L148" s="486"/>
      <c r="M148" s="486"/>
      <c r="N148" s="486"/>
      <c r="O148" s="486"/>
      <c r="P148" s="492">
        <f t="shared" si="2"/>
        <v>0</v>
      </c>
      <c r="Q148" s="486"/>
    </row>
    <row r="149" spans="1:17" s="491" customFormat="1" x14ac:dyDescent="0.35">
      <c r="A149" s="490" t="s">
        <v>188</v>
      </c>
      <c r="B149" s="491" t="s">
        <v>189</v>
      </c>
      <c r="C149" s="492">
        <v>0</v>
      </c>
      <c r="D149" s="492">
        <v>0</v>
      </c>
      <c r="E149" s="492">
        <v>0</v>
      </c>
      <c r="F149" s="486"/>
      <c r="G149" s="486"/>
      <c r="H149" s="486"/>
      <c r="I149" s="486"/>
      <c r="J149" s="486"/>
      <c r="K149" s="486"/>
      <c r="L149" s="486"/>
      <c r="M149" s="486"/>
      <c r="N149" s="486"/>
      <c r="O149" s="486"/>
      <c r="P149" s="492">
        <f t="shared" si="2"/>
        <v>0</v>
      </c>
      <c r="Q149" s="486"/>
    </row>
    <row r="150" spans="1:17" s="491" customFormat="1" x14ac:dyDescent="0.35">
      <c r="A150" s="490" t="s">
        <v>190</v>
      </c>
      <c r="B150" s="491" t="s">
        <v>191</v>
      </c>
      <c r="C150" s="492">
        <v>0</v>
      </c>
      <c r="D150" s="492">
        <v>0</v>
      </c>
      <c r="E150" s="492">
        <v>0</v>
      </c>
      <c r="F150" s="486"/>
      <c r="G150" s="486"/>
      <c r="H150" s="486"/>
      <c r="I150" s="486"/>
      <c r="J150" s="486"/>
      <c r="K150" s="486"/>
      <c r="L150" s="486"/>
      <c r="M150" s="486"/>
      <c r="N150" s="486"/>
      <c r="O150" s="486"/>
      <c r="P150" s="492">
        <f t="shared" si="2"/>
        <v>0</v>
      </c>
      <c r="Q150" s="486"/>
    </row>
    <row r="151" spans="1:17" s="491" customFormat="1" x14ac:dyDescent="0.35">
      <c r="A151" s="490" t="s">
        <v>192</v>
      </c>
      <c r="B151" s="491" t="s">
        <v>193</v>
      </c>
      <c r="C151" s="492">
        <v>30000</v>
      </c>
      <c r="D151" s="492">
        <v>30000</v>
      </c>
      <c r="E151" s="492">
        <v>10016</v>
      </c>
      <c r="F151" s="486"/>
      <c r="G151" s="486"/>
      <c r="H151" s="486"/>
      <c r="I151" s="486"/>
      <c r="J151" s="486"/>
      <c r="K151" s="486"/>
      <c r="L151" s="486"/>
      <c r="M151" s="486"/>
      <c r="N151" s="486"/>
      <c r="O151" s="486"/>
      <c r="P151" s="492">
        <f t="shared" si="2"/>
        <v>0</v>
      </c>
      <c r="Q151" s="486"/>
    </row>
    <row r="152" spans="1:17" s="491" customFormat="1" x14ac:dyDescent="0.35">
      <c r="A152" s="490" t="s">
        <v>194</v>
      </c>
      <c r="B152" s="491" t="s">
        <v>195</v>
      </c>
      <c r="C152" s="492">
        <v>16500</v>
      </c>
      <c r="D152" s="492">
        <v>16500</v>
      </c>
      <c r="E152" s="492">
        <v>9890</v>
      </c>
      <c r="F152" s="486"/>
      <c r="G152" s="486"/>
      <c r="H152" s="486"/>
      <c r="I152" s="486"/>
      <c r="J152" s="486"/>
      <c r="K152" s="486"/>
      <c r="L152" s="486"/>
      <c r="M152" s="486"/>
      <c r="N152" s="486"/>
      <c r="O152" s="486"/>
      <c r="P152" s="492">
        <f t="shared" si="2"/>
        <v>0</v>
      </c>
      <c r="Q152" s="486"/>
    </row>
    <row r="153" spans="1:17" s="491" customFormat="1" x14ac:dyDescent="0.35">
      <c r="A153" s="490" t="s">
        <v>196</v>
      </c>
      <c r="B153" s="491" t="s">
        <v>1108</v>
      </c>
      <c r="C153" s="492">
        <v>0</v>
      </c>
      <c r="D153" s="492">
        <v>0</v>
      </c>
      <c r="E153" s="492">
        <v>0</v>
      </c>
      <c r="F153" s="486"/>
      <c r="G153" s="486"/>
      <c r="H153" s="486"/>
      <c r="I153" s="486"/>
      <c r="J153" s="486"/>
      <c r="K153" s="486"/>
      <c r="L153" s="486"/>
      <c r="M153" s="486"/>
      <c r="N153" s="486"/>
      <c r="O153" s="486"/>
      <c r="P153" s="492">
        <f t="shared" si="2"/>
        <v>0</v>
      </c>
      <c r="Q153" s="486"/>
    </row>
    <row r="154" spans="1:17" s="491" customFormat="1" x14ac:dyDescent="0.35">
      <c r="A154" s="490" t="s">
        <v>197</v>
      </c>
      <c r="B154" s="491" t="s">
        <v>1109</v>
      </c>
      <c r="C154" s="492">
        <v>0</v>
      </c>
      <c r="D154" s="492">
        <v>0</v>
      </c>
      <c r="E154" s="492">
        <v>0</v>
      </c>
      <c r="F154" s="486"/>
      <c r="G154" s="486"/>
      <c r="H154" s="486"/>
      <c r="I154" s="486"/>
      <c r="J154" s="486"/>
      <c r="K154" s="486"/>
      <c r="L154" s="486"/>
      <c r="M154" s="486"/>
      <c r="N154" s="486"/>
      <c r="O154" s="486"/>
      <c r="P154" s="492">
        <f t="shared" si="2"/>
        <v>0</v>
      </c>
      <c r="Q154" s="486"/>
    </row>
    <row r="155" spans="1:17" s="491" customFormat="1" x14ac:dyDescent="0.35">
      <c r="A155" s="490" t="s">
        <v>198</v>
      </c>
      <c r="B155" s="491" t="s">
        <v>199</v>
      </c>
      <c r="C155" s="492">
        <v>0</v>
      </c>
      <c r="D155" s="492">
        <v>0</v>
      </c>
      <c r="E155" s="492">
        <v>0</v>
      </c>
      <c r="F155" s="486"/>
      <c r="G155" s="486"/>
      <c r="H155" s="486"/>
      <c r="I155" s="486"/>
      <c r="J155" s="486"/>
      <c r="K155" s="486"/>
      <c r="L155" s="486"/>
      <c r="M155" s="486"/>
      <c r="N155" s="486"/>
      <c r="O155" s="486"/>
      <c r="P155" s="492">
        <f t="shared" si="2"/>
        <v>0</v>
      </c>
      <c r="Q155" s="486"/>
    </row>
    <row r="156" spans="1:17" s="491" customFormat="1" x14ac:dyDescent="0.35">
      <c r="A156" s="490" t="s">
        <v>200</v>
      </c>
      <c r="B156" s="491" t="s">
        <v>201</v>
      </c>
      <c r="C156" s="492">
        <v>13120</v>
      </c>
      <c r="D156" s="492">
        <v>13120</v>
      </c>
      <c r="E156" s="492">
        <v>58453</v>
      </c>
      <c r="F156" s="486"/>
      <c r="G156" s="486"/>
      <c r="H156" s="486"/>
      <c r="I156" s="486"/>
      <c r="J156" s="486"/>
      <c r="K156" s="486"/>
      <c r="L156" s="486"/>
      <c r="M156" s="486"/>
      <c r="N156" s="486"/>
      <c r="O156" s="486"/>
      <c r="P156" s="492">
        <f t="shared" si="2"/>
        <v>0</v>
      </c>
      <c r="Q156" s="486"/>
    </row>
    <row r="157" spans="1:17" s="491" customFormat="1" x14ac:dyDescent="0.35">
      <c r="A157" s="490" t="s">
        <v>213</v>
      </c>
      <c r="B157" s="491" t="s">
        <v>214</v>
      </c>
      <c r="C157" s="492">
        <v>0</v>
      </c>
      <c r="D157" s="492">
        <v>0</v>
      </c>
      <c r="E157" s="492">
        <v>0</v>
      </c>
      <c r="F157" s="486"/>
      <c r="G157" s="486"/>
      <c r="H157" s="486"/>
      <c r="I157" s="486"/>
      <c r="J157" s="486"/>
      <c r="K157" s="486"/>
      <c r="L157" s="486"/>
      <c r="M157" s="486"/>
      <c r="N157" s="486"/>
      <c r="O157" s="486"/>
      <c r="P157" s="492">
        <f t="shared" si="2"/>
        <v>0</v>
      </c>
      <c r="Q157" s="486"/>
    </row>
    <row r="158" spans="1:17" s="491" customFormat="1" x14ac:dyDescent="0.35">
      <c r="A158" s="490" t="s">
        <v>202</v>
      </c>
      <c r="B158" s="491" t="s">
        <v>1110</v>
      </c>
      <c r="C158" s="492">
        <v>2942800</v>
      </c>
      <c r="D158" s="492">
        <v>2942800</v>
      </c>
      <c r="E158" s="492">
        <v>1187300</v>
      </c>
      <c r="F158" s="486"/>
      <c r="G158" s="486"/>
      <c r="H158" s="486"/>
      <c r="I158" s="486"/>
      <c r="J158" s="486"/>
      <c r="K158" s="486"/>
      <c r="L158" s="486"/>
      <c r="M158" s="486"/>
      <c r="N158" s="486"/>
      <c r="O158" s="486"/>
      <c r="P158" s="492">
        <f t="shared" si="2"/>
        <v>0</v>
      </c>
      <c r="Q158" s="486"/>
    </row>
    <row r="159" spans="1:17" s="491" customFormat="1" x14ac:dyDescent="0.35">
      <c r="A159" s="490" t="s">
        <v>203</v>
      </c>
      <c r="B159" s="491" t="s">
        <v>204</v>
      </c>
      <c r="C159" s="492">
        <v>0</v>
      </c>
      <c r="D159" s="492">
        <v>0</v>
      </c>
      <c r="E159" s="492">
        <v>0</v>
      </c>
      <c r="F159" s="486"/>
      <c r="G159" s="486"/>
      <c r="H159" s="486"/>
      <c r="I159" s="486"/>
      <c r="J159" s="486"/>
      <c r="K159" s="486"/>
      <c r="L159" s="486"/>
      <c r="M159" s="486"/>
      <c r="N159" s="486"/>
      <c r="O159" s="486"/>
      <c r="P159" s="492">
        <f t="shared" si="2"/>
        <v>0</v>
      </c>
      <c r="Q159" s="486"/>
    </row>
    <row r="160" spans="1:17" s="491" customFormat="1" x14ac:dyDescent="0.35">
      <c r="A160" s="490" t="s">
        <v>205</v>
      </c>
      <c r="B160" s="491" t="s">
        <v>1111</v>
      </c>
      <c r="C160" s="492">
        <v>0</v>
      </c>
      <c r="D160" s="492">
        <v>0</v>
      </c>
      <c r="E160" s="492">
        <v>0</v>
      </c>
      <c r="F160" s="486"/>
      <c r="G160" s="486"/>
      <c r="H160" s="486"/>
      <c r="I160" s="486"/>
      <c r="J160" s="486"/>
      <c r="K160" s="486"/>
      <c r="L160" s="486"/>
      <c r="M160" s="486"/>
      <c r="N160" s="486"/>
      <c r="O160" s="486"/>
      <c r="P160" s="492">
        <f t="shared" si="2"/>
        <v>0</v>
      </c>
      <c r="Q160" s="486"/>
    </row>
    <row r="161" spans="1:17" s="491" customFormat="1" x14ac:dyDescent="0.35">
      <c r="A161" s="490" t="s">
        <v>206</v>
      </c>
      <c r="B161" s="491" t="s">
        <v>207</v>
      </c>
      <c r="C161" s="492">
        <v>210000</v>
      </c>
      <c r="D161" s="492">
        <v>210000</v>
      </c>
      <c r="E161" s="492">
        <v>109842</v>
      </c>
      <c r="F161" s="486"/>
      <c r="G161" s="486"/>
      <c r="H161" s="486"/>
      <c r="I161" s="486"/>
      <c r="J161" s="486"/>
      <c r="K161" s="486"/>
      <c r="L161" s="486"/>
      <c r="M161" s="486"/>
      <c r="N161" s="486"/>
      <c r="O161" s="486"/>
      <c r="P161" s="492">
        <f t="shared" si="2"/>
        <v>0</v>
      </c>
      <c r="Q161" s="486"/>
    </row>
    <row r="162" spans="1:17" s="491" customFormat="1" x14ac:dyDescent="0.35">
      <c r="A162" s="490" t="s">
        <v>208</v>
      </c>
      <c r="B162" s="491" t="s">
        <v>209</v>
      </c>
      <c r="C162" s="492">
        <v>538050</v>
      </c>
      <c r="D162" s="492">
        <v>538050</v>
      </c>
      <c r="E162" s="492">
        <v>224320</v>
      </c>
      <c r="F162" s="486"/>
      <c r="G162" s="486"/>
      <c r="H162" s="486"/>
      <c r="I162" s="486"/>
      <c r="J162" s="486"/>
      <c r="K162" s="486"/>
      <c r="L162" s="486"/>
      <c r="M162" s="486"/>
      <c r="N162" s="486"/>
      <c r="O162" s="486"/>
      <c r="P162" s="492">
        <f t="shared" si="2"/>
        <v>0</v>
      </c>
      <c r="Q162" s="486"/>
    </row>
    <row r="163" spans="1:17" s="491" customFormat="1" x14ac:dyDescent="0.35">
      <c r="A163" s="490" t="s">
        <v>224</v>
      </c>
      <c r="B163" s="491" t="s">
        <v>225</v>
      </c>
      <c r="C163" s="492">
        <v>11677560</v>
      </c>
      <c r="D163" s="492">
        <v>11677560</v>
      </c>
      <c r="E163" s="492">
        <v>10924165.17</v>
      </c>
      <c r="F163" s="486"/>
      <c r="G163" s="486"/>
      <c r="H163" s="486"/>
      <c r="I163" s="486"/>
      <c r="J163" s="486"/>
      <c r="K163" s="486"/>
      <c r="L163" s="486"/>
      <c r="M163" s="486"/>
      <c r="N163" s="486"/>
      <c r="O163" s="486"/>
      <c r="P163" s="492">
        <f t="shared" si="2"/>
        <v>0</v>
      </c>
      <c r="Q163" s="486"/>
    </row>
    <row r="164" spans="1:17" s="491" customFormat="1" x14ac:dyDescent="0.35">
      <c r="A164" s="490" t="s">
        <v>226</v>
      </c>
      <c r="B164" s="491" t="s">
        <v>227</v>
      </c>
      <c r="C164" s="492">
        <v>11950260</v>
      </c>
      <c r="D164" s="492">
        <v>11950260</v>
      </c>
      <c r="E164" s="492">
        <v>735960</v>
      </c>
      <c r="F164" s="486"/>
      <c r="G164" s="486"/>
      <c r="H164" s="486"/>
      <c r="I164" s="486"/>
      <c r="J164" s="486"/>
      <c r="K164" s="486"/>
      <c r="L164" s="486"/>
      <c r="M164" s="486"/>
      <c r="N164" s="486"/>
      <c r="O164" s="486"/>
      <c r="P164" s="492">
        <f t="shared" si="2"/>
        <v>0</v>
      </c>
      <c r="Q164" s="486"/>
    </row>
    <row r="165" spans="1:17" s="491" customFormat="1" x14ac:dyDescent="0.35">
      <c r="A165" s="490" t="s">
        <v>228</v>
      </c>
      <c r="B165" s="491" t="s">
        <v>229</v>
      </c>
      <c r="C165" s="492">
        <v>0</v>
      </c>
      <c r="D165" s="492">
        <v>0</v>
      </c>
      <c r="E165" s="492">
        <v>0</v>
      </c>
      <c r="F165" s="486"/>
      <c r="G165" s="486"/>
      <c r="H165" s="486"/>
      <c r="I165" s="486"/>
      <c r="J165" s="486"/>
      <c r="K165" s="486"/>
      <c r="L165" s="486"/>
      <c r="M165" s="486"/>
      <c r="N165" s="486"/>
      <c r="O165" s="486"/>
      <c r="P165" s="492">
        <f t="shared" si="2"/>
        <v>0</v>
      </c>
      <c r="Q165" s="486"/>
    </row>
    <row r="166" spans="1:17" s="491" customFormat="1" x14ac:dyDescent="0.35">
      <c r="A166" s="490" t="s">
        <v>230</v>
      </c>
      <c r="B166" s="491" t="s">
        <v>231</v>
      </c>
      <c r="C166" s="492">
        <v>1083600</v>
      </c>
      <c r="D166" s="492">
        <v>1083600</v>
      </c>
      <c r="E166" s="492">
        <v>566864.52</v>
      </c>
      <c r="F166" s="486"/>
      <c r="G166" s="486"/>
      <c r="H166" s="486"/>
      <c r="I166" s="486"/>
      <c r="J166" s="486"/>
      <c r="K166" s="486"/>
      <c r="L166" s="486"/>
      <c r="M166" s="486"/>
      <c r="N166" s="486"/>
      <c r="O166" s="486"/>
      <c r="P166" s="492">
        <f t="shared" si="2"/>
        <v>0</v>
      </c>
      <c r="Q166" s="486"/>
    </row>
    <row r="167" spans="1:17" s="491" customFormat="1" x14ac:dyDescent="0.35">
      <c r="A167" s="490" t="s">
        <v>232</v>
      </c>
      <c r="B167" s="491" t="s">
        <v>233</v>
      </c>
      <c r="C167" s="492">
        <v>0</v>
      </c>
      <c r="D167" s="492">
        <v>0</v>
      </c>
      <c r="E167" s="492">
        <v>0</v>
      </c>
      <c r="F167" s="486"/>
      <c r="G167" s="486"/>
      <c r="H167" s="486"/>
      <c r="I167" s="486"/>
      <c r="J167" s="486"/>
      <c r="K167" s="486"/>
      <c r="L167" s="486"/>
      <c r="M167" s="486"/>
      <c r="N167" s="486"/>
      <c r="O167" s="486"/>
      <c r="P167" s="492">
        <f t="shared" si="2"/>
        <v>0</v>
      </c>
      <c r="Q167" s="486"/>
    </row>
    <row r="168" spans="1:17" s="491" customFormat="1" x14ac:dyDescent="0.35">
      <c r="A168" s="490" t="s">
        <v>234</v>
      </c>
      <c r="B168" s="491" t="s">
        <v>235</v>
      </c>
      <c r="C168" s="492">
        <v>0</v>
      </c>
      <c r="D168" s="492">
        <v>0</v>
      </c>
      <c r="E168" s="492">
        <v>0</v>
      </c>
      <c r="F168" s="486"/>
      <c r="G168" s="486"/>
      <c r="H168" s="486"/>
      <c r="I168" s="486"/>
      <c r="J168" s="486"/>
      <c r="K168" s="486"/>
      <c r="L168" s="486"/>
      <c r="M168" s="486"/>
      <c r="N168" s="486"/>
      <c r="O168" s="486"/>
      <c r="P168" s="492">
        <f t="shared" si="2"/>
        <v>0</v>
      </c>
      <c r="Q168" s="486"/>
    </row>
    <row r="169" spans="1:17" s="491" customFormat="1" x14ac:dyDescent="0.35">
      <c r="A169" s="490" t="s">
        <v>236</v>
      </c>
      <c r="B169" s="491" t="s">
        <v>237</v>
      </c>
      <c r="C169" s="492">
        <v>0</v>
      </c>
      <c r="D169" s="492">
        <v>0</v>
      </c>
      <c r="E169" s="492">
        <v>0</v>
      </c>
      <c r="F169" s="486"/>
      <c r="G169" s="486"/>
      <c r="H169" s="486"/>
      <c r="I169" s="486"/>
      <c r="J169" s="486"/>
      <c r="K169" s="486"/>
      <c r="L169" s="486"/>
      <c r="M169" s="486"/>
      <c r="N169" s="486"/>
      <c r="O169" s="486"/>
      <c r="P169" s="492">
        <f t="shared" si="2"/>
        <v>0</v>
      </c>
      <c r="Q169" s="486"/>
    </row>
    <row r="170" spans="1:17" s="491" customFormat="1" x14ac:dyDescent="0.35">
      <c r="A170" s="490" t="s">
        <v>238</v>
      </c>
      <c r="B170" s="491" t="s">
        <v>239</v>
      </c>
      <c r="C170" s="492">
        <v>0</v>
      </c>
      <c r="D170" s="492">
        <v>0</v>
      </c>
      <c r="E170" s="492">
        <v>0</v>
      </c>
      <c r="F170" s="486"/>
      <c r="G170" s="486"/>
      <c r="H170" s="486"/>
      <c r="I170" s="486"/>
      <c r="J170" s="486"/>
      <c r="K170" s="486"/>
      <c r="L170" s="486"/>
      <c r="M170" s="486"/>
      <c r="N170" s="486"/>
      <c r="O170" s="486"/>
      <c r="P170" s="492">
        <f t="shared" si="2"/>
        <v>0</v>
      </c>
      <c r="Q170" s="486"/>
    </row>
    <row r="171" spans="1:17" s="491" customFormat="1" x14ac:dyDescent="0.35">
      <c r="A171" s="490" t="s">
        <v>240</v>
      </c>
      <c r="B171" s="491" t="s">
        <v>241</v>
      </c>
      <c r="C171" s="492">
        <v>0</v>
      </c>
      <c r="D171" s="492">
        <v>0</v>
      </c>
      <c r="E171" s="492">
        <v>0</v>
      </c>
      <c r="F171" s="486"/>
      <c r="G171" s="486"/>
      <c r="H171" s="486"/>
      <c r="I171" s="486"/>
      <c r="J171" s="486"/>
      <c r="K171" s="486"/>
      <c r="L171" s="486"/>
      <c r="M171" s="486"/>
      <c r="N171" s="486"/>
      <c r="O171" s="486"/>
      <c r="P171" s="492">
        <f t="shared" si="2"/>
        <v>0</v>
      </c>
      <c r="Q171" s="486"/>
    </row>
    <row r="172" spans="1:17" s="491" customFormat="1" x14ac:dyDescent="0.35">
      <c r="A172" s="490" t="s">
        <v>242</v>
      </c>
      <c r="B172" s="491" t="s">
        <v>243</v>
      </c>
      <c r="C172" s="492">
        <v>0</v>
      </c>
      <c r="D172" s="492">
        <v>0</v>
      </c>
      <c r="E172" s="492">
        <v>0</v>
      </c>
      <c r="F172" s="486"/>
      <c r="G172" s="486"/>
      <c r="H172" s="486"/>
      <c r="I172" s="486"/>
      <c r="J172" s="486"/>
      <c r="K172" s="486"/>
      <c r="L172" s="486"/>
      <c r="M172" s="486"/>
      <c r="N172" s="486"/>
      <c r="O172" s="486"/>
      <c r="P172" s="492">
        <f t="shared" si="2"/>
        <v>0</v>
      </c>
      <c r="Q172" s="486"/>
    </row>
    <row r="173" spans="1:17" s="491" customFormat="1" x14ac:dyDescent="0.35">
      <c r="A173" s="490" t="s">
        <v>244</v>
      </c>
      <c r="B173" s="491" t="s">
        <v>245</v>
      </c>
      <c r="C173" s="492">
        <v>1456920</v>
      </c>
      <c r="D173" s="492">
        <v>1456920</v>
      </c>
      <c r="E173" s="492">
        <v>648660</v>
      </c>
      <c r="F173" s="486"/>
      <c r="G173" s="486"/>
      <c r="H173" s="486"/>
      <c r="I173" s="486"/>
      <c r="J173" s="486"/>
      <c r="K173" s="486"/>
      <c r="L173" s="486"/>
      <c r="M173" s="486"/>
      <c r="N173" s="486"/>
      <c r="O173" s="486"/>
      <c r="P173" s="492">
        <f t="shared" si="2"/>
        <v>0</v>
      </c>
      <c r="Q173" s="486"/>
    </row>
    <row r="174" spans="1:17" s="491" customFormat="1" x14ac:dyDescent="0.35">
      <c r="A174" s="490" t="s">
        <v>246</v>
      </c>
      <c r="B174" s="491" t="s">
        <v>247</v>
      </c>
      <c r="C174" s="492">
        <v>1484580</v>
      </c>
      <c r="D174" s="492">
        <v>1484580</v>
      </c>
      <c r="E174" s="492">
        <v>711540</v>
      </c>
      <c r="F174" s="486"/>
      <c r="G174" s="486"/>
      <c r="H174" s="486"/>
      <c r="I174" s="486"/>
      <c r="J174" s="486"/>
      <c r="K174" s="486"/>
      <c r="L174" s="486"/>
      <c r="M174" s="486"/>
      <c r="N174" s="486"/>
      <c r="O174" s="486"/>
      <c r="P174" s="492">
        <f t="shared" si="2"/>
        <v>0</v>
      </c>
      <c r="Q174" s="486"/>
    </row>
    <row r="175" spans="1:17" s="491" customFormat="1" x14ac:dyDescent="0.35">
      <c r="A175" s="490" t="s">
        <v>256</v>
      </c>
      <c r="B175" s="491" t="s">
        <v>257</v>
      </c>
      <c r="C175" s="492">
        <v>2726400</v>
      </c>
      <c r="D175" s="492">
        <v>5726400</v>
      </c>
      <c r="E175" s="492">
        <v>1149552</v>
      </c>
      <c r="F175" s="486"/>
      <c r="G175" s="486"/>
      <c r="H175" s="486"/>
      <c r="I175" s="486"/>
      <c r="J175" s="486"/>
      <c r="K175" s="486"/>
      <c r="L175" s="486"/>
      <c r="M175" s="486"/>
      <c r="N175" s="486"/>
      <c r="O175" s="486"/>
      <c r="P175" s="492">
        <f t="shared" si="2"/>
        <v>0</v>
      </c>
      <c r="Q175" s="486"/>
    </row>
    <row r="176" spans="1:17" s="491" customFormat="1" x14ac:dyDescent="0.35">
      <c r="A176" s="490" t="s">
        <v>258</v>
      </c>
      <c r="B176" s="491" t="s">
        <v>259</v>
      </c>
      <c r="C176" s="492">
        <v>2950240</v>
      </c>
      <c r="D176" s="492">
        <v>1950240</v>
      </c>
      <c r="E176" s="492">
        <v>1553236</v>
      </c>
      <c r="F176" s="486"/>
      <c r="G176" s="486"/>
      <c r="H176" s="486"/>
      <c r="I176" s="486"/>
      <c r="J176" s="486"/>
      <c r="K176" s="486"/>
      <c r="L176" s="486"/>
      <c r="M176" s="486"/>
      <c r="N176" s="486"/>
      <c r="O176" s="486"/>
      <c r="P176" s="492">
        <f t="shared" si="2"/>
        <v>0</v>
      </c>
      <c r="Q176" s="486"/>
    </row>
    <row r="177" spans="1:17" s="491" customFormat="1" x14ac:dyDescent="0.35">
      <c r="A177" s="490" t="s">
        <v>260</v>
      </c>
      <c r="B177" s="491" t="s">
        <v>1112</v>
      </c>
      <c r="C177" s="492">
        <v>2121360</v>
      </c>
      <c r="D177" s="492">
        <v>3021360</v>
      </c>
      <c r="E177" s="492">
        <v>1047420</v>
      </c>
      <c r="F177" s="486"/>
      <c r="G177" s="486"/>
      <c r="H177" s="486"/>
      <c r="I177" s="486"/>
      <c r="J177" s="486"/>
      <c r="K177" s="486"/>
      <c r="L177" s="486"/>
      <c r="M177" s="486"/>
      <c r="N177" s="486"/>
      <c r="O177" s="486"/>
      <c r="P177" s="492">
        <f t="shared" si="2"/>
        <v>0</v>
      </c>
      <c r="Q177" s="486"/>
    </row>
    <row r="178" spans="1:17" s="491" customFormat="1" x14ac:dyDescent="0.35">
      <c r="A178" s="490" t="s">
        <v>261</v>
      </c>
      <c r="B178" s="491" t="s">
        <v>262</v>
      </c>
      <c r="C178" s="492">
        <v>1524400</v>
      </c>
      <c r="D178" s="492">
        <v>524400</v>
      </c>
      <c r="E178" s="492">
        <v>868350</v>
      </c>
      <c r="F178" s="486"/>
      <c r="G178" s="486"/>
      <c r="H178" s="486"/>
      <c r="I178" s="486"/>
      <c r="J178" s="486"/>
      <c r="K178" s="486"/>
      <c r="L178" s="486"/>
      <c r="M178" s="486"/>
      <c r="N178" s="486"/>
      <c r="O178" s="486"/>
      <c r="P178" s="492">
        <f t="shared" si="2"/>
        <v>0</v>
      </c>
      <c r="Q178" s="486"/>
    </row>
    <row r="179" spans="1:17" s="491" customFormat="1" x14ac:dyDescent="0.35">
      <c r="A179" s="490" t="s">
        <v>263</v>
      </c>
      <c r="B179" s="491" t="s">
        <v>264</v>
      </c>
      <c r="C179" s="492">
        <v>0</v>
      </c>
      <c r="D179" s="492">
        <v>0</v>
      </c>
      <c r="E179" s="492">
        <v>0</v>
      </c>
      <c r="F179" s="486"/>
      <c r="G179" s="486"/>
      <c r="H179" s="486"/>
      <c r="I179" s="486"/>
      <c r="J179" s="486"/>
      <c r="K179" s="486"/>
      <c r="L179" s="486"/>
      <c r="M179" s="486"/>
      <c r="N179" s="486"/>
      <c r="O179" s="486"/>
      <c r="P179" s="492">
        <f t="shared" si="2"/>
        <v>0</v>
      </c>
      <c r="Q179" s="486"/>
    </row>
    <row r="180" spans="1:17" s="491" customFormat="1" x14ac:dyDescent="0.35">
      <c r="A180" s="490" t="s">
        <v>265</v>
      </c>
      <c r="B180" s="491" t="s">
        <v>607</v>
      </c>
      <c r="C180" s="492">
        <v>0</v>
      </c>
      <c r="D180" s="492">
        <v>0</v>
      </c>
      <c r="E180" s="492">
        <v>0</v>
      </c>
      <c r="F180" s="486"/>
      <c r="G180" s="486"/>
      <c r="H180" s="486"/>
      <c r="I180" s="486"/>
      <c r="J180" s="486"/>
      <c r="K180" s="486"/>
      <c r="L180" s="486"/>
      <c r="M180" s="486"/>
      <c r="N180" s="486"/>
      <c r="O180" s="486"/>
      <c r="P180" s="492">
        <f t="shared" si="2"/>
        <v>0</v>
      </c>
      <c r="Q180" s="486"/>
    </row>
    <row r="181" spans="1:17" s="491" customFormat="1" x14ac:dyDescent="0.35">
      <c r="A181" s="490" t="s">
        <v>248</v>
      </c>
      <c r="B181" s="491" t="s">
        <v>1113</v>
      </c>
      <c r="C181" s="492">
        <v>0</v>
      </c>
      <c r="D181" s="492">
        <v>0</v>
      </c>
      <c r="E181" s="492">
        <v>0</v>
      </c>
      <c r="F181" s="486"/>
      <c r="G181" s="486"/>
      <c r="H181" s="486"/>
      <c r="I181" s="486"/>
      <c r="J181" s="486"/>
      <c r="K181" s="486"/>
      <c r="L181" s="486"/>
      <c r="M181" s="486"/>
      <c r="N181" s="486"/>
      <c r="O181" s="486"/>
      <c r="P181" s="492">
        <f t="shared" si="2"/>
        <v>0</v>
      </c>
      <c r="Q181" s="486"/>
    </row>
    <row r="182" spans="1:17" s="491" customFormat="1" x14ac:dyDescent="0.35">
      <c r="A182" s="490" t="s">
        <v>249</v>
      </c>
      <c r="B182" s="491" t="s">
        <v>1114</v>
      </c>
      <c r="C182" s="492">
        <v>0</v>
      </c>
      <c r="D182" s="492">
        <v>0</v>
      </c>
      <c r="E182" s="492">
        <v>213419.35</v>
      </c>
      <c r="F182" s="486"/>
      <c r="G182" s="486"/>
      <c r="H182" s="486"/>
      <c r="I182" s="486"/>
      <c r="J182" s="486"/>
      <c r="K182" s="486"/>
      <c r="L182" s="486"/>
      <c r="M182" s="486"/>
      <c r="N182" s="486"/>
      <c r="O182" s="486"/>
      <c r="P182" s="492">
        <f t="shared" si="2"/>
        <v>0</v>
      </c>
      <c r="Q182" s="486"/>
    </row>
    <row r="183" spans="1:17" s="491" customFormat="1" x14ac:dyDescent="0.35">
      <c r="A183" s="490" t="s">
        <v>250</v>
      </c>
      <c r="B183" s="491" t="s">
        <v>1115</v>
      </c>
      <c r="C183" s="492">
        <v>0</v>
      </c>
      <c r="D183" s="492">
        <v>0</v>
      </c>
      <c r="E183" s="492">
        <v>129.03</v>
      </c>
      <c r="F183" s="486"/>
      <c r="G183" s="486"/>
      <c r="H183" s="486"/>
      <c r="I183" s="486"/>
      <c r="J183" s="486"/>
      <c r="K183" s="486"/>
      <c r="L183" s="486"/>
      <c r="M183" s="486"/>
      <c r="N183" s="486"/>
      <c r="O183" s="486"/>
      <c r="P183" s="492">
        <f t="shared" si="2"/>
        <v>0</v>
      </c>
      <c r="Q183" s="486"/>
    </row>
    <row r="184" spans="1:17" s="491" customFormat="1" x14ac:dyDescent="0.35">
      <c r="A184" s="490" t="s">
        <v>251</v>
      </c>
      <c r="B184" s="491" t="s">
        <v>1116</v>
      </c>
      <c r="C184" s="492">
        <v>0</v>
      </c>
      <c r="D184" s="492">
        <v>0</v>
      </c>
      <c r="E184" s="492">
        <v>0</v>
      </c>
      <c r="F184" s="486"/>
      <c r="G184" s="486"/>
      <c r="H184" s="486"/>
      <c r="I184" s="486"/>
      <c r="J184" s="486"/>
      <c r="K184" s="486"/>
      <c r="L184" s="486"/>
      <c r="M184" s="486"/>
      <c r="N184" s="486"/>
      <c r="O184" s="486"/>
      <c r="P184" s="492">
        <f t="shared" si="2"/>
        <v>0</v>
      </c>
      <c r="Q184" s="486"/>
    </row>
    <row r="185" spans="1:17" s="491" customFormat="1" x14ac:dyDescent="0.35">
      <c r="A185" s="490" t="s">
        <v>252</v>
      </c>
      <c r="B185" s="491" t="s">
        <v>1117</v>
      </c>
      <c r="C185" s="492">
        <v>0</v>
      </c>
      <c r="D185" s="492">
        <v>0</v>
      </c>
      <c r="E185" s="492">
        <v>0</v>
      </c>
      <c r="F185" s="486"/>
      <c r="G185" s="486"/>
      <c r="H185" s="486"/>
      <c r="I185" s="486"/>
      <c r="J185" s="486"/>
      <c r="K185" s="486"/>
      <c r="L185" s="486"/>
      <c r="M185" s="486"/>
      <c r="N185" s="486"/>
      <c r="O185" s="486"/>
      <c r="P185" s="492">
        <f t="shared" si="2"/>
        <v>0</v>
      </c>
      <c r="Q185" s="486"/>
    </row>
    <row r="186" spans="1:17" s="491" customFormat="1" x14ac:dyDescent="0.35">
      <c r="A186" s="490" t="s">
        <v>253</v>
      </c>
      <c r="B186" s="491" t="s">
        <v>1118</v>
      </c>
      <c r="C186" s="492">
        <v>0</v>
      </c>
      <c r="D186" s="492">
        <v>0</v>
      </c>
      <c r="E186" s="492">
        <v>0</v>
      </c>
      <c r="F186" s="486"/>
      <c r="G186" s="486"/>
      <c r="H186" s="486"/>
      <c r="I186" s="486"/>
      <c r="J186" s="486"/>
      <c r="K186" s="486"/>
      <c r="L186" s="486"/>
      <c r="M186" s="486"/>
      <c r="N186" s="486"/>
      <c r="O186" s="486"/>
      <c r="P186" s="492">
        <f t="shared" si="2"/>
        <v>0</v>
      </c>
      <c r="Q186" s="486"/>
    </row>
    <row r="187" spans="1:17" s="491" customFormat="1" x14ac:dyDescent="0.35">
      <c r="A187" s="490" t="s">
        <v>254</v>
      </c>
      <c r="B187" s="491" t="s">
        <v>1119</v>
      </c>
      <c r="C187" s="492">
        <v>0</v>
      </c>
      <c r="D187" s="492">
        <v>0</v>
      </c>
      <c r="E187" s="492">
        <v>0</v>
      </c>
      <c r="F187" s="486"/>
      <c r="G187" s="486"/>
      <c r="H187" s="486"/>
      <c r="I187" s="486"/>
      <c r="J187" s="486"/>
      <c r="K187" s="486"/>
      <c r="L187" s="486"/>
      <c r="M187" s="486"/>
      <c r="N187" s="486"/>
      <c r="O187" s="486"/>
      <c r="P187" s="492">
        <f t="shared" si="2"/>
        <v>0</v>
      </c>
      <c r="Q187" s="486"/>
    </row>
    <row r="188" spans="1:17" s="491" customFormat="1" x14ac:dyDescent="0.35">
      <c r="A188" s="490" t="s">
        <v>255</v>
      </c>
      <c r="B188" s="491" t="s">
        <v>1120</v>
      </c>
      <c r="C188" s="492">
        <v>0</v>
      </c>
      <c r="D188" s="492">
        <v>0</v>
      </c>
      <c r="E188" s="492">
        <v>0</v>
      </c>
      <c r="F188" s="486"/>
      <c r="G188" s="486"/>
      <c r="H188" s="486"/>
      <c r="I188" s="486"/>
      <c r="J188" s="486"/>
      <c r="K188" s="486"/>
      <c r="L188" s="486"/>
      <c r="M188" s="486"/>
      <c r="N188" s="486"/>
      <c r="O188" s="486"/>
      <c r="P188" s="492">
        <f t="shared" si="2"/>
        <v>0</v>
      </c>
      <c r="Q188" s="486"/>
    </row>
    <row r="189" spans="1:17" s="491" customFormat="1" x14ac:dyDescent="0.35">
      <c r="A189" s="490" t="s">
        <v>853</v>
      </c>
      <c r="B189" s="491" t="s">
        <v>854</v>
      </c>
      <c r="C189" s="492">
        <v>201600</v>
      </c>
      <c r="D189" s="492">
        <v>201600</v>
      </c>
      <c r="E189" s="492">
        <v>100800</v>
      </c>
      <c r="F189" s="486"/>
      <c r="G189" s="486"/>
      <c r="H189" s="486"/>
      <c r="I189" s="486"/>
      <c r="J189" s="486"/>
      <c r="K189" s="486"/>
      <c r="L189" s="486"/>
      <c r="M189" s="486"/>
      <c r="N189" s="486"/>
      <c r="O189" s="486"/>
      <c r="P189" s="492">
        <f t="shared" si="2"/>
        <v>0</v>
      </c>
      <c r="Q189" s="486"/>
    </row>
    <row r="190" spans="1:17" s="491" customFormat="1" x14ac:dyDescent="0.35">
      <c r="A190" s="490" t="s">
        <v>855</v>
      </c>
      <c r="B190" s="491" t="s">
        <v>856</v>
      </c>
      <c r="C190" s="492">
        <v>0</v>
      </c>
      <c r="D190" s="492">
        <v>0</v>
      </c>
      <c r="E190" s="492">
        <v>0</v>
      </c>
      <c r="F190" s="486"/>
      <c r="G190" s="486"/>
      <c r="H190" s="486"/>
      <c r="I190" s="486"/>
      <c r="J190" s="486"/>
      <c r="K190" s="486"/>
      <c r="L190" s="486"/>
      <c r="M190" s="486"/>
      <c r="N190" s="486"/>
      <c r="O190" s="486"/>
      <c r="P190" s="492">
        <f t="shared" si="2"/>
        <v>0</v>
      </c>
      <c r="Q190" s="486"/>
    </row>
    <row r="191" spans="1:17" s="491" customFormat="1" x14ac:dyDescent="0.35">
      <c r="A191" s="490" t="s">
        <v>857</v>
      </c>
      <c r="B191" s="491" t="s">
        <v>1149</v>
      </c>
      <c r="C191" s="492">
        <v>780160</v>
      </c>
      <c r="D191" s="492">
        <v>780160</v>
      </c>
      <c r="E191" s="492">
        <v>329040</v>
      </c>
      <c r="F191" s="486"/>
      <c r="G191" s="486"/>
      <c r="H191" s="486"/>
      <c r="I191" s="486"/>
      <c r="J191" s="486"/>
      <c r="K191" s="486"/>
      <c r="L191" s="486"/>
      <c r="M191" s="486"/>
      <c r="N191" s="486"/>
      <c r="O191" s="486"/>
      <c r="P191" s="492">
        <f t="shared" si="2"/>
        <v>0</v>
      </c>
      <c r="Q191" s="486"/>
    </row>
    <row r="192" spans="1:17" s="491" customFormat="1" x14ac:dyDescent="0.35">
      <c r="A192" s="490" t="s">
        <v>276</v>
      </c>
      <c r="B192" s="491" t="s">
        <v>277</v>
      </c>
      <c r="C192" s="492">
        <v>0</v>
      </c>
      <c r="D192" s="492">
        <v>0</v>
      </c>
      <c r="E192" s="492">
        <v>0</v>
      </c>
      <c r="F192" s="486"/>
      <c r="G192" s="486"/>
      <c r="H192" s="486"/>
      <c r="I192" s="486"/>
      <c r="J192" s="486"/>
      <c r="K192" s="486"/>
      <c r="L192" s="486"/>
      <c r="M192" s="486"/>
      <c r="N192" s="486"/>
      <c r="O192" s="486"/>
      <c r="P192" s="492">
        <f t="shared" si="2"/>
        <v>0</v>
      </c>
      <c r="Q192" s="486"/>
    </row>
    <row r="193" spans="1:17" s="491" customFormat="1" x14ac:dyDescent="0.35">
      <c r="A193" s="490" t="s">
        <v>278</v>
      </c>
      <c r="B193" s="491" t="s">
        <v>279</v>
      </c>
      <c r="C193" s="492">
        <v>0</v>
      </c>
      <c r="D193" s="492">
        <v>0</v>
      </c>
      <c r="E193" s="492">
        <v>0</v>
      </c>
      <c r="F193" s="486"/>
      <c r="G193" s="486"/>
      <c r="H193" s="486"/>
      <c r="I193" s="486"/>
      <c r="J193" s="486"/>
      <c r="K193" s="486"/>
      <c r="L193" s="486"/>
      <c r="M193" s="486"/>
      <c r="N193" s="486"/>
      <c r="O193" s="486"/>
      <c r="P193" s="492">
        <f t="shared" si="2"/>
        <v>0</v>
      </c>
      <c r="Q193" s="486"/>
    </row>
    <row r="194" spans="1:17" s="491" customFormat="1" x14ac:dyDescent="0.35">
      <c r="A194" s="490" t="s">
        <v>280</v>
      </c>
      <c r="B194" s="491" t="s">
        <v>281</v>
      </c>
      <c r="C194" s="492">
        <v>308880.83</v>
      </c>
      <c r="D194" s="492">
        <v>308880.83</v>
      </c>
      <c r="E194" s="492">
        <v>185717.31</v>
      </c>
      <c r="F194" s="486"/>
      <c r="G194" s="486"/>
      <c r="H194" s="486"/>
      <c r="I194" s="486"/>
      <c r="J194" s="486"/>
      <c r="K194" s="486"/>
      <c r="L194" s="486"/>
      <c r="M194" s="486"/>
      <c r="N194" s="486"/>
      <c r="O194" s="486"/>
      <c r="P194" s="492">
        <f t="shared" si="2"/>
        <v>0</v>
      </c>
      <c r="Q194" s="486"/>
    </row>
    <row r="195" spans="1:17" s="491" customFormat="1" x14ac:dyDescent="0.35">
      <c r="A195" s="490" t="s">
        <v>282</v>
      </c>
      <c r="B195" s="491" t="s">
        <v>283</v>
      </c>
      <c r="C195" s="492">
        <v>463321.25</v>
      </c>
      <c r="D195" s="492">
        <v>463321.25</v>
      </c>
      <c r="E195" s="492">
        <v>278575.96000000002</v>
      </c>
      <c r="F195" s="486"/>
      <c r="G195" s="486"/>
      <c r="H195" s="486"/>
      <c r="I195" s="486"/>
      <c r="J195" s="486"/>
      <c r="K195" s="486"/>
      <c r="L195" s="486"/>
      <c r="M195" s="486"/>
      <c r="N195" s="486"/>
      <c r="O195" s="486"/>
      <c r="P195" s="492">
        <f t="shared" ref="P195:P258" si="3">SUM(F195:N195)</f>
        <v>0</v>
      </c>
      <c r="Q195" s="486"/>
    </row>
    <row r="196" spans="1:17" s="491" customFormat="1" x14ac:dyDescent="0.35">
      <c r="A196" s="490" t="s">
        <v>284</v>
      </c>
      <c r="B196" s="491" t="s">
        <v>285</v>
      </c>
      <c r="C196" s="492">
        <v>77516.429999999993</v>
      </c>
      <c r="D196" s="492">
        <v>77516.429999999993</v>
      </c>
      <c r="E196" s="492">
        <v>33197.4</v>
      </c>
      <c r="F196" s="486"/>
      <c r="G196" s="486"/>
      <c r="H196" s="486"/>
      <c r="I196" s="486"/>
      <c r="J196" s="486"/>
      <c r="K196" s="486"/>
      <c r="L196" s="486"/>
      <c r="M196" s="486"/>
      <c r="N196" s="486"/>
      <c r="O196" s="486"/>
      <c r="P196" s="492">
        <f t="shared" si="3"/>
        <v>0</v>
      </c>
      <c r="Q196" s="486"/>
    </row>
    <row r="197" spans="1:17" s="491" customFormat="1" x14ac:dyDescent="0.35">
      <c r="A197" s="490" t="s">
        <v>1331</v>
      </c>
      <c r="B197" s="491" t="s">
        <v>1289</v>
      </c>
      <c r="C197" s="492">
        <v>0</v>
      </c>
      <c r="D197" s="492">
        <v>0</v>
      </c>
      <c r="E197" s="492">
        <v>0</v>
      </c>
      <c r="F197" s="486"/>
      <c r="G197" s="486"/>
      <c r="H197" s="486"/>
      <c r="I197" s="486"/>
      <c r="J197" s="486"/>
      <c r="K197" s="486"/>
      <c r="L197" s="486"/>
      <c r="M197" s="486"/>
      <c r="N197" s="486"/>
      <c r="O197" s="486"/>
      <c r="P197" s="492">
        <f t="shared" si="3"/>
        <v>0</v>
      </c>
      <c r="Q197" s="486"/>
    </row>
    <row r="198" spans="1:17" s="491" customFormat="1" x14ac:dyDescent="0.35">
      <c r="A198" s="490" t="s">
        <v>1332</v>
      </c>
      <c r="B198" s="491" t="s">
        <v>1290</v>
      </c>
      <c r="C198" s="492">
        <v>0</v>
      </c>
      <c r="D198" s="492">
        <v>0</v>
      </c>
      <c r="E198" s="492">
        <v>219919</v>
      </c>
      <c r="F198" s="486"/>
      <c r="G198" s="486"/>
      <c r="H198" s="486"/>
      <c r="I198" s="486"/>
      <c r="J198" s="486"/>
      <c r="K198" s="486"/>
      <c r="L198" s="486"/>
      <c r="M198" s="486"/>
      <c r="N198" s="486"/>
      <c r="O198" s="486"/>
      <c r="P198" s="492">
        <f t="shared" si="3"/>
        <v>0</v>
      </c>
      <c r="Q198" s="486"/>
    </row>
    <row r="199" spans="1:17" s="491" customFormat="1" x14ac:dyDescent="0.35">
      <c r="A199" s="490" t="s">
        <v>286</v>
      </c>
      <c r="B199" s="491" t="s">
        <v>287</v>
      </c>
      <c r="C199" s="492">
        <v>0</v>
      </c>
      <c r="D199" s="492">
        <v>0</v>
      </c>
      <c r="E199" s="492">
        <v>0</v>
      </c>
      <c r="F199" s="486"/>
      <c r="G199" s="486"/>
      <c r="H199" s="486"/>
      <c r="I199" s="486"/>
      <c r="J199" s="486"/>
      <c r="K199" s="486"/>
      <c r="L199" s="486"/>
      <c r="M199" s="486"/>
      <c r="N199" s="486"/>
      <c r="O199" s="486"/>
      <c r="P199" s="492">
        <f t="shared" si="3"/>
        <v>0</v>
      </c>
      <c r="Q199" s="486"/>
    </row>
    <row r="200" spans="1:17" s="491" customFormat="1" x14ac:dyDescent="0.35">
      <c r="A200" s="490" t="s">
        <v>288</v>
      </c>
      <c r="B200" s="491" t="s">
        <v>289</v>
      </c>
      <c r="C200" s="492">
        <v>18258.400000000001</v>
      </c>
      <c r="D200" s="492">
        <v>18258.400000000001</v>
      </c>
      <c r="E200" s="492">
        <v>8990.4</v>
      </c>
      <c r="F200" s="486"/>
      <c r="G200" s="486"/>
      <c r="H200" s="486"/>
      <c r="I200" s="486"/>
      <c r="J200" s="486"/>
      <c r="K200" s="486"/>
      <c r="L200" s="486"/>
      <c r="M200" s="486"/>
      <c r="N200" s="486"/>
      <c r="O200" s="486"/>
      <c r="P200" s="492">
        <f t="shared" si="3"/>
        <v>0</v>
      </c>
      <c r="Q200" s="486"/>
    </row>
    <row r="201" spans="1:17" s="491" customFormat="1" x14ac:dyDescent="0.35">
      <c r="A201" s="490" t="s">
        <v>269</v>
      </c>
      <c r="B201" s="491" t="s">
        <v>270</v>
      </c>
      <c r="C201" s="492">
        <v>1386000</v>
      </c>
      <c r="D201" s="492">
        <v>1386000</v>
      </c>
      <c r="E201" s="492">
        <v>558000</v>
      </c>
      <c r="F201" s="486"/>
      <c r="G201" s="486"/>
      <c r="H201" s="486"/>
      <c r="I201" s="486"/>
      <c r="J201" s="486"/>
      <c r="K201" s="486"/>
      <c r="L201" s="486"/>
      <c r="M201" s="486"/>
      <c r="N201" s="486"/>
      <c r="O201" s="486"/>
      <c r="P201" s="492">
        <f t="shared" si="3"/>
        <v>0</v>
      </c>
      <c r="Q201" s="486"/>
    </row>
    <row r="202" spans="1:17" s="491" customFormat="1" x14ac:dyDescent="0.35">
      <c r="A202" s="490" t="s">
        <v>272</v>
      </c>
      <c r="B202" s="491" t="s">
        <v>273</v>
      </c>
      <c r="C202" s="492">
        <v>66000</v>
      </c>
      <c r="D202" s="492">
        <v>66000</v>
      </c>
      <c r="E202" s="492">
        <v>43500</v>
      </c>
      <c r="F202" s="486"/>
      <c r="G202" s="486"/>
      <c r="H202" s="486"/>
      <c r="I202" s="486"/>
      <c r="J202" s="486"/>
      <c r="K202" s="486"/>
      <c r="L202" s="486"/>
      <c r="M202" s="486"/>
      <c r="N202" s="486"/>
      <c r="O202" s="486"/>
      <c r="P202" s="492">
        <f t="shared" si="3"/>
        <v>0</v>
      </c>
      <c r="Q202" s="486"/>
    </row>
    <row r="203" spans="1:17" s="491" customFormat="1" x14ac:dyDescent="0.35">
      <c r="A203" s="490" t="s">
        <v>274</v>
      </c>
      <c r="B203" s="491" t="s">
        <v>1336</v>
      </c>
      <c r="C203" s="492">
        <v>0</v>
      </c>
      <c r="D203" s="492">
        <v>0</v>
      </c>
      <c r="E203" s="492">
        <v>0</v>
      </c>
      <c r="F203" s="486"/>
      <c r="G203" s="486"/>
      <c r="H203" s="486"/>
      <c r="I203" s="486"/>
      <c r="J203" s="486"/>
      <c r="K203" s="486"/>
      <c r="L203" s="486"/>
      <c r="M203" s="486"/>
      <c r="N203" s="486"/>
      <c r="O203" s="486"/>
      <c r="P203" s="492">
        <f t="shared" si="3"/>
        <v>0</v>
      </c>
      <c r="Q203" s="486"/>
    </row>
    <row r="204" spans="1:17" s="491" customFormat="1" x14ac:dyDescent="0.35">
      <c r="A204" s="490" t="s">
        <v>275</v>
      </c>
      <c r="B204" s="491" t="s">
        <v>1337</v>
      </c>
      <c r="C204" s="492">
        <v>0</v>
      </c>
      <c r="D204" s="492">
        <v>0</v>
      </c>
      <c r="E204" s="492">
        <v>0</v>
      </c>
      <c r="F204" s="486"/>
      <c r="G204" s="486"/>
      <c r="H204" s="486"/>
      <c r="I204" s="486"/>
      <c r="J204" s="486"/>
      <c r="K204" s="486"/>
      <c r="L204" s="486"/>
      <c r="M204" s="486"/>
      <c r="N204" s="486"/>
      <c r="O204" s="486"/>
      <c r="P204" s="492">
        <f t="shared" si="3"/>
        <v>0</v>
      </c>
      <c r="Q204" s="486"/>
    </row>
    <row r="205" spans="1:17" s="491" customFormat="1" x14ac:dyDescent="0.35">
      <c r="A205" s="490" t="s">
        <v>858</v>
      </c>
      <c r="B205" s="491" t="s">
        <v>1338</v>
      </c>
      <c r="C205" s="492">
        <v>5137200</v>
      </c>
      <c r="D205" s="492">
        <v>5137200</v>
      </c>
      <c r="E205" s="492">
        <v>624800</v>
      </c>
      <c r="F205" s="486"/>
      <c r="G205" s="486"/>
      <c r="H205" s="486"/>
      <c r="I205" s="486"/>
      <c r="J205" s="486"/>
      <c r="K205" s="486"/>
      <c r="L205" s="486"/>
      <c r="M205" s="486"/>
      <c r="N205" s="486"/>
      <c r="O205" s="486"/>
      <c r="P205" s="492">
        <f t="shared" si="3"/>
        <v>0</v>
      </c>
      <c r="Q205" s="486"/>
    </row>
    <row r="206" spans="1:17" s="491" customFormat="1" x14ac:dyDescent="0.35">
      <c r="A206" s="490" t="s">
        <v>859</v>
      </c>
      <c r="B206" s="491" t="s">
        <v>1339</v>
      </c>
      <c r="C206" s="492">
        <v>0</v>
      </c>
      <c r="D206" s="492">
        <v>0</v>
      </c>
      <c r="E206" s="492">
        <v>0</v>
      </c>
      <c r="F206" s="486"/>
      <c r="G206" s="486"/>
      <c r="H206" s="486"/>
      <c r="I206" s="486"/>
      <c r="J206" s="486"/>
      <c r="K206" s="486"/>
      <c r="L206" s="486"/>
      <c r="M206" s="486"/>
      <c r="N206" s="486"/>
      <c r="O206" s="486"/>
      <c r="P206" s="492">
        <f t="shared" si="3"/>
        <v>0</v>
      </c>
      <c r="Q206" s="486"/>
    </row>
    <row r="207" spans="1:17" s="491" customFormat="1" x14ac:dyDescent="0.35">
      <c r="A207" s="490" t="s">
        <v>1295</v>
      </c>
      <c r="B207" s="491" t="s">
        <v>1340</v>
      </c>
      <c r="C207" s="492">
        <v>0</v>
      </c>
      <c r="D207" s="492">
        <v>0</v>
      </c>
      <c r="E207" s="492">
        <v>0</v>
      </c>
      <c r="F207" s="486"/>
      <c r="G207" s="486"/>
      <c r="H207" s="486"/>
      <c r="I207" s="486"/>
      <c r="J207" s="486"/>
      <c r="K207" s="486"/>
      <c r="L207" s="486"/>
      <c r="M207" s="486"/>
      <c r="N207" s="486"/>
      <c r="O207" s="486"/>
      <c r="P207" s="492">
        <f t="shared" si="3"/>
        <v>0</v>
      </c>
      <c r="Q207" s="486"/>
    </row>
    <row r="208" spans="1:17" s="491" customFormat="1" x14ac:dyDescent="0.35">
      <c r="A208" s="490" t="s">
        <v>1296</v>
      </c>
      <c r="B208" s="491" t="s">
        <v>1341</v>
      </c>
      <c r="C208" s="492">
        <v>0</v>
      </c>
      <c r="D208" s="492">
        <v>0</v>
      </c>
      <c r="E208" s="492">
        <v>0</v>
      </c>
      <c r="F208" s="486"/>
      <c r="G208" s="486"/>
      <c r="H208" s="486"/>
      <c r="I208" s="486"/>
      <c r="J208" s="486"/>
      <c r="K208" s="486"/>
      <c r="L208" s="486"/>
      <c r="M208" s="486"/>
      <c r="N208" s="486"/>
      <c r="O208" s="486"/>
      <c r="P208" s="492">
        <f t="shared" si="3"/>
        <v>0</v>
      </c>
      <c r="Q208" s="486"/>
    </row>
    <row r="209" spans="1:17" s="491" customFormat="1" x14ac:dyDescent="0.35">
      <c r="A209" s="490" t="s">
        <v>1297</v>
      </c>
      <c r="B209" s="491" t="s">
        <v>1342</v>
      </c>
      <c r="C209" s="492">
        <v>0</v>
      </c>
      <c r="D209" s="492">
        <v>0</v>
      </c>
      <c r="E209" s="492">
        <v>2532900</v>
      </c>
      <c r="F209" s="486"/>
      <c r="G209" s="486"/>
      <c r="H209" s="486"/>
      <c r="I209" s="486"/>
      <c r="J209" s="486"/>
      <c r="K209" s="486"/>
      <c r="L209" s="486"/>
      <c r="M209" s="486"/>
      <c r="N209" s="486"/>
      <c r="O209" s="486"/>
      <c r="P209" s="492">
        <f t="shared" si="3"/>
        <v>0</v>
      </c>
      <c r="Q209" s="486"/>
    </row>
    <row r="210" spans="1:17" s="491" customFormat="1" x14ac:dyDescent="0.35">
      <c r="A210" s="490" t="s">
        <v>1300</v>
      </c>
      <c r="B210" s="491" t="s">
        <v>1343</v>
      </c>
      <c r="C210" s="492">
        <v>0</v>
      </c>
      <c r="D210" s="492">
        <v>0</v>
      </c>
      <c r="E210" s="492">
        <v>0</v>
      </c>
      <c r="F210" s="486"/>
      <c r="G210" s="486"/>
      <c r="H210" s="486"/>
      <c r="I210" s="486"/>
      <c r="J210" s="486"/>
      <c r="K210" s="486"/>
      <c r="L210" s="486"/>
      <c r="M210" s="486"/>
      <c r="N210" s="486"/>
      <c r="O210" s="486"/>
      <c r="P210" s="492">
        <f t="shared" si="3"/>
        <v>0</v>
      </c>
      <c r="Q210" s="486"/>
    </row>
    <row r="211" spans="1:17" s="491" customFormat="1" x14ac:dyDescent="0.35">
      <c r="A211" s="490" t="s">
        <v>860</v>
      </c>
      <c r="B211" s="491" t="s">
        <v>861</v>
      </c>
      <c r="C211" s="492">
        <v>0</v>
      </c>
      <c r="D211" s="492">
        <v>0</v>
      </c>
      <c r="E211" s="492">
        <v>0</v>
      </c>
      <c r="F211" s="486"/>
      <c r="G211" s="486"/>
      <c r="H211" s="486"/>
      <c r="I211" s="486"/>
      <c r="J211" s="486"/>
      <c r="K211" s="486"/>
      <c r="L211" s="486"/>
      <c r="M211" s="486"/>
      <c r="N211" s="486"/>
      <c r="O211" s="486"/>
      <c r="P211" s="492">
        <f t="shared" si="3"/>
        <v>0</v>
      </c>
      <c r="Q211" s="486"/>
    </row>
    <row r="212" spans="1:17" s="491" customFormat="1" x14ac:dyDescent="0.35">
      <c r="A212" s="490" t="s">
        <v>1367</v>
      </c>
      <c r="B212" s="491" t="s">
        <v>1368</v>
      </c>
      <c r="C212" s="492">
        <v>0</v>
      </c>
      <c r="D212" s="492">
        <v>0</v>
      </c>
      <c r="E212" s="492">
        <v>0</v>
      </c>
      <c r="F212" s="486"/>
      <c r="G212" s="486"/>
      <c r="H212" s="486"/>
      <c r="I212" s="486"/>
      <c r="J212" s="486"/>
      <c r="K212" s="486"/>
      <c r="L212" s="486"/>
      <c r="M212" s="486"/>
      <c r="N212" s="486"/>
      <c r="O212" s="486"/>
      <c r="P212" s="492">
        <f t="shared" si="3"/>
        <v>0</v>
      </c>
      <c r="Q212" s="486"/>
    </row>
    <row r="213" spans="1:17" s="491" customFormat="1" x14ac:dyDescent="0.35">
      <c r="A213" s="490" t="s">
        <v>1369</v>
      </c>
      <c r="B213" s="491" t="s">
        <v>1370</v>
      </c>
      <c r="C213" s="492">
        <v>0</v>
      </c>
      <c r="D213" s="492">
        <v>0</v>
      </c>
      <c r="E213" s="492">
        <v>20860</v>
      </c>
      <c r="F213" s="486"/>
      <c r="G213" s="486"/>
      <c r="H213" s="486"/>
      <c r="I213" s="486"/>
      <c r="J213" s="486"/>
      <c r="K213" s="486"/>
      <c r="L213" s="486"/>
      <c r="M213" s="486"/>
      <c r="N213" s="486"/>
      <c r="O213" s="486"/>
      <c r="P213" s="492">
        <f t="shared" si="3"/>
        <v>0</v>
      </c>
      <c r="Q213" s="486"/>
    </row>
    <row r="214" spans="1:17" s="491" customFormat="1" x14ac:dyDescent="0.35">
      <c r="A214" s="490" t="s">
        <v>862</v>
      </c>
      <c r="B214" s="491" t="s">
        <v>863</v>
      </c>
      <c r="C214" s="492">
        <v>0</v>
      </c>
      <c r="D214" s="492">
        <v>0</v>
      </c>
      <c r="E214" s="492">
        <v>0</v>
      </c>
      <c r="F214" s="486"/>
      <c r="G214" s="486"/>
      <c r="H214" s="486"/>
      <c r="I214" s="486"/>
      <c r="J214" s="486"/>
      <c r="K214" s="486"/>
      <c r="L214" s="486"/>
      <c r="M214" s="486"/>
      <c r="N214" s="486"/>
      <c r="O214" s="486"/>
      <c r="P214" s="492">
        <f t="shared" si="3"/>
        <v>0</v>
      </c>
      <c r="Q214" s="486"/>
    </row>
    <row r="215" spans="1:17" s="491" customFormat="1" x14ac:dyDescent="0.35">
      <c r="A215" s="490" t="s">
        <v>864</v>
      </c>
      <c r="B215" s="491" t="s">
        <v>865</v>
      </c>
      <c r="C215" s="492">
        <v>0</v>
      </c>
      <c r="D215" s="492">
        <v>0</v>
      </c>
      <c r="E215" s="492">
        <v>0</v>
      </c>
      <c r="F215" s="486"/>
      <c r="G215" s="486"/>
      <c r="H215" s="486"/>
      <c r="I215" s="486"/>
      <c r="J215" s="486"/>
      <c r="K215" s="486"/>
      <c r="L215" s="486"/>
      <c r="M215" s="486"/>
      <c r="N215" s="486"/>
      <c r="O215" s="486"/>
      <c r="P215" s="492">
        <f t="shared" si="3"/>
        <v>0</v>
      </c>
      <c r="Q215" s="486"/>
    </row>
    <row r="216" spans="1:17" s="491" customFormat="1" x14ac:dyDescent="0.35">
      <c r="A216" s="490" t="s">
        <v>290</v>
      </c>
      <c r="B216" s="491" t="s">
        <v>291</v>
      </c>
      <c r="C216" s="492">
        <v>150000</v>
      </c>
      <c r="D216" s="492">
        <v>150000</v>
      </c>
      <c r="E216" s="492">
        <v>91722</v>
      </c>
      <c r="F216" s="486"/>
      <c r="G216" s="486"/>
      <c r="H216" s="486"/>
      <c r="I216" s="486"/>
      <c r="J216" s="486"/>
      <c r="K216" s="486"/>
      <c r="L216" s="486"/>
      <c r="M216" s="486"/>
      <c r="N216" s="486"/>
      <c r="O216" s="486"/>
      <c r="P216" s="492">
        <f t="shared" si="3"/>
        <v>0</v>
      </c>
      <c r="Q216" s="486"/>
    </row>
    <row r="217" spans="1:17" s="491" customFormat="1" x14ac:dyDescent="0.35">
      <c r="A217" s="490" t="s">
        <v>292</v>
      </c>
      <c r="B217" s="491" t="s">
        <v>293</v>
      </c>
      <c r="C217" s="492">
        <v>60000</v>
      </c>
      <c r="D217" s="492">
        <v>60000</v>
      </c>
      <c r="E217" s="492">
        <v>18120</v>
      </c>
      <c r="F217" s="486"/>
      <c r="G217" s="486"/>
      <c r="H217" s="486"/>
      <c r="I217" s="486"/>
      <c r="J217" s="486"/>
      <c r="K217" s="486"/>
      <c r="L217" s="486"/>
      <c r="M217" s="486"/>
      <c r="N217" s="486"/>
      <c r="O217" s="486"/>
      <c r="P217" s="492">
        <f t="shared" si="3"/>
        <v>0</v>
      </c>
      <c r="Q217" s="486"/>
    </row>
    <row r="218" spans="1:17" s="491" customFormat="1" x14ac:dyDescent="0.35">
      <c r="A218" s="490" t="s">
        <v>866</v>
      </c>
      <c r="B218" s="491" t="s">
        <v>867</v>
      </c>
      <c r="C218" s="492">
        <v>0</v>
      </c>
      <c r="D218" s="492">
        <v>0</v>
      </c>
      <c r="E218" s="492">
        <v>0</v>
      </c>
      <c r="F218" s="486"/>
      <c r="G218" s="486"/>
      <c r="H218" s="486"/>
      <c r="I218" s="486"/>
      <c r="J218" s="486"/>
      <c r="K218" s="486"/>
      <c r="L218" s="486"/>
      <c r="M218" s="486"/>
      <c r="N218" s="486"/>
      <c r="O218" s="486"/>
      <c r="P218" s="492">
        <f t="shared" si="3"/>
        <v>0</v>
      </c>
      <c r="Q218" s="486"/>
    </row>
    <row r="219" spans="1:17" s="491" customFormat="1" x14ac:dyDescent="0.35">
      <c r="A219" s="490" t="s">
        <v>294</v>
      </c>
      <c r="B219" s="491" t="s">
        <v>295</v>
      </c>
      <c r="C219" s="492">
        <v>0</v>
      </c>
      <c r="D219" s="492">
        <v>0</v>
      </c>
      <c r="E219" s="492">
        <v>0</v>
      </c>
      <c r="F219" s="486"/>
      <c r="G219" s="486"/>
      <c r="H219" s="486"/>
      <c r="I219" s="486"/>
      <c r="J219" s="486"/>
      <c r="K219" s="486"/>
      <c r="L219" s="486"/>
      <c r="M219" s="486"/>
      <c r="N219" s="486"/>
      <c r="O219" s="486"/>
      <c r="P219" s="492">
        <f t="shared" si="3"/>
        <v>0</v>
      </c>
      <c r="Q219" s="486"/>
    </row>
    <row r="220" spans="1:17" s="491" customFormat="1" x14ac:dyDescent="0.35">
      <c r="A220" s="490" t="s">
        <v>296</v>
      </c>
      <c r="B220" s="491" t="s">
        <v>297</v>
      </c>
      <c r="C220" s="492">
        <v>0</v>
      </c>
      <c r="D220" s="492">
        <v>0</v>
      </c>
      <c r="E220" s="492">
        <v>0</v>
      </c>
      <c r="F220" s="486"/>
      <c r="G220" s="486"/>
      <c r="H220" s="486"/>
      <c r="I220" s="486"/>
      <c r="J220" s="486"/>
      <c r="K220" s="486"/>
      <c r="L220" s="486"/>
      <c r="M220" s="486"/>
      <c r="N220" s="486"/>
      <c r="O220" s="486"/>
      <c r="P220" s="492">
        <f t="shared" si="3"/>
        <v>0</v>
      </c>
      <c r="Q220" s="486"/>
    </row>
    <row r="221" spans="1:17" s="491" customFormat="1" x14ac:dyDescent="0.35">
      <c r="A221" s="490" t="s">
        <v>298</v>
      </c>
      <c r="B221" s="491" t="s">
        <v>1121</v>
      </c>
      <c r="C221" s="492">
        <v>0</v>
      </c>
      <c r="D221" s="492">
        <v>0</v>
      </c>
      <c r="E221" s="492">
        <v>0</v>
      </c>
      <c r="F221" s="486"/>
      <c r="G221" s="486"/>
      <c r="H221" s="486"/>
      <c r="I221" s="486"/>
      <c r="J221" s="486"/>
      <c r="K221" s="486"/>
      <c r="L221" s="486"/>
      <c r="M221" s="486"/>
      <c r="N221" s="486"/>
      <c r="O221" s="486"/>
      <c r="P221" s="492">
        <f t="shared" si="3"/>
        <v>0</v>
      </c>
      <c r="Q221" s="486"/>
    </row>
    <row r="222" spans="1:17" s="491" customFormat="1" x14ac:dyDescent="0.35">
      <c r="A222" s="490" t="s">
        <v>299</v>
      </c>
      <c r="B222" s="491" t="s">
        <v>300</v>
      </c>
      <c r="C222" s="492">
        <v>0</v>
      </c>
      <c r="D222" s="492">
        <v>0</v>
      </c>
      <c r="E222" s="492">
        <v>0</v>
      </c>
      <c r="F222" s="486"/>
      <c r="G222" s="486"/>
      <c r="H222" s="486"/>
      <c r="I222" s="486"/>
      <c r="J222" s="486"/>
      <c r="K222" s="486"/>
      <c r="L222" s="486"/>
      <c r="M222" s="486"/>
      <c r="N222" s="486"/>
      <c r="O222" s="486"/>
      <c r="P222" s="492">
        <f t="shared" si="3"/>
        <v>0</v>
      </c>
      <c r="Q222" s="486"/>
    </row>
    <row r="223" spans="1:17" s="491" customFormat="1" x14ac:dyDescent="0.35">
      <c r="A223" s="490" t="s">
        <v>301</v>
      </c>
      <c r="B223" s="491" t="s">
        <v>302</v>
      </c>
      <c r="C223" s="492">
        <v>0</v>
      </c>
      <c r="D223" s="492">
        <v>0</v>
      </c>
      <c r="E223" s="492">
        <v>0</v>
      </c>
      <c r="F223" s="486"/>
      <c r="G223" s="486"/>
      <c r="H223" s="486"/>
      <c r="I223" s="486"/>
      <c r="J223" s="486"/>
      <c r="K223" s="486"/>
      <c r="L223" s="486"/>
      <c r="M223" s="486"/>
      <c r="N223" s="486"/>
      <c r="O223" s="486"/>
      <c r="P223" s="492">
        <f t="shared" si="3"/>
        <v>0</v>
      </c>
      <c r="Q223" s="486"/>
    </row>
    <row r="224" spans="1:17" s="491" customFormat="1" x14ac:dyDescent="0.35">
      <c r="A224" s="490" t="s">
        <v>303</v>
      </c>
      <c r="B224" s="491" t="s">
        <v>304</v>
      </c>
      <c r="C224" s="492">
        <v>0</v>
      </c>
      <c r="D224" s="492">
        <v>0</v>
      </c>
      <c r="E224" s="492">
        <v>0</v>
      </c>
      <c r="F224" s="486"/>
      <c r="G224" s="486"/>
      <c r="H224" s="486"/>
      <c r="I224" s="486"/>
      <c r="J224" s="486"/>
      <c r="K224" s="486"/>
      <c r="L224" s="486"/>
      <c r="M224" s="486"/>
      <c r="N224" s="486"/>
      <c r="O224" s="486"/>
      <c r="P224" s="492">
        <f t="shared" si="3"/>
        <v>0</v>
      </c>
      <c r="Q224" s="486"/>
    </row>
    <row r="225" spans="1:17" s="491" customFormat="1" x14ac:dyDescent="0.35">
      <c r="A225" s="490" t="s">
        <v>305</v>
      </c>
      <c r="B225" s="491" t="s">
        <v>291</v>
      </c>
      <c r="C225" s="492">
        <v>0</v>
      </c>
      <c r="D225" s="492">
        <v>0</v>
      </c>
      <c r="E225" s="492">
        <v>0</v>
      </c>
      <c r="F225" s="486"/>
      <c r="G225" s="486"/>
      <c r="H225" s="486"/>
      <c r="I225" s="486"/>
      <c r="J225" s="486"/>
      <c r="K225" s="486"/>
      <c r="L225" s="486"/>
      <c r="M225" s="486"/>
      <c r="N225" s="486"/>
      <c r="O225" s="486"/>
      <c r="P225" s="492">
        <f t="shared" si="3"/>
        <v>0</v>
      </c>
      <c r="Q225" s="486"/>
    </row>
    <row r="226" spans="1:17" s="491" customFormat="1" x14ac:dyDescent="0.35">
      <c r="A226" s="490" t="s">
        <v>306</v>
      </c>
      <c r="B226" s="491" t="s">
        <v>307</v>
      </c>
      <c r="C226" s="492">
        <v>0</v>
      </c>
      <c r="D226" s="492">
        <v>0</v>
      </c>
      <c r="E226" s="492">
        <v>0</v>
      </c>
      <c r="F226" s="486"/>
      <c r="G226" s="486"/>
      <c r="H226" s="486"/>
      <c r="I226" s="486"/>
      <c r="J226" s="486"/>
      <c r="K226" s="486"/>
      <c r="L226" s="486"/>
      <c r="M226" s="486"/>
      <c r="N226" s="486"/>
      <c r="O226" s="486"/>
      <c r="P226" s="492">
        <f t="shared" si="3"/>
        <v>0</v>
      </c>
      <c r="Q226" s="486"/>
    </row>
    <row r="227" spans="1:17" x14ac:dyDescent="0.35">
      <c r="A227" s="493" t="s">
        <v>868</v>
      </c>
      <c r="B227" s="489" t="s">
        <v>869</v>
      </c>
      <c r="C227" s="494">
        <v>0</v>
      </c>
      <c r="D227" s="494">
        <v>0</v>
      </c>
      <c r="E227" s="494">
        <v>0</v>
      </c>
      <c r="P227" s="492">
        <f t="shared" si="3"/>
        <v>0</v>
      </c>
    </row>
    <row r="228" spans="1:17" x14ac:dyDescent="0.35">
      <c r="A228" s="493" t="s">
        <v>308</v>
      </c>
      <c r="B228" s="489" t="s">
        <v>309</v>
      </c>
      <c r="C228" s="494">
        <v>0</v>
      </c>
      <c r="D228" s="494">
        <v>0</v>
      </c>
      <c r="E228" s="494">
        <v>0</v>
      </c>
      <c r="P228" s="492">
        <f t="shared" si="3"/>
        <v>0</v>
      </c>
    </row>
    <row r="229" spans="1:17" x14ac:dyDescent="0.35">
      <c r="A229" s="493" t="s">
        <v>310</v>
      </c>
      <c r="B229" s="489" t="s">
        <v>311</v>
      </c>
      <c r="C229" s="494">
        <v>0</v>
      </c>
      <c r="D229" s="494">
        <v>0</v>
      </c>
      <c r="E229" s="494">
        <v>0</v>
      </c>
      <c r="P229" s="492">
        <f t="shared" si="3"/>
        <v>0</v>
      </c>
    </row>
    <row r="230" spans="1:17" x14ac:dyDescent="0.35">
      <c r="A230" s="493" t="s">
        <v>312</v>
      </c>
      <c r="B230" s="489" t="s">
        <v>313</v>
      </c>
      <c r="C230" s="494">
        <v>0</v>
      </c>
      <c r="D230" s="494">
        <v>0</v>
      </c>
      <c r="E230" s="494">
        <v>0</v>
      </c>
      <c r="P230" s="492">
        <f t="shared" si="3"/>
        <v>0</v>
      </c>
    </row>
    <row r="231" spans="1:17" x14ac:dyDescent="0.35">
      <c r="A231" s="493" t="s">
        <v>314</v>
      </c>
      <c r="B231" s="489" t="s">
        <v>1308</v>
      </c>
      <c r="C231" s="494">
        <v>400000</v>
      </c>
      <c r="D231" s="494">
        <v>400000</v>
      </c>
      <c r="E231" s="494">
        <v>0</v>
      </c>
      <c r="I231" s="488">
        <v>24000</v>
      </c>
      <c r="P231" s="492">
        <f t="shared" si="3"/>
        <v>24000</v>
      </c>
    </row>
    <row r="232" spans="1:17" x14ac:dyDescent="0.35">
      <c r="A232" s="493" t="s">
        <v>1303</v>
      </c>
      <c r="B232" s="489" t="s">
        <v>1306</v>
      </c>
      <c r="C232" s="494">
        <v>0</v>
      </c>
      <c r="D232" s="494">
        <v>0</v>
      </c>
      <c r="E232" s="494">
        <v>0</v>
      </c>
      <c r="P232" s="492">
        <f t="shared" si="3"/>
        <v>0</v>
      </c>
    </row>
    <row r="233" spans="1:17" x14ac:dyDescent="0.35">
      <c r="A233" s="493" t="s">
        <v>315</v>
      </c>
      <c r="B233" s="489" t="s">
        <v>1307</v>
      </c>
      <c r="C233" s="494">
        <v>0</v>
      </c>
      <c r="D233" s="494">
        <v>0</v>
      </c>
      <c r="E233" s="494">
        <v>0</v>
      </c>
      <c r="P233" s="492">
        <f t="shared" si="3"/>
        <v>0</v>
      </c>
    </row>
    <row r="234" spans="1:17" x14ac:dyDescent="0.35">
      <c r="A234" s="493" t="s">
        <v>1304</v>
      </c>
      <c r="B234" s="489" t="s">
        <v>1309</v>
      </c>
      <c r="C234" s="494">
        <v>0</v>
      </c>
      <c r="D234" s="494">
        <v>0</v>
      </c>
      <c r="E234" s="494">
        <v>57736</v>
      </c>
      <c r="P234" s="492">
        <f t="shared" si="3"/>
        <v>0</v>
      </c>
    </row>
    <row r="235" spans="1:17" x14ac:dyDescent="0.35">
      <c r="A235" s="493" t="s">
        <v>316</v>
      </c>
      <c r="B235" s="489" t="s">
        <v>1312</v>
      </c>
      <c r="C235" s="494">
        <v>50000</v>
      </c>
      <c r="D235" s="494">
        <v>50000</v>
      </c>
      <c r="E235" s="494">
        <v>0</v>
      </c>
      <c r="P235" s="492">
        <f t="shared" si="3"/>
        <v>0</v>
      </c>
    </row>
    <row r="236" spans="1:17" x14ac:dyDescent="0.35">
      <c r="A236" s="493" t="s">
        <v>1305</v>
      </c>
      <c r="B236" s="489" t="s">
        <v>1313</v>
      </c>
      <c r="C236" s="494">
        <v>0</v>
      </c>
      <c r="D236" s="494">
        <v>0</v>
      </c>
      <c r="E236" s="494">
        <v>320</v>
      </c>
      <c r="P236" s="492">
        <f t="shared" si="3"/>
        <v>0</v>
      </c>
    </row>
    <row r="237" spans="1:17" x14ac:dyDescent="0.35">
      <c r="A237" s="493" t="s">
        <v>317</v>
      </c>
      <c r="B237" s="489" t="s">
        <v>1314</v>
      </c>
      <c r="C237" s="494">
        <v>200000</v>
      </c>
      <c r="D237" s="494">
        <v>200000</v>
      </c>
      <c r="E237" s="494">
        <v>0</v>
      </c>
      <c r="P237" s="492">
        <f t="shared" si="3"/>
        <v>0</v>
      </c>
    </row>
    <row r="238" spans="1:17" x14ac:dyDescent="0.35">
      <c r="A238" s="493" t="s">
        <v>1310</v>
      </c>
      <c r="B238" s="489" t="s">
        <v>1315</v>
      </c>
      <c r="C238" s="494">
        <v>0</v>
      </c>
      <c r="D238" s="494">
        <v>0</v>
      </c>
      <c r="E238" s="494">
        <v>0</v>
      </c>
      <c r="P238" s="492">
        <f t="shared" si="3"/>
        <v>0</v>
      </c>
    </row>
    <row r="239" spans="1:17" x14ac:dyDescent="0.35">
      <c r="A239" s="493" t="s">
        <v>318</v>
      </c>
      <c r="B239" s="489" t="s">
        <v>1316</v>
      </c>
      <c r="C239" s="494">
        <v>150000</v>
      </c>
      <c r="D239" s="494">
        <v>150000</v>
      </c>
      <c r="E239" s="494">
        <v>0</v>
      </c>
      <c r="P239" s="492">
        <f t="shared" si="3"/>
        <v>0</v>
      </c>
    </row>
    <row r="240" spans="1:17" x14ac:dyDescent="0.35">
      <c r="A240" s="493" t="s">
        <v>1311</v>
      </c>
      <c r="B240" s="489" t="s">
        <v>1317</v>
      </c>
      <c r="C240" s="494">
        <v>0</v>
      </c>
      <c r="D240" s="494">
        <v>0</v>
      </c>
      <c r="E240" s="494">
        <v>46789</v>
      </c>
      <c r="P240" s="492">
        <f t="shared" si="3"/>
        <v>0</v>
      </c>
    </row>
    <row r="241" spans="1:16" x14ac:dyDescent="0.35">
      <c r="A241" s="493" t="s">
        <v>870</v>
      </c>
      <c r="B241" s="489" t="s">
        <v>384</v>
      </c>
      <c r="C241" s="494">
        <v>261628.80000000002</v>
      </c>
      <c r="D241" s="494">
        <v>255000</v>
      </c>
      <c r="E241" s="494">
        <v>163518</v>
      </c>
      <c r="P241" s="492">
        <f t="shared" si="3"/>
        <v>0</v>
      </c>
    </row>
    <row r="242" spans="1:16" x14ac:dyDescent="0.35">
      <c r="A242" s="493" t="s">
        <v>871</v>
      </c>
      <c r="B242" s="489" t="s">
        <v>385</v>
      </c>
      <c r="C242" s="494">
        <v>0</v>
      </c>
      <c r="D242" s="494">
        <v>0</v>
      </c>
      <c r="E242" s="494">
        <v>0</v>
      </c>
      <c r="P242" s="492">
        <f t="shared" si="3"/>
        <v>0</v>
      </c>
    </row>
    <row r="243" spans="1:16" x14ac:dyDescent="0.35">
      <c r="A243" s="493" t="s">
        <v>872</v>
      </c>
      <c r="B243" s="489" t="s">
        <v>386</v>
      </c>
      <c r="C243" s="494">
        <v>66400</v>
      </c>
      <c r="D243" s="494">
        <v>0</v>
      </c>
      <c r="E243" s="494">
        <v>41500</v>
      </c>
      <c r="P243" s="492">
        <f t="shared" si="3"/>
        <v>0</v>
      </c>
    </row>
    <row r="244" spans="1:16" x14ac:dyDescent="0.35">
      <c r="A244" s="493" t="s">
        <v>873</v>
      </c>
      <c r="B244" s="489" t="s">
        <v>387</v>
      </c>
      <c r="C244" s="494">
        <v>0</v>
      </c>
      <c r="D244" s="494">
        <v>0</v>
      </c>
      <c r="E244" s="494">
        <v>0</v>
      </c>
      <c r="P244" s="492">
        <f t="shared" si="3"/>
        <v>0</v>
      </c>
    </row>
    <row r="245" spans="1:16" x14ac:dyDescent="0.35">
      <c r="A245" s="493" t="s">
        <v>874</v>
      </c>
      <c r="B245" s="489" t="s">
        <v>388</v>
      </c>
      <c r="C245" s="494">
        <v>235104</v>
      </c>
      <c r="D245" s="494">
        <v>250000</v>
      </c>
      <c r="E245" s="494">
        <v>146940</v>
      </c>
      <c r="P245" s="492">
        <f t="shared" si="3"/>
        <v>0</v>
      </c>
    </row>
    <row r="246" spans="1:16" x14ac:dyDescent="0.35">
      <c r="A246" s="493" t="s">
        <v>875</v>
      </c>
      <c r="B246" s="489" t="s">
        <v>389</v>
      </c>
      <c r="C246" s="494">
        <v>417571.07200000004</v>
      </c>
      <c r="D246" s="494">
        <v>565000</v>
      </c>
      <c r="E246" s="494">
        <v>260981.92</v>
      </c>
      <c r="P246" s="492">
        <f t="shared" si="3"/>
        <v>0</v>
      </c>
    </row>
    <row r="247" spans="1:16" x14ac:dyDescent="0.35">
      <c r="A247" s="493" t="s">
        <v>876</v>
      </c>
      <c r="B247" s="489" t="s">
        <v>394</v>
      </c>
      <c r="C247" s="494">
        <v>214611.20000000001</v>
      </c>
      <c r="D247" s="494">
        <v>194000</v>
      </c>
      <c r="E247" s="494">
        <v>134132</v>
      </c>
      <c r="P247" s="492">
        <f t="shared" si="3"/>
        <v>0</v>
      </c>
    </row>
    <row r="248" spans="1:16" x14ac:dyDescent="0.35">
      <c r="A248" s="493" t="s">
        <v>877</v>
      </c>
      <c r="B248" s="489" t="s">
        <v>395</v>
      </c>
      <c r="C248" s="494">
        <v>27728</v>
      </c>
      <c r="D248" s="494">
        <v>0</v>
      </c>
      <c r="E248" s="494">
        <v>17330</v>
      </c>
      <c r="P248" s="492">
        <f t="shared" si="3"/>
        <v>0</v>
      </c>
    </row>
    <row r="249" spans="1:16" x14ac:dyDescent="0.35">
      <c r="A249" s="493" t="s">
        <v>878</v>
      </c>
      <c r="B249" s="489" t="s">
        <v>396</v>
      </c>
      <c r="C249" s="494">
        <v>0</v>
      </c>
      <c r="D249" s="494">
        <v>0</v>
      </c>
      <c r="E249" s="494">
        <v>0</v>
      </c>
      <c r="P249" s="492">
        <f t="shared" si="3"/>
        <v>0</v>
      </c>
    </row>
    <row r="250" spans="1:16" x14ac:dyDescent="0.35">
      <c r="A250" s="493" t="s">
        <v>319</v>
      </c>
      <c r="B250" s="489" t="s">
        <v>320</v>
      </c>
      <c r="C250" s="494">
        <v>0</v>
      </c>
      <c r="D250" s="494">
        <v>0</v>
      </c>
      <c r="E250" s="494">
        <v>16800</v>
      </c>
      <c r="P250" s="492">
        <f t="shared" si="3"/>
        <v>0</v>
      </c>
    </row>
    <row r="251" spans="1:16" x14ac:dyDescent="0.35">
      <c r="A251" s="493" t="s">
        <v>321</v>
      </c>
      <c r="B251" s="489" t="s">
        <v>322</v>
      </c>
      <c r="C251" s="494">
        <v>0</v>
      </c>
      <c r="D251" s="494">
        <v>0</v>
      </c>
      <c r="E251" s="494">
        <v>7276</v>
      </c>
      <c r="P251" s="492">
        <f t="shared" si="3"/>
        <v>0</v>
      </c>
    </row>
    <row r="252" spans="1:16" x14ac:dyDescent="0.35">
      <c r="A252" s="493" t="s">
        <v>323</v>
      </c>
      <c r="B252" s="489" t="s">
        <v>324</v>
      </c>
      <c r="C252" s="494">
        <v>601766</v>
      </c>
      <c r="D252" s="494">
        <v>617100</v>
      </c>
      <c r="E252" s="494">
        <v>228564.76</v>
      </c>
      <c r="F252" s="488">
        <v>601766</v>
      </c>
      <c r="P252" s="492">
        <f t="shared" si="3"/>
        <v>601766</v>
      </c>
    </row>
    <row r="253" spans="1:16" x14ac:dyDescent="0.35">
      <c r="A253" s="493" t="s">
        <v>325</v>
      </c>
      <c r="B253" s="489" t="s">
        <v>326</v>
      </c>
      <c r="C253" s="494">
        <v>0</v>
      </c>
      <c r="D253" s="494">
        <v>0</v>
      </c>
      <c r="E253" s="494">
        <v>0</v>
      </c>
      <c r="P253" s="492">
        <f t="shared" si="3"/>
        <v>0</v>
      </c>
    </row>
    <row r="254" spans="1:16" x14ac:dyDescent="0.35">
      <c r="A254" s="493" t="s">
        <v>327</v>
      </c>
      <c r="B254" s="489" t="s">
        <v>328</v>
      </c>
      <c r="C254" s="494">
        <v>0</v>
      </c>
      <c r="D254" s="494">
        <v>0</v>
      </c>
      <c r="E254" s="494">
        <v>0</v>
      </c>
      <c r="P254" s="492">
        <f t="shared" si="3"/>
        <v>0</v>
      </c>
    </row>
    <row r="255" spans="1:16" x14ac:dyDescent="0.35">
      <c r="A255" s="493" t="s">
        <v>329</v>
      </c>
      <c r="B255" s="489" t="s">
        <v>330</v>
      </c>
      <c r="C255" s="494">
        <v>608000</v>
      </c>
      <c r="D255" s="494">
        <v>501000</v>
      </c>
      <c r="E255" s="494">
        <v>56260</v>
      </c>
      <c r="H255" s="488">
        <v>60000</v>
      </c>
      <c r="K255" s="488">
        <v>300000</v>
      </c>
      <c r="N255" s="488">
        <v>248000</v>
      </c>
      <c r="P255" s="492">
        <f t="shared" si="3"/>
        <v>608000</v>
      </c>
    </row>
    <row r="256" spans="1:16" x14ac:dyDescent="0.35">
      <c r="A256" s="493" t="s">
        <v>331</v>
      </c>
      <c r="B256" s="489" t="s">
        <v>332</v>
      </c>
      <c r="C256" s="494">
        <v>35000</v>
      </c>
      <c r="D256" s="494">
        <v>35000</v>
      </c>
      <c r="E256" s="494">
        <v>7700</v>
      </c>
      <c r="J256" s="488">
        <v>35000</v>
      </c>
      <c r="P256" s="492">
        <f t="shared" si="3"/>
        <v>35000</v>
      </c>
    </row>
    <row r="257" spans="1:16" x14ac:dyDescent="0.35">
      <c r="A257" s="493" t="s">
        <v>333</v>
      </c>
      <c r="B257" s="491" t="s">
        <v>334</v>
      </c>
      <c r="C257" s="492">
        <v>0</v>
      </c>
      <c r="D257" s="492">
        <v>44000</v>
      </c>
      <c r="E257" s="492">
        <v>4494</v>
      </c>
      <c r="P257" s="492">
        <f t="shared" si="3"/>
        <v>0</v>
      </c>
    </row>
    <row r="258" spans="1:16" x14ac:dyDescent="0.35">
      <c r="A258" s="493" t="s">
        <v>335</v>
      </c>
      <c r="B258" s="489" t="s">
        <v>336</v>
      </c>
      <c r="C258" s="494">
        <v>0</v>
      </c>
      <c r="D258" s="494">
        <v>0</v>
      </c>
      <c r="E258" s="494">
        <v>0</v>
      </c>
      <c r="P258" s="492">
        <f t="shared" si="3"/>
        <v>0</v>
      </c>
    </row>
    <row r="259" spans="1:16" x14ac:dyDescent="0.35">
      <c r="A259" s="493" t="s">
        <v>337</v>
      </c>
      <c r="B259" s="489" t="s">
        <v>338</v>
      </c>
      <c r="C259" s="494">
        <v>0</v>
      </c>
      <c r="D259" s="494">
        <v>0</v>
      </c>
      <c r="E259" s="494">
        <v>0</v>
      </c>
      <c r="P259" s="492">
        <f t="shared" ref="P259:P322" si="4">SUM(F259:N259)</f>
        <v>0</v>
      </c>
    </row>
    <row r="260" spans="1:16" x14ac:dyDescent="0.35">
      <c r="A260" s="493" t="s">
        <v>339</v>
      </c>
      <c r="B260" s="489" t="s">
        <v>1122</v>
      </c>
      <c r="C260" s="494">
        <v>422900</v>
      </c>
      <c r="D260" s="494">
        <v>318400</v>
      </c>
      <c r="E260" s="494">
        <v>0</v>
      </c>
      <c r="K260" s="488">
        <v>390400</v>
      </c>
      <c r="M260" s="488">
        <v>27500</v>
      </c>
      <c r="N260" s="488">
        <v>5000</v>
      </c>
      <c r="P260" s="492">
        <f t="shared" si="4"/>
        <v>422900</v>
      </c>
    </row>
    <row r="261" spans="1:16" x14ac:dyDescent="0.35">
      <c r="A261" s="493" t="s">
        <v>340</v>
      </c>
      <c r="B261" s="489" t="s">
        <v>341</v>
      </c>
      <c r="C261" s="494">
        <v>153960</v>
      </c>
      <c r="D261" s="494">
        <v>63960</v>
      </c>
      <c r="E261" s="494">
        <v>0</v>
      </c>
      <c r="F261" s="488">
        <v>48000</v>
      </c>
      <c r="H261" s="488">
        <v>90000</v>
      </c>
      <c r="L261" s="488">
        <v>7560</v>
      </c>
      <c r="N261" s="488">
        <v>8400</v>
      </c>
      <c r="P261" s="492">
        <f t="shared" si="4"/>
        <v>153960</v>
      </c>
    </row>
    <row r="262" spans="1:16" x14ac:dyDescent="0.35">
      <c r="A262" s="493" t="s">
        <v>342</v>
      </c>
      <c r="B262" s="489" t="s">
        <v>343</v>
      </c>
      <c r="C262" s="494">
        <v>0</v>
      </c>
      <c r="D262" s="494">
        <v>0</v>
      </c>
      <c r="E262" s="494">
        <v>0</v>
      </c>
      <c r="P262" s="492">
        <f t="shared" si="4"/>
        <v>0</v>
      </c>
    </row>
    <row r="263" spans="1:16" x14ac:dyDescent="0.35">
      <c r="A263" s="493" t="s">
        <v>879</v>
      </c>
      <c r="B263" s="489" t="s">
        <v>880</v>
      </c>
      <c r="C263" s="494">
        <v>603849.40800000005</v>
      </c>
      <c r="D263" s="494">
        <v>745000</v>
      </c>
      <c r="E263" s="494">
        <v>377405.88</v>
      </c>
      <c r="P263" s="492">
        <f t="shared" si="4"/>
        <v>0</v>
      </c>
    </row>
    <row r="264" spans="1:16" x14ac:dyDescent="0.35">
      <c r="A264" s="493" t="s">
        <v>344</v>
      </c>
      <c r="B264" s="489" t="s">
        <v>345</v>
      </c>
      <c r="C264" s="494">
        <v>0</v>
      </c>
      <c r="D264" s="494">
        <v>0</v>
      </c>
      <c r="E264" s="494">
        <v>0</v>
      </c>
      <c r="P264" s="492">
        <f t="shared" si="4"/>
        <v>0</v>
      </c>
    </row>
    <row r="265" spans="1:16" x14ac:dyDescent="0.35">
      <c r="A265" s="493" t="s">
        <v>346</v>
      </c>
      <c r="B265" s="489" t="s">
        <v>347</v>
      </c>
      <c r="C265" s="494">
        <v>0</v>
      </c>
      <c r="D265" s="494">
        <v>0</v>
      </c>
      <c r="E265" s="494">
        <v>0</v>
      </c>
      <c r="P265" s="492">
        <f t="shared" si="4"/>
        <v>0</v>
      </c>
    </row>
    <row r="266" spans="1:16" x14ac:dyDescent="0.35">
      <c r="A266" s="493" t="s">
        <v>348</v>
      </c>
      <c r="B266" s="489" t="s">
        <v>349</v>
      </c>
      <c r="C266" s="494">
        <v>0</v>
      </c>
      <c r="D266" s="494">
        <v>0</v>
      </c>
      <c r="E266" s="494">
        <v>0</v>
      </c>
      <c r="P266" s="492">
        <f t="shared" si="4"/>
        <v>0</v>
      </c>
    </row>
    <row r="267" spans="1:16" x14ac:dyDescent="0.35">
      <c r="A267" s="493" t="s">
        <v>350</v>
      </c>
      <c r="B267" s="489" t="s">
        <v>351</v>
      </c>
      <c r="C267" s="494">
        <v>0</v>
      </c>
      <c r="D267" s="494">
        <v>0</v>
      </c>
      <c r="E267" s="494">
        <v>0</v>
      </c>
      <c r="P267" s="492">
        <f t="shared" si="4"/>
        <v>0</v>
      </c>
    </row>
    <row r="268" spans="1:16" x14ac:dyDescent="0.35">
      <c r="A268" s="493" t="s">
        <v>352</v>
      </c>
      <c r="B268" s="489" t="s">
        <v>353</v>
      </c>
      <c r="C268" s="494">
        <v>0</v>
      </c>
      <c r="D268" s="494">
        <v>0</v>
      </c>
      <c r="E268" s="494">
        <v>0</v>
      </c>
      <c r="P268" s="492">
        <f t="shared" si="4"/>
        <v>0</v>
      </c>
    </row>
    <row r="269" spans="1:16" x14ac:dyDescent="0.35">
      <c r="A269" s="493" t="s">
        <v>354</v>
      </c>
      <c r="B269" s="489" t="s">
        <v>355</v>
      </c>
      <c r="C269" s="494">
        <v>113410</v>
      </c>
      <c r="D269" s="494">
        <v>113410</v>
      </c>
      <c r="E269" s="494">
        <v>74009</v>
      </c>
      <c r="F269" s="488">
        <v>113410</v>
      </c>
      <c r="P269" s="492">
        <f t="shared" si="4"/>
        <v>113410</v>
      </c>
    </row>
    <row r="270" spans="1:16" x14ac:dyDescent="0.35">
      <c r="A270" s="493" t="s">
        <v>356</v>
      </c>
      <c r="B270" s="489" t="s">
        <v>1123</v>
      </c>
      <c r="C270" s="494">
        <v>209000</v>
      </c>
      <c r="D270" s="494">
        <v>209000</v>
      </c>
      <c r="E270" s="494">
        <v>0</v>
      </c>
      <c r="N270" s="488">
        <v>209000</v>
      </c>
      <c r="P270" s="492">
        <f t="shared" si="4"/>
        <v>209000</v>
      </c>
    </row>
    <row r="271" spans="1:16" x14ac:dyDescent="0.35">
      <c r="A271" s="493" t="s">
        <v>358</v>
      </c>
      <c r="B271" s="489" t="s">
        <v>1124</v>
      </c>
      <c r="C271" s="494">
        <v>1349780.4</v>
      </c>
      <c r="D271" s="494">
        <v>1417710.4</v>
      </c>
      <c r="E271" s="494">
        <v>144329</v>
      </c>
      <c r="F271" s="488">
        <v>628330.4</v>
      </c>
      <c r="G271" s="488">
        <v>202400</v>
      </c>
      <c r="H271" s="488">
        <v>31390</v>
      </c>
      <c r="J271" s="488">
        <v>22000</v>
      </c>
      <c r="K271" s="488">
        <v>452960</v>
      </c>
      <c r="M271" s="488">
        <v>12700</v>
      </c>
      <c r="P271" s="492">
        <f t="shared" si="4"/>
        <v>1349780.4</v>
      </c>
    </row>
    <row r="272" spans="1:16" x14ac:dyDescent="0.35">
      <c r="A272" s="493" t="s">
        <v>359</v>
      </c>
      <c r="B272" s="489" t="s">
        <v>360</v>
      </c>
      <c r="C272" s="494">
        <v>836500</v>
      </c>
      <c r="D272" s="494">
        <v>836500</v>
      </c>
      <c r="E272" s="494">
        <v>425775.1</v>
      </c>
      <c r="H272" s="488">
        <v>836500</v>
      </c>
      <c r="P272" s="492">
        <f t="shared" si="4"/>
        <v>836500</v>
      </c>
    </row>
    <row r="273" spans="1:16" x14ac:dyDescent="0.35">
      <c r="A273" s="493" t="s">
        <v>361</v>
      </c>
      <c r="B273" s="491" t="s">
        <v>362</v>
      </c>
      <c r="C273" s="492">
        <v>572500</v>
      </c>
      <c r="D273" s="492">
        <v>400000</v>
      </c>
      <c r="E273" s="492">
        <v>140840</v>
      </c>
      <c r="L273" s="488">
        <v>572500</v>
      </c>
      <c r="P273" s="492">
        <f t="shared" si="4"/>
        <v>572500</v>
      </c>
    </row>
    <row r="274" spans="1:16" x14ac:dyDescent="0.35">
      <c r="A274" s="493" t="s">
        <v>363</v>
      </c>
      <c r="B274" s="489" t="s">
        <v>364</v>
      </c>
      <c r="C274" s="494">
        <v>0</v>
      </c>
      <c r="D274" s="494">
        <v>0</v>
      </c>
      <c r="E274" s="494">
        <v>0</v>
      </c>
      <c r="P274" s="492">
        <f t="shared" si="4"/>
        <v>0</v>
      </c>
    </row>
    <row r="275" spans="1:16" x14ac:dyDescent="0.35">
      <c r="A275" s="493" t="s">
        <v>365</v>
      </c>
      <c r="B275" s="489" t="s">
        <v>366</v>
      </c>
      <c r="C275" s="494">
        <v>0</v>
      </c>
      <c r="D275" s="494">
        <v>0</v>
      </c>
      <c r="E275" s="494">
        <v>0</v>
      </c>
      <c r="P275" s="492">
        <f t="shared" si="4"/>
        <v>0</v>
      </c>
    </row>
    <row r="276" spans="1:16" x14ac:dyDescent="0.35">
      <c r="A276" s="493" t="s">
        <v>375</v>
      </c>
      <c r="B276" s="489" t="s">
        <v>376</v>
      </c>
      <c r="C276" s="494">
        <v>1845998.4983999999</v>
      </c>
      <c r="D276" s="494">
        <v>1845998.4983999999</v>
      </c>
      <c r="E276" s="494">
        <v>922601.15</v>
      </c>
      <c r="F276" s="488">
        <v>1845998.4983999999</v>
      </c>
      <c r="P276" s="492">
        <f t="shared" si="4"/>
        <v>1845998.4983999999</v>
      </c>
    </row>
    <row r="277" spans="1:16" x14ac:dyDescent="0.35">
      <c r="A277" s="493" t="s">
        <v>377</v>
      </c>
      <c r="B277" s="489" t="s">
        <v>1125</v>
      </c>
      <c r="C277" s="494">
        <v>5000</v>
      </c>
      <c r="D277" s="494">
        <v>5000</v>
      </c>
      <c r="E277" s="494">
        <v>5121</v>
      </c>
      <c r="F277" s="488">
        <v>5000</v>
      </c>
      <c r="P277" s="492">
        <f t="shared" si="4"/>
        <v>5000</v>
      </c>
    </row>
    <row r="278" spans="1:16" x14ac:dyDescent="0.35">
      <c r="A278" s="493" t="s">
        <v>378</v>
      </c>
      <c r="B278" s="489" t="s">
        <v>379</v>
      </c>
      <c r="C278" s="494">
        <v>107790</v>
      </c>
      <c r="D278" s="494">
        <v>81282</v>
      </c>
      <c r="E278" s="494">
        <v>24828.84</v>
      </c>
      <c r="F278" s="488">
        <v>81282</v>
      </c>
      <c r="K278" s="488">
        <v>26508</v>
      </c>
      <c r="P278" s="492">
        <f t="shared" si="4"/>
        <v>107790</v>
      </c>
    </row>
    <row r="279" spans="1:16" x14ac:dyDescent="0.35">
      <c r="A279" s="493" t="s">
        <v>380</v>
      </c>
      <c r="B279" s="489" t="s">
        <v>381</v>
      </c>
      <c r="C279" s="494">
        <v>88596</v>
      </c>
      <c r="D279" s="494">
        <v>88596</v>
      </c>
      <c r="E279" s="494">
        <v>44298</v>
      </c>
      <c r="F279" s="488">
        <v>88596</v>
      </c>
      <c r="P279" s="492">
        <f t="shared" si="4"/>
        <v>88596</v>
      </c>
    </row>
    <row r="280" spans="1:16" x14ac:dyDescent="0.35">
      <c r="A280" s="493" t="s">
        <v>382</v>
      </c>
      <c r="B280" s="489" t="s">
        <v>383</v>
      </c>
      <c r="C280" s="494">
        <v>18000</v>
      </c>
      <c r="D280" s="494">
        <v>18000</v>
      </c>
      <c r="E280" s="494">
        <v>6538</v>
      </c>
      <c r="F280" s="488">
        <v>18000</v>
      </c>
      <c r="P280" s="492">
        <f t="shared" si="4"/>
        <v>18000</v>
      </c>
    </row>
    <row r="281" spans="1:16" x14ac:dyDescent="0.35">
      <c r="A281" s="493" t="s">
        <v>367</v>
      </c>
      <c r="B281" s="489" t="s">
        <v>368</v>
      </c>
      <c r="C281" s="494">
        <v>0</v>
      </c>
      <c r="D281" s="494">
        <v>0</v>
      </c>
      <c r="E281" s="494">
        <v>0</v>
      </c>
      <c r="P281" s="492">
        <f t="shared" si="4"/>
        <v>0</v>
      </c>
    </row>
    <row r="282" spans="1:16" x14ac:dyDescent="0.35">
      <c r="A282" s="493" t="s">
        <v>369</v>
      </c>
      <c r="B282" s="489" t="s">
        <v>370</v>
      </c>
      <c r="C282" s="494">
        <v>147580.48000000001</v>
      </c>
      <c r="D282" s="494">
        <v>126500.48</v>
      </c>
      <c r="E282" s="494">
        <v>47259.77</v>
      </c>
      <c r="F282" s="488">
        <v>147580.48000000001</v>
      </c>
      <c r="P282" s="492">
        <f t="shared" si="4"/>
        <v>147580.48000000001</v>
      </c>
    </row>
    <row r="283" spans="1:16" x14ac:dyDescent="0.35">
      <c r="A283" s="493" t="s">
        <v>215</v>
      </c>
      <c r="B283" s="491" t="s">
        <v>216</v>
      </c>
      <c r="C283" s="492">
        <v>8252608.1900000004</v>
      </c>
      <c r="D283" s="492">
        <v>8252608.1900000004</v>
      </c>
      <c r="E283" s="492">
        <v>2939918.88</v>
      </c>
      <c r="P283" s="492">
        <f t="shared" si="4"/>
        <v>0</v>
      </c>
    </row>
    <row r="284" spans="1:16" x14ac:dyDescent="0.35">
      <c r="A284" s="493" t="s">
        <v>217</v>
      </c>
      <c r="B284" s="491" t="s">
        <v>1126</v>
      </c>
      <c r="C284" s="492">
        <v>119000</v>
      </c>
      <c r="D284" s="492">
        <v>119000</v>
      </c>
      <c r="E284" s="492">
        <v>32251.4</v>
      </c>
      <c r="P284" s="492">
        <f t="shared" si="4"/>
        <v>0</v>
      </c>
    </row>
    <row r="285" spans="1:16" x14ac:dyDescent="0.35">
      <c r="A285" s="493" t="s">
        <v>219</v>
      </c>
      <c r="B285" s="491" t="s">
        <v>1127</v>
      </c>
      <c r="C285" s="492">
        <v>2191000</v>
      </c>
      <c r="D285" s="492">
        <v>2191000</v>
      </c>
      <c r="E285" s="492">
        <v>1126316.81</v>
      </c>
      <c r="P285" s="492">
        <f t="shared" si="4"/>
        <v>0</v>
      </c>
    </row>
    <row r="286" spans="1:16" x14ac:dyDescent="0.35">
      <c r="A286" s="493" t="s">
        <v>222</v>
      </c>
      <c r="B286" s="491" t="s">
        <v>223</v>
      </c>
      <c r="C286" s="492">
        <v>1066488.8999999999</v>
      </c>
      <c r="D286" s="492">
        <v>1066488.8999999999</v>
      </c>
      <c r="E286" s="492">
        <v>330894.57</v>
      </c>
      <c r="P286" s="492">
        <f t="shared" si="4"/>
        <v>0</v>
      </c>
    </row>
    <row r="287" spans="1:16" x14ac:dyDescent="0.35">
      <c r="A287" s="493" t="s">
        <v>390</v>
      </c>
      <c r="B287" s="489" t="s">
        <v>391</v>
      </c>
      <c r="C287" s="494">
        <v>750000</v>
      </c>
      <c r="D287" s="494">
        <v>750000</v>
      </c>
      <c r="E287" s="494">
        <v>217818</v>
      </c>
      <c r="P287" s="492">
        <f t="shared" si="4"/>
        <v>0</v>
      </c>
    </row>
    <row r="288" spans="1:16" x14ac:dyDescent="0.35">
      <c r="A288" s="493" t="s">
        <v>392</v>
      </c>
      <c r="B288" s="489" t="s">
        <v>393</v>
      </c>
      <c r="C288" s="494">
        <v>174000</v>
      </c>
      <c r="D288" s="494">
        <v>174000</v>
      </c>
      <c r="E288" s="494">
        <v>55300</v>
      </c>
      <c r="P288" s="492">
        <f t="shared" si="4"/>
        <v>0</v>
      </c>
    </row>
    <row r="289" spans="1:18" x14ac:dyDescent="0.35">
      <c r="A289" s="493" t="s">
        <v>220</v>
      </c>
      <c r="B289" s="495" t="s">
        <v>221</v>
      </c>
      <c r="C289" s="496">
        <v>597644.38399999996</v>
      </c>
      <c r="D289" s="496">
        <v>450000</v>
      </c>
      <c r="E289" s="496">
        <v>373527.74</v>
      </c>
      <c r="P289" s="492">
        <f t="shared" si="4"/>
        <v>0</v>
      </c>
      <c r="R289" s="497"/>
    </row>
    <row r="290" spans="1:18" x14ac:dyDescent="0.35">
      <c r="A290" s="493" t="s">
        <v>881</v>
      </c>
      <c r="B290" s="489" t="s">
        <v>882</v>
      </c>
      <c r="C290" s="494">
        <v>0</v>
      </c>
      <c r="D290" s="494">
        <v>0</v>
      </c>
      <c r="E290" s="494">
        <v>0</v>
      </c>
      <c r="P290" s="492">
        <f t="shared" si="4"/>
        <v>0</v>
      </c>
    </row>
    <row r="291" spans="1:18" x14ac:dyDescent="0.35">
      <c r="A291" s="493" t="s">
        <v>397</v>
      </c>
      <c r="B291" s="489" t="s">
        <v>1128</v>
      </c>
      <c r="C291" s="494">
        <v>95900</v>
      </c>
      <c r="D291" s="494">
        <v>114400</v>
      </c>
      <c r="E291" s="494">
        <v>22990</v>
      </c>
      <c r="G291" s="488">
        <v>30900</v>
      </c>
      <c r="I291" s="488">
        <v>33200</v>
      </c>
      <c r="K291" s="488">
        <v>30300</v>
      </c>
      <c r="M291" s="488">
        <v>1500</v>
      </c>
      <c r="P291" s="492">
        <f t="shared" si="4"/>
        <v>95900</v>
      </c>
    </row>
    <row r="292" spans="1:18" x14ac:dyDescent="0.35">
      <c r="A292" s="493" t="s">
        <v>371</v>
      </c>
      <c r="B292" s="489" t="s">
        <v>372</v>
      </c>
      <c r="C292" s="494">
        <v>0</v>
      </c>
      <c r="D292" s="494">
        <v>0</v>
      </c>
      <c r="E292" s="494">
        <v>0</v>
      </c>
      <c r="P292" s="492">
        <f t="shared" si="4"/>
        <v>0</v>
      </c>
    </row>
    <row r="293" spans="1:18" x14ac:dyDescent="0.35">
      <c r="A293" s="493" t="s">
        <v>373</v>
      </c>
      <c r="B293" s="489" t="s">
        <v>374</v>
      </c>
      <c r="C293" s="494">
        <v>0</v>
      </c>
      <c r="D293" s="494">
        <v>0</v>
      </c>
      <c r="E293" s="494">
        <v>0</v>
      </c>
      <c r="P293" s="492">
        <f t="shared" si="4"/>
        <v>0</v>
      </c>
    </row>
    <row r="294" spans="1:18" x14ac:dyDescent="0.35">
      <c r="A294" s="493" t="s">
        <v>488</v>
      </c>
      <c r="B294" s="489" t="s">
        <v>1129</v>
      </c>
      <c r="C294" s="494">
        <v>0</v>
      </c>
      <c r="D294" s="494">
        <v>0</v>
      </c>
      <c r="E294" s="494">
        <v>0</v>
      </c>
      <c r="P294" s="492">
        <f t="shared" si="4"/>
        <v>0</v>
      </c>
    </row>
    <row r="295" spans="1:18" x14ac:dyDescent="0.35">
      <c r="A295" s="493" t="s">
        <v>883</v>
      </c>
      <c r="B295" s="489" t="s">
        <v>884</v>
      </c>
      <c r="C295" s="494">
        <v>0</v>
      </c>
      <c r="D295" s="494">
        <v>0</v>
      </c>
      <c r="E295" s="494">
        <v>0</v>
      </c>
      <c r="P295" s="492">
        <f t="shared" si="4"/>
        <v>0</v>
      </c>
    </row>
    <row r="296" spans="1:18" x14ac:dyDescent="0.35">
      <c r="A296" s="493" t="s">
        <v>489</v>
      </c>
      <c r="B296" s="489" t="s">
        <v>490</v>
      </c>
      <c r="C296" s="494">
        <v>0</v>
      </c>
      <c r="D296" s="494">
        <v>0</v>
      </c>
      <c r="E296" s="494">
        <v>0</v>
      </c>
      <c r="P296" s="492">
        <f t="shared" si="4"/>
        <v>0</v>
      </c>
    </row>
    <row r="297" spans="1:18" x14ac:dyDescent="0.35">
      <c r="A297" s="493" t="s">
        <v>885</v>
      </c>
      <c r="B297" s="489" t="s">
        <v>886</v>
      </c>
      <c r="C297" s="494">
        <v>0</v>
      </c>
      <c r="D297" s="494">
        <v>0</v>
      </c>
      <c r="E297" s="494">
        <v>0</v>
      </c>
      <c r="P297" s="492">
        <f t="shared" si="4"/>
        <v>0</v>
      </c>
    </row>
    <row r="298" spans="1:18" x14ac:dyDescent="0.35">
      <c r="A298" s="493" t="s">
        <v>491</v>
      </c>
      <c r="B298" s="489" t="s">
        <v>492</v>
      </c>
      <c r="C298" s="494">
        <v>0</v>
      </c>
      <c r="D298" s="494">
        <v>0</v>
      </c>
      <c r="E298" s="494">
        <v>0</v>
      </c>
      <c r="P298" s="492">
        <f t="shared" si="4"/>
        <v>0</v>
      </c>
    </row>
    <row r="299" spans="1:18" x14ac:dyDescent="0.35">
      <c r="A299" s="493" t="s">
        <v>493</v>
      </c>
      <c r="B299" s="489" t="s">
        <v>494</v>
      </c>
      <c r="C299" s="494">
        <v>0</v>
      </c>
      <c r="D299" s="494">
        <v>0</v>
      </c>
      <c r="E299" s="494">
        <v>0</v>
      </c>
      <c r="P299" s="492">
        <f t="shared" si="4"/>
        <v>0</v>
      </c>
    </row>
    <row r="300" spans="1:18" x14ac:dyDescent="0.35">
      <c r="A300" s="493" t="s">
        <v>495</v>
      </c>
      <c r="B300" s="489" t="s">
        <v>1318</v>
      </c>
      <c r="C300" s="494">
        <v>722000</v>
      </c>
      <c r="D300" s="494">
        <v>722000</v>
      </c>
      <c r="E300" s="494">
        <v>86000</v>
      </c>
      <c r="P300" s="492">
        <f t="shared" si="4"/>
        <v>0</v>
      </c>
    </row>
    <row r="301" spans="1:18" x14ac:dyDescent="0.35">
      <c r="A301" s="493" t="s">
        <v>496</v>
      </c>
      <c r="B301" s="489" t="s">
        <v>1319</v>
      </c>
      <c r="C301" s="494">
        <v>268000</v>
      </c>
      <c r="D301" s="494">
        <v>268000</v>
      </c>
      <c r="E301" s="494">
        <v>2260</v>
      </c>
      <c r="H301" s="488">
        <v>3190727.28</v>
      </c>
      <c r="P301" s="492">
        <f t="shared" si="4"/>
        <v>3190727.28</v>
      </c>
    </row>
    <row r="302" spans="1:18" x14ac:dyDescent="0.35">
      <c r="A302" s="493" t="s">
        <v>887</v>
      </c>
      <c r="B302" s="489" t="s">
        <v>888</v>
      </c>
      <c r="C302" s="494">
        <v>0</v>
      </c>
      <c r="D302" s="494">
        <v>0</v>
      </c>
      <c r="E302" s="494">
        <v>0</v>
      </c>
      <c r="I302" s="488">
        <v>9962</v>
      </c>
      <c r="P302" s="492">
        <f t="shared" si="4"/>
        <v>9962</v>
      </c>
    </row>
    <row r="303" spans="1:18" x14ac:dyDescent="0.35">
      <c r="A303" s="493" t="s">
        <v>1320</v>
      </c>
      <c r="B303" s="489" t="s">
        <v>1321</v>
      </c>
      <c r="C303" s="494">
        <v>0</v>
      </c>
      <c r="D303" s="494">
        <v>0</v>
      </c>
      <c r="E303" s="494">
        <v>76700</v>
      </c>
      <c r="P303" s="492">
        <f t="shared" si="4"/>
        <v>0</v>
      </c>
    </row>
    <row r="304" spans="1:18" x14ac:dyDescent="0.35">
      <c r="A304" s="493" t="s">
        <v>497</v>
      </c>
      <c r="B304" s="498" t="s">
        <v>1130</v>
      </c>
      <c r="C304" s="499">
        <v>4000000</v>
      </c>
      <c r="D304" s="499">
        <v>4000000</v>
      </c>
      <c r="E304" s="499">
        <v>4436654.5</v>
      </c>
      <c r="P304" s="492">
        <f t="shared" si="4"/>
        <v>0</v>
      </c>
    </row>
    <row r="305" spans="1:16" x14ac:dyDescent="0.35">
      <c r="A305" s="493" t="s">
        <v>498</v>
      </c>
      <c r="B305" s="489" t="s">
        <v>1131</v>
      </c>
      <c r="C305" s="494">
        <v>100000</v>
      </c>
      <c r="D305" s="494">
        <v>100000</v>
      </c>
      <c r="E305" s="494">
        <v>3047</v>
      </c>
      <c r="P305" s="492">
        <f t="shared" si="4"/>
        <v>0</v>
      </c>
    </row>
    <row r="306" spans="1:16" x14ac:dyDescent="0.35">
      <c r="A306" s="493" t="s">
        <v>889</v>
      </c>
      <c r="B306" s="489" t="s">
        <v>890</v>
      </c>
      <c r="C306" s="494">
        <v>0</v>
      </c>
      <c r="D306" s="494">
        <v>0</v>
      </c>
      <c r="E306" s="494">
        <v>0</v>
      </c>
      <c r="P306" s="492">
        <f t="shared" si="4"/>
        <v>0</v>
      </c>
    </row>
    <row r="307" spans="1:16" x14ac:dyDescent="0.35">
      <c r="A307" s="493" t="s">
        <v>499</v>
      </c>
      <c r="B307" s="489" t="s">
        <v>500</v>
      </c>
      <c r="C307" s="494">
        <v>0</v>
      </c>
      <c r="D307" s="494">
        <v>0</v>
      </c>
      <c r="E307" s="494">
        <v>0</v>
      </c>
      <c r="P307" s="492">
        <f t="shared" si="4"/>
        <v>0</v>
      </c>
    </row>
    <row r="308" spans="1:16" x14ac:dyDescent="0.35">
      <c r="A308" s="493" t="s">
        <v>501</v>
      </c>
      <c r="B308" s="489" t="s">
        <v>502</v>
      </c>
      <c r="C308" s="494">
        <v>0</v>
      </c>
      <c r="D308" s="494">
        <v>0</v>
      </c>
      <c r="E308" s="494">
        <v>1675</v>
      </c>
      <c r="P308" s="492">
        <f t="shared" si="4"/>
        <v>0</v>
      </c>
    </row>
    <row r="309" spans="1:16" x14ac:dyDescent="0.35">
      <c r="A309" s="493" t="s">
        <v>891</v>
      </c>
      <c r="B309" s="489" t="s">
        <v>892</v>
      </c>
      <c r="C309" s="494">
        <v>6120000</v>
      </c>
      <c r="D309" s="494">
        <v>6120000</v>
      </c>
      <c r="E309" s="494">
        <v>3244800</v>
      </c>
      <c r="P309" s="492">
        <f t="shared" si="4"/>
        <v>0</v>
      </c>
    </row>
    <row r="310" spans="1:16" x14ac:dyDescent="0.35">
      <c r="A310" s="493" t="s">
        <v>893</v>
      </c>
      <c r="B310" s="489" t="s">
        <v>894</v>
      </c>
      <c r="C310" s="494">
        <v>1440000</v>
      </c>
      <c r="D310" s="494">
        <v>1440000</v>
      </c>
      <c r="E310" s="494">
        <v>707887.5</v>
      </c>
      <c r="P310" s="492">
        <f t="shared" si="4"/>
        <v>0</v>
      </c>
    </row>
    <row r="311" spans="1:16" x14ac:dyDescent="0.35">
      <c r="A311" s="493" t="s">
        <v>895</v>
      </c>
      <c r="B311" s="489" t="s">
        <v>896</v>
      </c>
      <c r="C311" s="494">
        <v>0</v>
      </c>
      <c r="D311" s="494">
        <v>0</v>
      </c>
      <c r="E311" s="494">
        <v>0</v>
      </c>
      <c r="P311" s="492">
        <f t="shared" si="4"/>
        <v>0</v>
      </c>
    </row>
    <row r="312" spans="1:16" x14ac:dyDescent="0.35">
      <c r="A312" s="493" t="s">
        <v>897</v>
      </c>
      <c r="B312" s="489" t="s">
        <v>1322</v>
      </c>
      <c r="C312" s="494">
        <v>30000</v>
      </c>
      <c r="D312" s="494">
        <v>30000</v>
      </c>
      <c r="E312" s="494">
        <v>4500</v>
      </c>
      <c r="P312" s="492">
        <f t="shared" si="4"/>
        <v>0</v>
      </c>
    </row>
    <row r="313" spans="1:16" x14ac:dyDescent="0.35">
      <c r="A313" s="493" t="s">
        <v>898</v>
      </c>
      <c r="B313" s="489" t="s">
        <v>899</v>
      </c>
      <c r="C313" s="494">
        <v>0</v>
      </c>
      <c r="D313" s="494">
        <v>0</v>
      </c>
      <c r="E313" s="494">
        <v>0</v>
      </c>
      <c r="P313" s="492">
        <f t="shared" si="4"/>
        <v>0</v>
      </c>
    </row>
    <row r="314" spans="1:16" x14ac:dyDescent="0.35">
      <c r="A314" s="493" t="s">
        <v>900</v>
      </c>
      <c r="B314" s="489" t="s">
        <v>266</v>
      </c>
      <c r="C314" s="494">
        <v>480000</v>
      </c>
      <c r="D314" s="494">
        <v>480000</v>
      </c>
      <c r="E314" s="494">
        <v>240000</v>
      </c>
      <c r="P314" s="492">
        <f t="shared" si="4"/>
        <v>0</v>
      </c>
    </row>
    <row r="315" spans="1:16" x14ac:dyDescent="0.35">
      <c r="A315" s="493" t="s">
        <v>901</v>
      </c>
      <c r="B315" s="489" t="s">
        <v>267</v>
      </c>
      <c r="C315" s="494">
        <v>480000</v>
      </c>
      <c r="D315" s="494">
        <v>480000</v>
      </c>
      <c r="E315" s="494">
        <v>200000</v>
      </c>
      <c r="P315" s="492">
        <f t="shared" si="4"/>
        <v>0</v>
      </c>
    </row>
    <row r="316" spans="1:16" x14ac:dyDescent="0.35">
      <c r="A316" s="493" t="s">
        <v>902</v>
      </c>
      <c r="B316" s="489" t="s">
        <v>268</v>
      </c>
      <c r="C316" s="494">
        <v>240000</v>
      </c>
      <c r="D316" s="494">
        <v>240000</v>
      </c>
      <c r="E316" s="494">
        <v>120000</v>
      </c>
      <c r="P316" s="492">
        <f t="shared" si="4"/>
        <v>0</v>
      </c>
    </row>
    <row r="317" spans="1:16" x14ac:dyDescent="0.35">
      <c r="A317" s="493" t="s">
        <v>903</v>
      </c>
      <c r="B317" s="489" t="s">
        <v>904</v>
      </c>
      <c r="C317" s="494">
        <v>0</v>
      </c>
      <c r="D317" s="494">
        <v>0</v>
      </c>
      <c r="E317" s="494">
        <v>0</v>
      </c>
      <c r="P317" s="492">
        <f t="shared" si="4"/>
        <v>0</v>
      </c>
    </row>
    <row r="318" spans="1:16" x14ac:dyDescent="0.35">
      <c r="A318" s="493" t="s">
        <v>905</v>
      </c>
      <c r="B318" s="489" t="s">
        <v>271</v>
      </c>
      <c r="C318" s="494">
        <v>0</v>
      </c>
      <c r="D318" s="494">
        <v>0</v>
      </c>
      <c r="E318" s="494">
        <v>0</v>
      </c>
      <c r="P318" s="492">
        <f t="shared" si="4"/>
        <v>0</v>
      </c>
    </row>
    <row r="319" spans="1:16" x14ac:dyDescent="0.35">
      <c r="A319" s="493" t="s">
        <v>1323</v>
      </c>
      <c r="B319" s="489" t="s">
        <v>1324</v>
      </c>
      <c r="C319" s="494">
        <v>0</v>
      </c>
      <c r="D319" s="494">
        <v>0</v>
      </c>
      <c r="E319" s="494">
        <v>0</v>
      </c>
      <c r="P319" s="492">
        <f t="shared" si="4"/>
        <v>0</v>
      </c>
    </row>
    <row r="320" spans="1:16" x14ac:dyDescent="0.35">
      <c r="A320" s="493" t="s">
        <v>398</v>
      </c>
      <c r="B320" s="489" t="s">
        <v>399</v>
      </c>
      <c r="C320" s="494">
        <v>450000</v>
      </c>
      <c r="D320" s="494">
        <v>450000</v>
      </c>
      <c r="E320" s="494">
        <v>228416.28</v>
      </c>
      <c r="P320" s="492">
        <f t="shared" si="4"/>
        <v>0</v>
      </c>
    </row>
    <row r="321" spans="1:16" x14ac:dyDescent="0.35">
      <c r="A321" s="493" t="s">
        <v>400</v>
      </c>
      <c r="B321" s="498" t="s">
        <v>401</v>
      </c>
      <c r="C321" s="499">
        <v>52000</v>
      </c>
      <c r="D321" s="499">
        <v>52000</v>
      </c>
      <c r="E321" s="499">
        <v>165457.37</v>
      </c>
      <c r="P321" s="492">
        <f t="shared" si="4"/>
        <v>0</v>
      </c>
    </row>
    <row r="322" spans="1:16" x14ac:dyDescent="0.35">
      <c r="A322" s="493" t="s">
        <v>402</v>
      </c>
      <c r="B322" s="489" t="s">
        <v>403</v>
      </c>
      <c r="C322" s="494">
        <v>110000</v>
      </c>
      <c r="D322" s="494">
        <v>110000</v>
      </c>
      <c r="E322" s="494">
        <v>55068.66</v>
      </c>
      <c r="P322" s="492">
        <f t="shared" si="4"/>
        <v>0</v>
      </c>
    </row>
    <row r="323" spans="1:16" x14ac:dyDescent="0.35">
      <c r="A323" s="493" t="s">
        <v>404</v>
      </c>
      <c r="B323" s="489" t="s">
        <v>405</v>
      </c>
      <c r="C323" s="494">
        <v>33000</v>
      </c>
      <c r="D323" s="494">
        <v>33000</v>
      </c>
      <c r="E323" s="494">
        <v>16345.06</v>
      </c>
      <c r="P323" s="492">
        <f t="shared" ref="P323:P386" si="5">SUM(F323:N323)</f>
        <v>0</v>
      </c>
    </row>
    <row r="324" spans="1:16" x14ac:dyDescent="0.35">
      <c r="A324" s="493" t="s">
        <v>406</v>
      </c>
      <c r="B324" s="489" t="s">
        <v>407</v>
      </c>
      <c r="C324" s="494">
        <v>119000</v>
      </c>
      <c r="D324" s="494">
        <v>119000</v>
      </c>
      <c r="E324" s="494">
        <v>59835.59</v>
      </c>
      <c r="P324" s="492">
        <f t="shared" si="5"/>
        <v>0</v>
      </c>
    </row>
    <row r="325" spans="1:16" x14ac:dyDescent="0.35">
      <c r="A325" s="493" t="s">
        <v>408</v>
      </c>
      <c r="B325" s="489" t="s">
        <v>409</v>
      </c>
      <c r="C325" s="494">
        <v>378000</v>
      </c>
      <c r="D325" s="494">
        <v>378000</v>
      </c>
      <c r="E325" s="494">
        <v>188831.69</v>
      </c>
      <c r="P325" s="492">
        <f t="shared" si="5"/>
        <v>0</v>
      </c>
    </row>
    <row r="326" spans="1:16" x14ac:dyDescent="0.35">
      <c r="A326" s="493" t="s">
        <v>410</v>
      </c>
      <c r="B326" s="489" t="s">
        <v>411</v>
      </c>
      <c r="C326" s="494">
        <v>0</v>
      </c>
      <c r="D326" s="494">
        <v>0</v>
      </c>
      <c r="E326" s="494">
        <v>0</v>
      </c>
      <c r="P326" s="492">
        <f t="shared" si="5"/>
        <v>0</v>
      </c>
    </row>
    <row r="327" spans="1:16" x14ac:dyDescent="0.35">
      <c r="A327" s="493" t="s">
        <v>412</v>
      </c>
      <c r="B327" s="489" t="s">
        <v>413</v>
      </c>
      <c r="C327" s="494">
        <v>0</v>
      </c>
      <c r="D327" s="494">
        <v>0</v>
      </c>
      <c r="E327" s="494">
        <v>0</v>
      </c>
      <c r="P327" s="492">
        <f t="shared" si="5"/>
        <v>0</v>
      </c>
    </row>
    <row r="328" spans="1:16" x14ac:dyDescent="0.35">
      <c r="A328" s="493" t="s">
        <v>414</v>
      </c>
      <c r="B328" s="489" t="s">
        <v>415</v>
      </c>
      <c r="C328" s="494">
        <v>31100</v>
      </c>
      <c r="D328" s="494">
        <v>31100</v>
      </c>
      <c r="E328" s="494">
        <v>15521.3</v>
      </c>
      <c r="P328" s="492">
        <f t="shared" si="5"/>
        <v>0</v>
      </c>
    </row>
    <row r="329" spans="1:16" x14ac:dyDescent="0.35">
      <c r="A329" s="493" t="s">
        <v>416</v>
      </c>
      <c r="B329" s="489" t="s">
        <v>417</v>
      </c>
      <c r="C329" s="494">
        <v>0</v>
      </c>
      <c r="D329" s="494">
        <v>0</v>
      </c>
      <c r="E329" s="494">
        <v>0</v>
      </c>
      <c r="P329" s="492">
        <f t="shared" si="5"/>
        <v>0</v>
      </c>
    </row>
    <row r="330" spans="1:16" x14ac:dyDescent="0.35">
      <c r="A330" s="493" t="s">
        <v>418</v>
      </c>
      <c r="B330" s="489" t="s">
        <v>419</v>
      </c>
      <c r="C330" s="494">
        <v>400000</v>
      </c>
      <c r="D330" s="494">
        <v>400000</v>
      </c>
      <c r="E330" s="494">
        <v>398870</v>
      </c>
      <c r="P330" s="492">
        <f t="shared" si="5"/>
        <v>0</v>
      </c>
    </row>
    <row r="331" spans="1:16" x14ac:dyDescent="0.35">
      <c r="A331" s="493" t="s">
        <v>420</v>
      </c>
      <c r="B331" s="489" t="s">
        <v>421</v>
      </c>
      <c r="C331" s="494">
        <v>0</v>
      </c>
      <c r="D331" s="494">
        <v>0</v>
      </c>
      <c r="E331" s="494">
        <v>0</v>
      </c>
      <c r="P331" s="492">
        <f t="shared" si="5"/>
        <v>0</v>
      </c>
    </row>
    <row r="332" spans="1:16" x14ac:dyDescent="0.35">
      <c r="A332" s="493" t="s">
        <v>422</v>
      </c>
      <c r="B332" s="489" t="s">
        <v>423</v>
      </c>
      <c r="C332" s="494">
        <v>0</v>
      </c>
      <c r="D332" s="494">
        <v>0</v>
      </c>
      <c r="E332" s="494">
        <v>0</v>
      </c>
      <c r="P332" s="492">
        <f t="shared" si="5"/>
        <v>0</v>
      </c>
    </row>
    <row r="333" spans="1:16" x14ac:dyDescent="0.35">
      <c r="A333" s="493" t="s">
        <v>424</v>
      </c>
      <c r="B333" s="489" t="s">
        <v>425</v>
      </c>
      <c r="C333" s="494">
        <v>0</v>
      </c>
      <c r="D333" s="494">
        <v>0</v>
      </c>
      <c r="E333" s="494">
        <v>0</v>
      </c>
      <c r="P333" s="492">
        <f t="shared" si="5"/>
        <v>0</v>
      </c>
    </row>
    <row r="334" spans="1:16" x14ac:dyDescent="0.35">
      <c r="A334" s="493" t="s">
        <v>426</v>
      </c>
      <c r="B334" s="489" t="s">
        <v>427</v>
      </c>
      <c r="C334" s="494">
        <v>0</v>
      </c>
      <c r="D334" s="494">
        <v>0</v>
      </c>
      <c r="E334" s="494">
        <v>0</v>
      </c>
      <c r="P334" s="492">
        <f t="shared" si="5"/>
        <v>0</v>
      </c>
    </row>
    <row r="335" spans="1:16" x14ac:dyDescent="0.35">
      <c r="A335" s="493" t="s">
        <v>428</v>
      </c>
      <c r="B335" s="489" t="s">
        <v>429</v>
      </c>
      <c r="C335" s="494">
        <v>364000</v>
      </c>
      <c r="D335" s="494">
        <v>364000</v>
      </c>
      <c r="E335" s="494">
        <v>227540.39</v>
      </c>
      <c r="P335" s="492">
        <f t="shared" si="5"/>
        <v>0</v>
      </c>
    </row>
    <row r="336" spans="1:16" x14ac:dyDescent="0.35">
      <c r="A336" s="493" t="s">
        <v>430</v>
      </c>
      <c r="B336" s="489" t="s">
        <v>431</v>
      </c>
      <c r="C336" s="494">
        <v>0</v>
      </c>
      <c r="D336" s="494">
        <v>0</v>
      </c>
      <c r="E336" s="494">
        <v>0</v>
      </c>
      <c r="P336" s="492">
        <f t="shared" si="5"/>
        <v>0</v>
      </c>
    </row>
    <row r="337" spans="1:16" x14ac:dyDescent="0.35">
      <c r="A337" s="493" t="s">
        <v>906</v>
      </c>
      <c r="B337" s="489" t="s">
        <v>907</v>
      </c>
      <c r="C337" s="494">
        <v>0</v>
      </c>
      <c r="D337" s="494">
        <v>0</v>
      </c>
      <c r="E337" s="494">
        <v>0</v>
      </c>
      <c r="P337" s="492">
        <f t="shared" si="5"/>
        <v>0</v>
      </c>
    </row>
    <row r="338" spans="1:16" x14ac:dyDescent="0.35">
      <c r="A338" s="493" t="s">
        <v>432</v>
      </c>
      <c r="B338" s="489" t="s">
        <v>433</v>
      </c>
      <c r="C338" s="494">
        <v>0</v>
      </c>
      <c r="D338" s="494">
        <v>0</v>
      </c>
      <c r="E338" s="494">
        <v>0</v>
      </c>
      <c r="P338" s="492">
        <f t="shared" si="5"/>
        <v>0</v>
      </c>
    </row>
    <row r="339" spans="1:16" x14ac:dyDescent="0.35">
      <c r="A339" s="493" t="s">
        <v>908</v>
      </c>
      <c r="B339" s="489" t="s">
        <v>909</v>
      </c>
      <c r="C339" s="494">
        <v>0</v>
      </c>
      <c r="D339" s="494">
        <v>0</v>
      </c>
      <c r="E339" s="494">
        <v>0</v>
      </c>
      <c r="P339" s="492">
        <f t="shared" si="5"/>
        <v>0</v>
      </c>
    </row>
    <row r="340" spans="1:16" x14ac:dyDescent="0.35">
      <c r="A340" s="493" t="s">
        <v>910</v>
      </c>
      <c r="B340" s="489" t="s">
        <v>911</v>
      </c>
      <c r="C340" s="494">
        <v>0</v>
      </c>
      <c r="D340" s="494">
        <v>0</v>
      </c>
      <c r="E340" s="494">
        <v>0</v>
      </c>
      <c r="P340" s="492">
        <f t="shared" si="5"/>
        <v>0</v>
      </c>
    </row>
    <row r="341" spans="1:16" x14ac:dyDescent="0.35">
      <c r="A341" s="493" t="s">
        <v>912</v>
      </c>
      <c r="B341" s="489" t="s">
        <v>913</v>
      </c>
      <c r="C341" s="494">
        <v>0</v>
      </c>
      <c r="D341" s="494">
        <v>0</v>
      </c>
      <c r="E341" s="494">
        <v>0</v>
      </c>
      <c r="P341" s="492">
        <f t="shared" si="5"/>
        <v>0</v>
      </c>
    </row>
    <row r="342" spans="1:16" x14ac:dyDescent="0.35">
      <c r="A342" s="493" t="s">
        <v>434</v>
      </c>
      <c r="B342" s="489" t="s">
        <v>435</v>
      </c>
      <c r="C342" s="494">
        <v>0</v>
      </c>
      <c r="D342" s="494">
        <v>0</v>
      </c>
      <c r="E342" s="494">
        <v>0</v>
      </c>
      <c r="P342" s="492">
        <f t="shared" si="5"/>
        <v>0</v>
      </c>
    </row>
    <row r="343" spans="1:16" x14ac:dyDescent="0.35">
      <c r="A343" s="493" t="s">
        <v>436</v>
      </c>
      <c r="B343" s="489" t="s">
        <v>437</v>
      </c>
      <c r="C343" s="494">
        <v>0</v>
      </c>
      <c r="D343" s="494">
        <v>0</v>
      </c>
      <c r="E343" s="494">
        <v>0</v>
      </c>
      <c r="P343" s="492">
        <f t="shared" si="5"/>
        <v>0</v>
      </c>
    </row>
    <row r="344" spans="1:16" x14ac:dyDescent="0.35">
      <c r="A344" s="493" t="s">
        <v>438</v>
      </c>
      <c r="B344" s="489" t="s">
        <v>439</v>
      </c>
      <c r="C344" s="494">
        <v>0</v>
      </c>
      <c r="D344" s="494">
        <v>0</v>
      </c>
      <c r="E344" s="494">
        <v>0</v>
      </c>
      <c r="P344" s="492">
        <f t="shared" si="5"/>
        <v>0</v>
      </c>
    </row>
    <row r="345" spans="1:16" x14ac:dyDescent="0.35">
      <c r="A345" s="493" t="s">
        <v>440</v>
      </c>
      <c r="B345" s="489" t="s">
        <v>441</v>
      </c>
      <c r="C345" s="494">
        <v>0</v>
      </c>
      <c r="D345" s="494">
        <v>0</v>
      </c>
      <c r="E345" s="494">
        <v>0</v>
      </c>
      <c r="P345" s="492">
        <f t="shared" si="5"/>
        <v>0</v>
      </c>
    </row>
    <row r="346" spans="1:16" x14ac:dyDescent="0.35">
      <c r="A346" s="493" t="s">
        <v>442</v>
      </c>
      <c r="B346" s="489" t="s">
        <v>443</v>
      </c>
      <c r="C346" s="494">
        <v>0</v>
      </c>
      <c r="D346" s="494">
        <v>0</v>
      </c>
      <c r="E346" s="494">
        <v>0</v>
      </c>
      <c r="P346" s="492">
        <f t="shared" si="5"/>
        <v>0</v>
      </c>
    </row>
    <row r="347" spans="1:16" x14ac:dyDescent="0.35">
      <c r="A347" s="493" t="s">
        <v>444</v>
      </c>
      <c r="B347" s="489" t="s">
        <v>445</v>
      </c>
      <c r="C347" s="494">
        <v>529000</v>
      </c>
      <c r="D347" s="494">
        <v>529000</v>
      </c>
      <c r="E347" s="494">
        <v>265848.34000000003</v>
      </c>
      <c r="P347" s="492">
        <f t="shared" si="5"/>
        <v>0</v>
      </c>
    </row>
    <row r="348" spans="1:16" x14ac:dyDescent="0.35">
      <c r="A348" s="493" t="s">
        <v>446</v>
      </c>
      <c r="B348" s="489" t="s">
        <v>447</v>
      </c>
      <c r="C348" s="494">
        <v>0</v>
      </c>
      <c r="D348" s="494">
        <v>0</v>
      </c>
      <c r="E348" s="494">
        <v>472.04</v>
      </c>
      <c r="P348" s="492">
        <f t="shared" si="5"/>
        <v>0</v>
      </c>
    </row>
    <row r="349" spans="1:16" x14ac:dyDescent="0.35">
      <c r="A349" s="493" t="s">
        <v>448</v>
      </c>
      <c r="B349" s="489" t="s">
        <v>449</v>
      </c>
      <c r="C349" s="494">
        <v>0</v>
      </c>
      <c r="D349" s="494">
        <v>0</v>
      </c>
      <c r="E349" s="494">
        <v>825.34</v>
      </c>
      <c r="P349" s="492">
        <f t="shared" si="5"/>
        <v>0</v>
      </c>
    </row>
    <row r="350" spans="1:16" x14ac:dyDescent="0.35">
      <c r="A350" s="493" t="s">
        <v>450</v>
      </c>
      <c r="B350" s="489" t="s">
        <v>451</v>
      </c>
      <c r="C350" s="494">
        <v>0</v>
      </c>
      <c r="D350" s="494">
        <v>0</v>
      </c>
      <c r="E350" s="494">
        <v>0</v>
      </c>
      <c r="P350" s="492">
        <f t="shared" si="5"/>
        <v>0</v>
      </c>
    </row>
    <row r="351" spans="1:16" x14ac:dyDescent="0.35">
      <c r="A351" s="493" t="s">
        <v>452</v>
      </c>
      <c r="B351" s="489" t="s">
        <v>453</v>
      </c>
      <c r="C351" s="494">
        <v>0</v>
      </c>
      <c r="D351" s="494">
        <v>0</v>
      </c>
      <c r="E351" s="494">
        <v>0</v>
      </c>
      <c r="P351" s="492">
        <f t="shared" si="5"/>
        <v>0</v>
      </c>
    </row>
    <row r="352" spans="1:16" x14ac:dyDescent="0.35">
      <c r="A352" s="493" t="s">
        <v>454</v>
      </c>
      <c r="B352" s="489" t="s">
        <v>455</v>
      </c>
      <c r="C352" s="494">
        <v>0</v>
      </c>
      <c r="D352" s="494">
        <v>0</v>
      </c>
      <c r="E352" s="494">
        <v>0</v>
      </c>
      <c r="P352" s="492">
        <f t="shared" si="5"/>
        <v>0</v>
      </c>
    </row>
    <row r="353" spans="1:16" x14ac:dyDescent="0.35">
      <c r="A353" s="493" t="s">
        <v>456</v>
      </c>
      <c r="B353" s="489" t="s">
        <v>457</v>
      </c>
      <c r="C353" s="494">
        <v>0</v>
      </c>
      <c r="D353" s="494">
        <v>0</v>
      </c>
      <c r="E353" s="494">
        <v>0</v>
      </c>
      <c r="P353" s="492">
        <f t="shared" si="5"/>
        <v>0</v>
      </c>
    </row>
    <row r="354" spans="1:16" x14ac:dyDescent="0.35">
      <c r="A354" s="493" t="s">
        <v>458</v>
      </c>
      <c r="B354" s="489" t="s">
        <v>459</v>
      </c>
      <c r="C354" s="494">
        <v>0</v>
      </c>
      <c r="D354" s="494">
        <v>0</v>
      </c>
      <c r="E354" s="494">
        <v>3666.82</v>
      </c>
      <c r="P354" s="492">
        <f t="shared" si="5"/>
        <v>0</v>
      </c>
    </row>
    <row r="355" spans="1:16" x14ac:dyDescent="0.35">
      <c r="A355" s="493" t="s">
        <v>460</v>
      </c>
      <c r="B355" s="489" t="s">
        <v>461</v>
      </c>
      <c r="C355" s="494">
        <v>302000</v>
      </c>
      <c r="D355" s="494">
        <v>302000</v>
      </c>
      <c r="E355" s="494">
        <v>256878.72</v>
      </c>
      <c r="P355" s="492">
        <f t="shared" si="5"/>
        <v>0</v>
      </c>
    </row>
    <row r="356" spans="1:16" x14ac:dyDescent="0.35">
      <c r="A356" s="493" t="s">
        <v>462</v>
      </c>
      <c r="B356" s="489" t="s">
        <v>463</v>
      </c>
      <c r="C356" s="494">
        <v>102000</v>
      </c>
      <c r="D356" s="494">
        <v>102000</v>
      </c>
      <c r="E356" s="494">
        <v>78284.83</v>
      </c>
      <c r="P356" s="492">
        <f t="shared" si="5"/>
        <v>0</v>
      </c>
    </row>
    <row r="357" spans="1:16" x14ac:dyDescent="0.35">
      <c r="A357" s="493" t="s">
        <v>464</v>
      </c>
      <c r="B357" s="489" t="s">
        <v>465</v>
      </c>
      <c r="C357" s="494">
        <v>280000</v>
      </c>
      <c r="D357" s="494">
        <v>280000</v>
      </c>
      <c r="E357" s="494">
        <v>121148.09</v>
      </c>
      <c r="P357" s="492">
        <f t="shared" si="5"/>
        <v>0</v>
      </c>
    </row>
    <row r="358" spans="1:16" x14ac:dyDescent="0.35">
      <c r="A358" s="493" t="s">
        <v>466</v>
      </c>
      <c r="B358" s="489" t="s">
        <v>467</v>
      </c>
      <c r="C358" s="494">
        <v>134800</v>
      </c>
      <c r="D358" s="494">
        <v>134800</v>
      </c>
      <c r="E358" s="494">
        <v>68677.09</v>
      </c>
      <c r="P358" s="492">
        <f t="shared" si="5"/>
        <v>0</v>
      </c>
    </row>
    <row r="359" spans="1:16" x14ac:dyDescent="0.35">
      <c r="A359" s="493" t="s">
        <v>468</v>
      </c>
      <c r="B359" s="489" t="s">
        <v>469</v>
      </c>
      <c r="C359" s="494">
        <v>14000</v>
      </c>
      <c r="D359" s="494">
        <v>14000</v>
      </c>
      <c r="E359" s="494">
        <v>8793.18</v>
      </c>
      <c r="P359" s="492">
        <f t="shared" si="5"/>
        <v>0</v>
      </c>
    </row>
    <row r="360" spans="1:16" x14ac:dyDescent="0.35">
      <c r="A360" s="493" t="s">
        <v>470</v>
      </c>
      <c r="B360" s="489" t="s">
        <v>471</v>
      </c>
      <c r="C360" s="494">
        <v>4547.71</v>
      </c>
      <c r="D360" s="494">
        <v>4547.71</v>
      </c>
      <c r="E360" s="494">
        <v>9235.8799999999992</v>
      </c>
      <c r="P360" s="492">
        <f t="shared" si="5"/>
        <v>0</v>
      </c>
    </row>
    <row r="361" spans="1:16" x14ac:dyDescent="0.35">
      <c r="A361" s="493" t="s">
        <v>472</v>
      </c>
      <c r="B361" s="489" t="s">
        <v>473</v>
      </c>
      <c r="C361" s="494">
        <v>3068553.21</v>
      </c>
      <c r="D361" s="494">
        <v>3068553.21</v>
      </c>
      <c r="E361" s="494">
        <v>1511304.3</v>
      </c>
      <c r="P361" s="492">
        <f t="shared" si="5"/>
        <v>0</v>
      </c>
    </row>
    <row r="362" spans="1:16" x14ac:dyDescent="0.35">
      <c r="A362" s="493" t="s">
        <v>474</v>
      </c>
      <c r="B362" s="489" t="s">
        <v>475</v>
      </c>
      <c r="C362" s="494">
        <v>303391.88</v>
      </c>
      <c r="D362" s="494">
        <v>303391.88</v>
      </c>
      <c r="E362" s="494">
        <v>223777.03</v>
      </c>
      <c r="P362" s="492">
        <f t="shared" si="5"/>
        <v>0</v>
      </c>
    </row>
    <row r="363" spans="1:16" x14ac:dyDescent="0.35">
      <c r="A363" s="493" t="s">
        <v>476</v>
      </c>
      <c r="B363" s="489" t="s">
        <v>477</v>
      </c>
      <c r="C363" s="494">
        <v>308848.43</v>
      </c>
      <c r="D363" s="494">
        <v>308848.43</v>
      </c>
      <c r="E363" s="494">
        <v>173683.11</v>
      </c>
      <c r="P363" s="492">
        <f t="shared" si="5"/>
        <v>0</v>
      </c>
    </row>
    <row r="364" spans="1:16" x14ac:dyDescent="0.35">
      <c r="A364" s="493" t="s">
        <v>478</v>
      </c>
      <c r="B364" s="489" t="s">
        <v>479</v>
      </c>
      <c r="C364" s="494">
        <v>0</v>
      </c>
      <c r="D364" s="494">
        <v>0</v>
      </c>
      <c r="E364" s="494">
        <v>0</v>
      </c>
      <c r="P364" s="492">
        <f t="shared" si="5"/>
        <v>0</v>
      </c>
    </row>
    <row r="365" spans="1:16" x14ac:dyDescent="0.35">
      <c r="A365" s="493" t="s">
        <v>480</v>
      </c>
      <c r="B365" s="489" t="s">
        <v>481</v>
      </c>
      <c r="C365" s="494">
        <v>0</v>
      </c>
      <c r="D365" s="494">
        <v>0</v>
      </c>
      <c r="E365" s="494">
        <v>0</v>
      </c>
      <c r="P365" s="492">
        <f t="shared" si="5"/>
        <v>0</v>
      </c>
    </row>
    <row r="366" spans="1:16" x14ac:dyDescent="0.35">
      <c r="A366" s="493" t="s">
        <v>482</v>
      </c>
      <c r="B366" s="489" t="s">
        <v>483</v>
      </c>
      <c r="C366" s="494">
        <v>0</v>
      </c>
      <c r="D366" s="494">
        <v>0</v>
      </c>
      <c r="E366" s="494">
        <v>0</v>
      </c>
      <c r="P366" s="492">
        <f t="shared" si="5"/>
        <v>0</v>
      </c>
    </row>
    <row r="367" spans="1:16" x14ac:dyDescent="0.35">
      <c r="A367" s="493" t="s">
        <v>484</v>
      </c>
      <c r="B367" s="489" t="s">
        <v>485</v>
      </c>
      <c r="C367" s="494">
        <v>0</v>
      </c>
      <c r="D367" s="494">
        <v>0</v>
      </c>
      <c r="E367" s="494">
        <v>0</v>
      </c>
      <c r="P367" s="492">
        <f t="shared" si="5"/>
        <v>0</v>
      </c>
    </row>
    <row r="368" spans="1:16" x14ac:dyDescent="0.35">
      <c r="A368" s="493" t="s">
        <v>486</v>
      </c>
      <c r="B368" s="489" t="s">
        <v>487</v>
      </c>
      <c r="C368" s="494">
        <v>0</v>
      </c>
      <c r="D368" s="494">
        <v>0</v>
      </c>
      <c r="E368" s="494">
        <v>0</v>
      </c>
      <c r="P368" s="492">
        <f t="shared" si="5"/>
        <v>0</v>
      </c>
    </row>
    <row r="369" spans="1:16" x14ac:dyDescent="0.35">
      <c r="A369" s="493" t="s">
        <v>503</v>
      </c>
      <c r="B369" s="489" t="s">
        <v>504</v>
      </c>
      <c r="C369" s="494">
        <v>0</v>
      </c>
      <c r="D369" s="494">
        <v>0</v>
      </c>
      <c r="E369" s="494">
        <v>0</v>
      </c>
      <c r="P369" s="492">
        <f t="shared" si="5"/>
        <v>0</v>
      </c>
    </row>
    <row r="370" spans="1:16" x14ac:dyDescent="0.35">
      <c r="A370" s="493" t="s">
        <v>505</v>
      </c>
      <c r="B370" s="489" t="s">
        <v>506</v>
      </c>
      <c r="C370" s="494">
        <v>0</v>
      </c>
      <c r="D370" s="494">
        <v>0</v>
      </c>
      <c r="E370" s="494">
        <v>0</v>
      </c>
      <c r="P370" s="492">
        <f t="shared" si="5"/>
        <v>0</v>
      </c>
    </row>
    <row r="371" spans="1:16" x14ac:dyDescent="0.35">
      <c r="A371" s="493" t="s">
        <v>914</v>
      </c>
      <c r="B371" s="489" t="s">
        <v>915</v>
      </c>
      <c r="C371" s="494">
        <v>0</v>
      </c>
      <c r="D371" s="494">
        <v>0</v>
      </c>
      <c r="E371" s="494">
        <v>0</v>
      </c>
      <c r="P371" s="492">
        <f t="shared" si="5"/>
        <v>0</v>
      </c>
    </row>
    <row r="372" spans="1:16" x14ac:dyDescent="0.35">
      <c r="A372" s="493" t="s">
        <v>507</v>
      </c>
      <c r="B372" s="489" t="s">
        <v>1132</v>
      </c>
      <c r="C372" s="494">
        <v>0</v>
      </c>
      <c r="D372" s="494">
        <v>0</v>
      </c>
      <c r="E372" s="494">
        <v>0</v>
      </c>
      <c r="P372" s="492">
        <f t="shared" si="5"/>
        <v>0</v>
      </c>
    </row>
    <row r="373" spans="1:16" x14ac:dyDescent="0.35">
      <c r="A373" s="493" t="s">
        <v>508</v>
      </c>
      <c r="B373" s="489" t="s">
        <v>509</v>
      </c>
      <c r="C373" s="494">
        <v>0</v>
      </c>
      <c r="D373" s="494">
        <v>0</v>
      </c>
      <c r="E373" s="494">
        <v>0</v>
      </c>
      <c r="P373" s="492">
        <f t="shared" si="5"/>
        <v>0</v>
      </c>
    </row>
    <row r="374" spans="1:16" x14ac:dyDescent="0.35">
      <c r="A374" s="493" t="s">
        <v>510</v>
      </c>
      <c r="B374" s="489" t="s">
        <v>511</v>
      </c>
      <c r="C374" s="494">
        <v>0</v>
      </c>
      <c r="D374" s="494">
        <v>0</v>
      </c>
      <c r="E374" s="494">
        <v>0</v>
      </c>
      <c r="P374" s="492">
        <f t="shared" si="5"/>
        <v>0</v>
      </c>
    </row>
    <row r="375" spans="1:16" x14ac:dyDescent="0.35">
      <c r="A375" s="493" t="s">
        <v>512</v>
      </c>
      <c r="B375" s="489" t="s">
        <v>1133</v>
      </c>
      <c r="C375" s="494">
        <v>250000</v>
      </c>
      <c r="D375" s="494">
        <v>250000</v>
      </c>
      <c r="E375" s="494">
        <v>0</v>
      </c>
      <c r="P375" s="492">
        <f t="shared" si="5"/>
        <v>0</v>
      </c>
    </row>
    <row r="376" spans="1:16" x14ac:dyDescent="0.35">
      <c r="A376" s="493" t="s">
        <v>513</v>
      </c>
      <c r="B376" s="489" t="s">
        <v>1134</v>
      </c>
      <c r="C376" s="494">
        <v>200000</v>
      </c>
      <c r="D376" s="494">
        <v>200000</v>
      </c>
      <c r="E376" s="494">
        <v>0</v>
      </c>
      <c r="P376" s="492">
        <f t="shared" si="5"/>
        <v>0</v>
      </c>
    </row>
    <row r="377" spans="1:16" x14ac:dyDescent="0.35">
      <c r="A377" s="493" t="s">
        <v>916</v>
      </c>
      <c r="B377" s="489" t="s">
        <v>917</v>
      </c>
      <c r="C377" s="494">
        <v>0</v>
      </c>
      <c r="D377" s="494">
        <v>0</v>
      </c>
      <c r="E377" s="494">
        <v>0</v>
      </c>
      <c r="P377" s="492">
        <f t="shared" si="5"/>
        <v>0</v>
      </c>
    </row>
    <row r="378" spans="1:16" x14ac:dyDescent="0.35">
      <c r="A378" s="493" t="s">
        <v>514</v>
      </c>
      <c r="B378" s="489" t="s">
        <v>1333</v>
      </c>
      <c r="C378" s="494">
        <v>0</v>
      </c>
      <c r="D378" s="494">
        <v>0</v>
      </c>
      <c r="E378" s="494">
        <v>0</v>
      </c>
      <c r="P378" s="492">
        <f t="shared" si="5"/>
        <v>0</v>
      </c>
    </row>
    <row r="379" spans="1:16" x14ac:dyDescent="0.35">
      <c r="A379" s="493" t="s">
        <v>515</v>
      </c>
      <c r="B379" s="489" t="s">
        <v>1135</v>
      </c>
      <c r="C379" s="494">
        <v>0</v>
      </c>
      <c r="D379" s="494">
        <v>0</v>
      </c>
      <c r="E379" s="494">
        <v>0</v>
      </c>
      <c r="P379" s="492">
        <f t="shared" si="5"/>
        <v>0</v>
      </c>
    </row>
    <row r="380" spans="1:16" x14ac:dyDescent="0.35">
      <c r="A380" s="493" t="s">
        <v>516</v>
      </c>
      <c r="B380" s="489" t="s">
        <v>1136</v>
      </c>
      <c r="C380" s="494">
        <v>0</v>
      </c>
      <c r="D380" s="494">
        <v>0</v>
      </c>
      <c r="E380" s="494">
        <v>0</v>
      </c>
      <c r="P380" s="492">
        <f t="shared" si="5"/>
        <v>0</v>
      </c>
    </row>
    <row r="381" spans="1:16" x14ac:dyDescent="0.35">
      <c r="A381" s="493" t="s">
        <v>517</v>
      </c>
      <c r="B381" s="489" t="s">
        <v>1137</v>
      </c>
      <c r="C381" s="494">
        <v>0</v>
      </c>
      <c r="D381" s="494">
        <v>0</v>
      </c>
      <c r="E381" s="494">
        <v>0</v>
      </c>
      <c r="P381" s="492">
        <f t="shared" si="5"/>
        <v>0</v>
      </c>
    </row>
    <row r="382" spans="1:16" x14ac:dyDescent="0.35">
      <c r="A382" s="493" t="s">
        <v>518</v>
      </c>
      <c r="B382" s="489" t="s">
        <v>1138</v>
      </c>
      <c r="C382" s="494">
        <v>0</v>
      </c>
      <c r="D382" s="494">
        <v>0</v>
      </c>
      <c r="E382" s="494">
        <v>0</v>
      </c>
      <c r="P382" s="492">
        <f t="shared" si="5"/>
        <v>0</v>
      </c>
    </row>
    <row r="383" spans="1:16" x14ac:dyDescent="0.35">
      <c r="A383" s="493" t="s">
        <v>519</v>
      </c>
      <c r="B383" s="489" t="s">
        <v>520</v>
      </c>
      <c r="C383" s="494">
        <v>0</v>
      </c>
      <c r="D383" s="494">
        <v>0</v>
      </c>
      <c r="E383" s="494">
        <v>0</v>
      </c>
      <c r="P383" s="492">
        <f t="shared" si="5"/>
        <v>0</v>
      </c>
    </row>
    <row r="384" spans="1:16" x14ac:dyDescent="0.35">
      <c r="A384" s="493" t="s">
        <v>521</v>
      </c>
      <c r="B384" s="489" t="s">
        <v>522</v>
      </c>
      <c r="C384" s="494">
        <v>0</v>
      </c>
      <c r="D384" s="494">
        <v>0</v>
      </c>
      <c r="E384" s="494">
        <v>0</v>
      </c>
      <c r="P384" s="492">
        <f t="shared" si="5"/>
        <v>0</v>
      </c>
    </row>
    <row r="385" spans="1:16" x14ac:dyDescent="0.35">
      <c r="A385" s="493" t="s">
        <v>523</v>
      </c>
      <c r="B385" s="489" t="s">
        <v>1139</v>
      </c>
      <c r="C385" s="494">
        <v>250000</v>
      </c>
      <c r="D385" s="494">
        <v>250000</v>
      </c>
      <c r="E385" s="494">
        <v>20377.5</v>
      </c>
      <c r="P385" s="492">
        <f t="shared" si="5"/>
        <v>0</v>
      </c>
    </row>
    <row r="386" spans="1:16" x14ac:dyDescent="0.35">
      <c r="A386" s="493" t="s">
        <v>524</v>
      </c>
      <c r="B386" s="489" t="s">
        <v>1140</v>
      </c>
      <c r="C386" s="494">
        <v>200000</v>
      </c>
      <c r="D386" s="494">
        <v>200000</v>
      </c>
      <c r="E386" s="494">
        <v>14692.7</v>
      </c>
      <c r="P386" s="492">
        <f t="shared" si="5"/>
        <v>0</v>
      </c>
    </row>
    <row r="387" spans="1:16" x14ac:dyDescent="0.35">
      <c r="A387" s="493" t="s">
        <v>1334</v>
      </c>
      <c r="B387" s="489" t="s">
        <v>1325</v>
      </c>
      <c r="C387" s="494">
        <v>0</v>
      </c>
      <c r="D387" s="494">
        <v>0</v>
      </c>
      <c r="E387" s="494">
        <v>0</v>
      </c>
      <c r="P387" s="492">
        <f t="shared" ref="P387:P429" si="6">SUM(F387:N387)</f>
        <v>0</v>
      </c>
    </row>
    <row r="388" spans="1:16" x14ac:dyDescent="0.35">
      <c r="A388" s="493" t="s">
        <v>525</v>
      </c>
      <c r="B388" s="489" t="s">
        <v>526</v>
      </c>
      <c r="C388" s="494">
        <v>0</v>
      </c>
      <c r="D388" s="494">
        <v>0</v>
      </c>
      <c r="E388" s="494">
        <v>0</v>
      </c>
      <c r="P388" s="492">
        <f t="shared" si="6"/>
        <v>0</v>
      </c>
    </row>
    <row r="389" spans="1:16" x14ac:dyDescent="0.35">
      <c r="A389" s="493" t="s">
        <v>527</v>
      </c>
      <c r="B389" s="489" t="s">
        <v>528</v>
      </c>
      <c r="C389" s="494">
        <v>0</v>
      </c>
      <c r="D389" s="494">
        <v>0</v>
      </c>
      <c r="E389" s="494">
        <v>0</v>
      </c>
      <c r="P389" s="492">
        <f t="shared" si="6"/>
        <v>0</v>
      </c>
    </row>
    <row r="390" spans="1:16" x14ac:dyDescent="0.35">
      <c r="A390" s="493" t="s">
        <v>529</v>
      </c>
      <c r="B390" s="489" t="s">
        <v>530</v>
      </c>
      <c r="C390" s="494">
        <v>0</v>
      </c>
      <c r="D390" s="494">
        <v>0</v>
      </c>
      <c r="E390" s="494">
        <v>0</v>
      </c>
      <c r="P390" s="492">
        <f t="shared" si="6"/>
        <v>0</v>
      </c>
    </row>
    <row r="391" spans="1:16" x14ac:dyDescent="0.35">
      <c r="A391" s="493" t="s">
        <v>531</v>
      </c>
      <c r="B391" s="489" t="s">
        <v>532</v>
      </c>
      <c r="C391" s="494">
        <v>0</v>
      </c>
      <c r="D391" s="494">
        <v>0</v>
      </c>
      <c r="E391" s="494">
        <v>0</v>
      </c>
      <c r="P391" s="492">
        <f t="shared" si="6"/>
        <v>0</v>
      </c>
    </row>
    <row r="392" spans="1:16" x14ac:dyDescent="0.35">
      <c r="A392" s="493" t="s">
        <v>533</v>
      </c>
      <c r="B392" s="489" t="s">
        <v>534</v>
      </c>
      <c r="C392" s="494">
        <v>0</v>
      </c>
      <c r="D392" s="494">
        <v>0</v>
      </c>
      <c r="E392" s="494">
        <v>0</v>
      </c>
      <c r="P392" s="492">
        <f t="shared" si="6"/>
        <v>0</v>
      </c>
    </row>
    <row r="393" spans="1:16" x14ac:dyDescent="0.35">
      <c r="A393" s="493" t="s">
        <v>535</v>
      </c>
      <c r="B393" s="489" t="s">
        <v>536</v>
      </c>
      <c r="C393" s="494">
        <v>0</v>
      </c>
      <c r="D393" s="494">
        <v>0</v>
      </c>
      <c r="E393" s="494">
        <v>0</v>
      </c>
      <c r="P393" s="492">
        <f t="shared" si="6"/>
        <v>0</v>
      </c>
    </row>
    <row r="394" spans="1:16" x14ac:dyDescent="0.35">
      <c r="A394" s="493" t="s">
        <v>537</v>
      </c>
      <c r="B394" s="489" t="s">
        <v>538</v>
      </c>
      <c r="C394" s="494">
        <v>0</v>
      </c>
      <c r="D394" s="494">
        <v>0</v>
      </c>
      <c r="E394" s="494">
        <v>0</v>
      </c>
      <c r="P394" s="492">
        <f t="shared" si="6"/>
        <v>0</v>
      </c>
    </row>
    <row r="395" spans="1:16" x14ac:dyDescent="0.35">
      <c r="A395" s="493" t="s">
        <v>539</v>
      </c>
      <c r="B395" s="489" t="s">
        <v>540</v>
      </c>
      <c r="C395" s="494">
        <v>0</v>
      </c>
      <c r="D395" s="494">
        <v>0</v>
      </c>
      <c r="E395" s="494">
        <v>0</v>
      </c>
      <c r="P395" s="492">
        <f t="shared" si="6"/>
        <v>0</v>
      </c>
    </row>
    <row r="396" spans="1:16" x14ac:dyDescent="0.35">
      <c r="A396" s="493" t="s">
        <v>541</v>
      </c>
      <c r="B396" s="489" t="s">
        <v>542</v>
      </c>
      <c r="C396" s="494">
        <v>0</v>
      </c>
      <c r="D396" s="494">
        <v>0</v>
      </c>
      <c r="E396" s="494">
        <v>0</v>
      </c>
      <c r="P396" s="492">
        <f t="shared" si="6"/>
        <v>0</v>
      </c>
    </row>
    <row r="397" spans="1:16" x14ac:dyDescent="0.35">
      <c r="A397" s="493" t="s">
        <v>543</v>
      </c>
      <c r="B397" s="489" t="s">
        <v>544</v>
      </c>
      <c r="C397" s="494">
        <v>0</v>
      </c>
      <c r="D397" s="494">
        <v>0</v>
      </c>
      <c r="E397" s="494">
        <v>0</v>
      </c>
      <c r="P397" s="492">
        <f t="shared" si="6"/>
        <v>0</v>
      </c>
    </row>
    <row r="398" spans="1:16" x14ac:dyDescent="0.35">
      <c r="A398" s="493" t="s">
        <v>545</v>
      </c>
      <c r="B398" s="489" t="s">
        <v>546</v>
      </c>
      <c r="C398" s="494">
        <v>0</v>
      </c>
      <c r="D398" s="494">
        <v>0</v>
      </c>
      <c r="E398" s="494">
        <v>0</v>
      </c>
      <c r="P398" s="492">
        <f t="shared" si="6"/>
        <v>0</v>
      </c>
    </row>
    <row r="399" spans="1:16" x14ac:dyDescent="0.35">
      <c r="A399" s="493" t="s">
        <v>547</v>
      </c>
      <c r="B399" s="489" t="s">
        <v>548</v>
      </c>
      <c r="C399" s="494">
        <v>0</v>
      </c>
      <c r="D399" s="494">
        <v>0</v>
      </c>
      <c r="E399" s="494">
        <v>0</v>
      </c>
      <c r="P399" s="492">
        <f t="shared" si="6"/>
        <v>0</v>
      </c>
    </row>
    <row r="400" spans="1:16" x14ac:dyDescent="0.35">
      <c r="A400" s="493" t="s">
        <v>549</v>
      </c>
      <c r="B400" s="489" t="s">
        <v>550</v>
      </c>
      <c r="C400" s="494">
        <v>0</v>
      </c>
      <c r="D400" s="494">
        <v>0</v>
      </c>
      <c r="E400" s="494">
        <v>0</v>
      </c>
      <c r="P400" s="492">
        <f t="shared" si="6"/>
        <v>0</v>
      </c>
    </row>
    <row r="401" spans="1:16" x14ac:dyDescent="0.35">
      <c r="A401" s="493" t="s">
        <v>551</v>
      </c>
      <c r="B401" s="489" t="s">
        <v>552</v>
      </c>
      <c r="C401" s="494">
        <v>0</v>
      </c>
      <c r="D401" s="494">
        <v>0</v>
      </c>
      <c r="E401" s="494">
        <v>0</v>
      </c>
      <c r="P401" s="492">
        <f t="shared" si="6"/>
        <v>0</v>
      </c>
    </row>
    <row r="402" spans="1:16" x14ac:dyDescent="0.35">
      <c r="A402" s="493" t="s">
        <v>553</v>
      </c>
      <c r="B402" s="489" t="s">
        <v>554</v>
      </c>
      <c r="C402" s="494">
        <v>0</v>
      </c>
      <c r="D402" s="494">
        <v>0</v>
      </c>
      <c r="E402" s="494">
        <v>0</v>
      </c>
      <c r="P402" s="492">
        <f t="shared" si="6"/>
        <v>0</v>
      </c>
    </row>
    <row r="403" spans="1:16" x14ac:dyDescent="0.35">
      <c r="A403" s="493" t="s">
        <v>555</v>
      </c>
      <c r="B403" s="489" t="s">
        <v>556</v>
      </c>
      <c r="C403" s="494">
        <v>0</v>
      </c>
      <c r="D403" s="494">
        <v>0</v>
      </c>
      <c r="E403" s="494">
        <v>0</v>
      </c>
      <c r="P403" s="492">
        <f t="shared" si="6"/>
        <v>0</v>
      </c>
    </row>
    <row r="404" spans="1:16" x14ac:dyDescent="0.35">
      <c r="A404" s="493" t="s">
        <v>557</v>
      </c>
      <c r="B404" s="489" t="s">
        <v>558</v>
      </c>
      <c r="C404" s="494">
        <v>0</v>
      </c>
      <c r="D404" s="494">
        <v>0</v>
      </c>
      <c r="E404" s="494">
        <v>0</v>
      </c>
      <c r="P404" s="492">
        <f t="shared" si="6"/>
        <v>0</v>
      </c>
    </row>
    <row r="405" spans="1:16" x14ac:dyDescent="0.35">
      <c r="A405" s="493" t="s">
        <v>559</v>
      </c>
      <c r="B405" s="489" t="s">
        <v>560</v>
      </c>
      <c r="C405" s="494">
        <v>0</v>
      </c>
      <c r="D405" s="494">
        <v>0</v>
      </c>
      <c r="E405" s="494">
        <v>0</v>
      </c>
      <c r="P405" s="492">
        <f t="shared" si="6"/>
        <v>0</v>
      </c>
    </row>
    <row r="406" spans="1:16" x14ac:dyDescent="0.35">
      <c r="A406" s="493" t="s">
        <v>561</v>
      </c>
      <c r="B406" s="489" t="s">
        <v>562</v>
      </c>
      <c r="C406" s="494">
        <v>0</v>
      </c>
      <c r="D406" s="494">
        <v>0</v>
      </c>
      <c r="E406" s="494">
        <v>0</v>
      </c>
      <c r="P406" s="492">
        <f t="shared" si="6"/>
        <v>0</v>
      </c>
    </row>
    <row r="407" spans="1:16" x14ac:dyDescent="0.35">
      <c r="A407" s="493" t="s">
        <v>563</v>
      </c>
      <c r="B407" s="489" t="s">
        <v>564</v>
      </c>
      <c r="C407" s="494">
        <v>0</v>
      </c>
      <c r="D407" s="494">
        <v>0</v>
      </c>
      <c r="E407" s="494">
        <v>0</v>
      </c>
      <c r="P407" s="492">
        <f t="shared" si="6"/>
        <v>0</v>
      </c>
    </row>
    <row r="408" spans="1:16" x14ac:dyDescent="0.35">
      <c r="A408" s="493" t="s">
        <v>918</v>
      </c>
      <c r="B408" s="489" t="s">
        <v>919</v>
      </c>
      <c r="C408" s="494">
        <v>0</v>
      </c>
      <c r="D408" s="494">
        <v>0</v>
      </c>
      <c r="E408" s="494">
        <v>0</v>
      </c>
      <c r="P408" s="492">
        <f t="shared" si="6"/>
        <v>0</v>
      </c>
    </row>
    <row r="409" spans="1:16" x14ac:dyDescent="0.35">
      <c r="A409" s="493" t="s">
        <v>920</v>
      </c>
      <c r="B409" s="489" t="s">
        <v>921</v>
      </c>
      <c r="C409" s="494">
        <v>0</v>
      </c>
      <c r="D409" s="494">
        <v>0</v>
      </c>
      <c r="E409" s="494">
        <v>0</v>
      </c>
      <c r="P409" s="492">
        <f t="shared" si="6"/>
        <v>0</v>
      </c>
    </row>
    <row r="410" spans="1:16" x14ac:dyDescent="0.35">
      <c r="A410" s="493" t="s">
        <v>922</v>
      </c>
      <c r="B410" s="489" t="s">
        <v>923</v>
      </c>
      <c r="C410" s="494">
        <v>0</v>
      </c>
      <c r="D410" s="494">
        <v>0</v>
      </c>
      <c r="E410" s="494">
        <v>0</v>
      </c>
      <c r="P410" s="492">
        <f t="shared" si="6"/>
        <v>0</v>
      </c>
    </row>
    <row r="411" spans="1:16" x14ac:dyDescent="0.35">
      <c r="A411" s="493" t="s">
        <v>565</v>
      </c>
      <c r="B411" s="489" t="s">
        <v>1141</v>
      </c>
      <c r="C411" s="494">
        <v>0</v>
      </c>
      <c r="D411" s="494">
        <v>0</v>
      </c>
      <c r="E411" s="494">
        <v>0</v>
      </c>
      <c r="P411" s="492">
        <f t="shared" si="6"/>
        <v>0</v>
      </c>
    </row>
    <row r="412" spans="1:16" x14ac:dyDescent="0.35">
      <c r="A412" s="493" t="s">
        <v>924</v>
      </c>
      <c r="B412" s="489" t="s">
        <v>925</v>
      </c>
      <c r="C412" s="494">
        <v>0</v>
      </c>
      <c r="D412" s="494">
        <v>0</v>
      </c>
      <c r="E412" s="494">
        <v>0</v>
      </c>
      <c r="P412" s="492">
        <f t="shared" si="6"/>
        <v>0</v>
      </c>
    </row>
    <row r="413" spans="1:16" x14ac:dyDescent="0.35">
      <c r="A413" s="493" t="s">
        <v>926</v>
      </c>
      <c r="B413" s="489" t="s">
        <v>927</v>
      </c>
      <c r="C413" s="494">
        <v>0</v>
      </c>
      <c r="D413" s="494">
        <v>0</v>
      </c>
      <c r="E413" s="494">
        <v>0</v>
      </c>
      <c r="P413" s="492">
        <f t="shared" si="6"/>
        <v>0</v>
      </c>
    </row>
    <row r="414" spans="1:16" x14ac:dyDescent="0.35">
      <c r="A414" s="493" t="s">
        <v>566</v>
      </c>
      <c r="B414" s="489" t="s">
        <v>1142</v>
      </c>
      <c r="C414" s="494">
        <v>0</v>
      </c>
      <c r="D414" s="494">
        <v>0</v>
      </c>
      <c r="E414" s="494">
        <v>0</v>
      </c>
      <c r="P414" s="492">
        <f t="shared" si="6"/>
        <v>0</v>
      </c>
    </row>
    <row r="415" spans="1:16" x14ac:dyDescent="0.35">
      <c r="A415" s="493" t="s">
        <v>928</v>
      </c>
      <c r="B415" s="489" t="s">
        <v>567</v>
      </c>
      <c r="C415" s="494">
        <v>0</v>
      </c>
      <c r="D415" s="494">
        <v>0</v>
      </c>
      <c r="E415" s="494">
        <v>0</v>
      </c>
      <c r="P415" s="492">
        <f t="shared" si="6"/>
        <v>0</v>
      </c>
    </row>
    <row r="416" spans="1:16" x14ac:dyDescent="0.35">
      <c r="A416" s="493" t="s">
        <v>568</v>
      </c>
      <c r="B416" s="489" t="s">
        <v>569</v>
      </c>
      <c r="C416" s="494">
        <v>0</v>
      </c>
      <c r="D416" s="494">
        <v>0</v>
      </c>
      <c r="E416" s="494">
        <v>0</v>
      </c>
      <c r="P416" s="492">
        <f t="shared" si="6"/>
        <v>0</v>
      </c>
    </row>
    <row r="417" spans="1:16" x14ac:dyDescent="0.35">
      <c r="A417" s="493" t="s">
        <v>570</v>
      </c>
      <c r="B417" s="489" t="s">
        <v>571</v>
      </c>
      <c r="C417" s="494">
        <v>450000</v>
      </c>
      <c r="D417" s="494">
        <v>450000</v>
      </c>
      <c r="E417" s="494">
        <v>450000</v>
      </c>
      <c r="P417" s="492">
        <f t="shared" si="6"/>
        <v>0</v>
      </c>
    </row>
    <row r="418" spans="1:16" x14ac:dyDescent="0.35">
      <c r="A418" s="493" t="s">
        <v>572</v>
      </c>
      <c r="B418" s="489" t="s">
        <v>573</v>
      </c>
      <c r="C418" s="494">
        <v>0</v>
      </c>
      <c r="D418" s="494">
        <v>0</v>
      </c>
      <c r="E418" s="494">
        <v>0</v>
      </c>
      <c r="P418" s="492">
        <f t="shared" si="6"/>
        <v>0</v>
      </c>
    </row>
    <row r="419" spans="1:16" x14ac:dyDescent="0.35">
      <c r="A419" s="493" t="s">
        <v>574</v>
      </c>
      <c r="B419" s="489" t="s">
        <v>575</v>
      </c>
      <c r="C419" s="494">
        <v>41400</v>
      </c>
      <c r="D419" s="494">
        <v>41400</v>
      </c>
      <c r="E419" s="494">
        <v>0</v>
      </c>
      <c r="H419" s="488">
        <v>25900</v>
      </c>
      <c r="P419" s="492">
        <f t="shared" si="6"/>
        <v>25900</v>
      </c>
    </row>
    <row r="420" spans="1:16" x14ac:dyDescent="0.35">
      <c r="A420" s="493" t="s">
        <v>576</v>
      </c>
      <c r="B420" s="489" t="s">
        <v>1143</v>
      </c>
      <c r="C420" s="494">
        <v>0</v>
      </c>
      <c r="D420" s="494">
        <v>0</v>
      </c>
      <c r="E420" s="494">
        <v>0</v>
      </c>
      <c r="P420" s="492">
        <f t="shared" si="6"/>
        <v>0</v>
      </c>
    </row>
    <row r="421" spans="1:16" x14ac:dyDescent="0.35">
      <c r="A421" s="493" t="s">
        <v>577</v>
      </c>
      <c r="B421" s="489" t="s">
        <v>1144</v>
      </c>
      <c r="C421" s="494">
        <v>0</v>
      </c>
      <c r="D421" s="494">
        <v>0</v>
      </c>
      <c r="E421" s="494">
        <v>0</v>
      </c>
      <c r="P421" s="492">
        <f t="shared" si="6"/>
        <v>0</v>
      </c>
    </row>
    <row r="422" spans="1:16" x14ac:dyDescent="0.35">
      <c r="A422" s="493" t="s">
        <v>578</v>
      </c>
      <c r="B422" s="489" t="s">
        <v>579</v>
      </c>
      <c r="C422" s="494">
        <v>0</v>
      </c>
      <c r="D422" s="494">
        <v>0</v>
      </c>
      <c r="E422" s="494">
        <v>0</v>
      </c>
      <c r="P422" s="492">
        <f t="shared" si="6"/>
        <v>0</v>
      </c>
    </row>
    <row r="423" spans="1:16" x14ac:dyDescent="0.35">
      <c r="A423" s="493" t="s">
        <v>580</v>
      </c>
      <c r="B423" s="489" t="s">
        <v>581</v>
      </c>
      <c r="C423" s="494">
        <v>0</v>
      </c>
      <c r="D423" s="494">
        <v>0</v>
      </c>
      <c r="E423" s="494">
        <v>0</v>
      </c>
      <c r="P423" s="492">
        <f t="shared" si="6"/>
        <v>0</v>
      </c>
    </row>
    <row r="424" spans="1:16" x14ac:dyDescent="0.35">
      <c r="A424" s="493" t="s">
        <v>582</v>
      </c>
      <c r="B424" s="489" t="s">
        <v>583</v>
      </c>
      <c r="C424" s="494">
        <v>0</v>
      </c>
      <c r="D424" s="494">
        <v>0</v>
      </c>
      <c r="E424" s="494">
        <v>0</v>
      </c>
      <c r="P424" s="492">
        <f t="shared" si="6"/>
        <v>0</v>
      </c>
    </row>
    <row r="425" spans="1:16" x14ac:dyDescent="0.35">
      <c r="A425" s="493" t="s">
        <v>584</v>
      </c>
      <c r="B425" s="489" t="s">
        <v>585</v>
      </c>
      <c r="C425" s="494">
        <v>0</v>
      </c>
      <c r="D425" s="494">
        <v>0</v>
      </c>
      <c r="E425" s="494">
        <v>0</v>
      </c>
      <c r="P425" s="492">
        <f t="shared" si="6"/>
        <v>0</v>
      </c>
    </row>
    <row r="426" spans="1:16" x14ac:dyDescent="0.35">
      <c r="A426" s="493" t="s">
        <v>586</v>
      </c>
      <c r="B426" s="489" t="s">
        <v>587</v>
      </c>
      <c r="C426" s="494">
        <v>0</v>
      </c>
      <c r="D426" s="494">
        <v>0</v>
      </c>
      <c r="E426" s="494">
        <v>0</v>
      </c>
      <c r="P426" s="492">
        <f t="shared" si="6"/>
        <v>0</v>
      </c>
    </row>
    <row r="427" spans="1:16" x14ac:dyDescent="0.35">
      <c r="A427" s="493" t="s">
        <v>588</v>
      </c>
      <c r="B427" s="489" t="s">
        <v>589</v>
      </c>
      <c r="C427" s="494">
        <v>0</v>
      </c>
      <c r="D427" s="494">
        <v>0</v>
      </c>
      <c r="E427" s="494">
        <v>0</v>
      </c>
      <c r="P427" s="492">
        <f t="shared" si="6"/>
        <v>0</v>
      </c>
    </row>
    <row r="428" spans="1:16" x14ac:dyDescent="0.35">
      <c r="A428" s="493" t="s">
        <v>590</v>
      </c>
      <c r="B428" s="489" t="s">
        <v>591</v>
      </c>
      <c r="C428" s="494">
        <v>0</v>
      </c>
      <c r="D428" s="494">
        <v>0</v>
      </c>
      <c r="E428" s="494">
        <v>0</v>
      </c>
      <c r="P428" s="492">
        <f t="shared" si="6"/>
        <v>0</v>
      </c>
    </row>
    <row r="429" spans="1:16" x14ac:dyDescent="0.35">
      <c r="A429" s="493" t="s">
        <v>592</v>
      </c>
      <c r="B429" s="489" t="s">
        <v>593</v>
      </c>
      <c r="C429" s="494">
        <v>0</v>
      </c>
      <c r="D429" s="494">
        <v>0</v>
      </c>
      <c r="E429" s="494">
        <v>0</v>
      </c>
      <c r="P429" s="492">
        <f t="shared" si="6"/>
        <v>0</v>
      </c>
    </row>
    <row r="430" spans="1:16" x14ac:dyDescent="0.35">
      <c r="C430" s="535">
        <f>SUM(C2:C429)</f>
        <v>191447330.34817061</v>
      </c>
      <c r="D430" s="535">
        <f t="shared" ref="D430:E430" si="7">SUM(D2:D429)</f>
        <v>194318099.19840002</v>
      </c>
      <c r="E430" s="535">
        <f t="shared" si="7"/>
        <v>111002532.07000001</v>
      </c>
      <c r="P430" s="492">
        <f t="shared" ref="P430" si="8">SUM(C430:O430)</f>
        <v>496767961.61657065</v>
      </c>
    </row>
    <row r="433" spans="1:2" x14ac:dyDescent="0.35">
      <c r="A433" s="501"/>
      <c r="B433" s="489" t="s">
        <v>1571</v>
      </c>
    </row>
    <row r="434" spans="1:2" x14ac:dyDescent="0.35">
      <c r="A434" s="500"/>
      <c r="B434" s="489" t="s">
        <v>1570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4</vt:i4>
      </vt:variant>
    </vt:vector>
  </HeadingPairs>
  <TitlesOfParts>
    <vt:vector size="22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Mapping62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6.1แผนลงทุน</vt:lpstr>
      <vt:lpstr>7.WS-แผน รพ.สต.</vt:lpstr>
      <vt:lpstr>7.1แผน รพ.สต. </vt:lpstr>
      <vt:lpstr>PlanFin Analysis</vt:lpstr>
      <vt:lpstr>Revenue!Print_Area</vt:lpstr>
      <vt:lpstr>'1.WS-Re-Exp'!Print_Titles</vt:lpstr>
      <vt:lpstr>'7.1แผน รพ.สต. '!Print_Titles</vt:lpstr>
      <vt:lpstr>Planfin2562!Print_Titles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2019-04-24T17:54:31Z</cp:lastPrinted>
  <dcterms:created xsi:type="dcterms:W3CDTF">2016-07-25T14:36:11Z</dcterms:created>
  <dcterms:modified xsi:type="dcterms:W3CDTF">2019-04-24T17:56:11Z</dcterms:modified>
</cp:coreProperties>
</file>